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360" windowWidth="19200" windowHeight="6405" tabRatio="919" firstSheet="21" activeTab="24"/>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SOPL'!$A$1:$H$53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AB3" i="100" l="1"/>
  <c r="G22" i="96" l="1"/>
  <c r="D21" i="101" l="1"/>
  <c r="C18" i="104" l="1"/>
  <c r="C17" i="104"/>
  <c r="C16" i="104"/>
  <c r="C15" i="104"/>
  <c r="C14" i="104"/>
  <c r="C13" i="104"/>
  <c r="C12" i="104"/>
  <c r="C11" i="104"/>
  <c r="C10" i="104"/>
  <c r="C9" i="104"/>
  <c r="C8" i="104"/>
  <c r="C7" i="104"/>
  <c r="G19" i="104"/>
  <c r="F19" i="104"/>
  <c r="E19" i="104"/>
  <c r="D19" i="104"/>
  <c r="C19" i="104"/>
  <c r="G6" i="103"/>
  <c r="D10" i="98" l="1"/>
  <c r="C10" i="98"/>
  <c r="C15" i="98" s="1"/>
  <c r="D7" i="98"/>
  <c r="D15" i="98" s="1"/>
  <c r="C7" i="98"/>
  <c r="T12" i="104" l="1"/>
  <c r="O13" i="104" l="1"/>
  <c r="K13" i="104"/>
  <c r="K19" i="104" s="1"/>
  <c r="N13" i="104"/>
  <c r="N19" i="104" s="1"/>
  <c r="M13" i="104"/>
  <c r="M19" i="104" s="1"/>
  <c r="Q19" i="104"/>
  <c r="I13" i="104"/>
  <c r="J13" i="104"/>
  <c r="R19" i="104"/>
  <c r="L19" i="104"/>
  <c r="H13" i="104"/>
  <c r="P13" i="104"/>
  <c r="O19" i="104"/>
  <c r="J19" i="104" l="1"/>
  <c r="P19" i="104"/>
  <c r="H19" i="104"/>
  <c r="I19" i="104"/>
  <c r="C10" i="99" l="1"/>
  <c r="D15" i="100"/>
  <c r="L15" i="100"/>
  <c r="T8" i="100"/>
  <c r="R15" i="100"/>
  <c r="Y15" i="100"/>
  <c r="AA8" i="100"/>
  <c r="F15" i="100"/>
  <c r="I15" i="100"/>
  <c r="K15" i="100"/>
  <c r="N15" i="100"/>
  <c r="X15" i="100"/>
  <c r="Z8" i="100"/>
  <c r="H15" i="100"/>
  <c r="L8" i="100"/>
  <c r="Q8" i="100"/>
  <c r="P15" i="100"/>
  <c r="P8" i="100"/>
  <c r="W15" i="100"/>
  <c r="Y8" i="100"/>
  <c r="F8" i="100"/>
  <c r="I8" i="100"/>
  <c r="K8" i="100"/>
  <c r="N8" i="100"/>
  <c r="V15" i="100"/>
  <c r="X8" i="100"/>
  <c r="D8" i="100"/>
  <c r="G15" i="100"/>
  <c r="J15" i="100"/>
  <c r="M15" i="100"/>
  <c r="O15" i="100"/>
  <c r="V8" i="100"/>
  <c r="Q15" i="100"/>
  <c r="H8" i="100"/>
  <c r="U15" i="100"/>
  <c r="W8" i="100"/>
  <c r="E15" i="100"/>
  <c r="T15" i="100"/>
  <c r="AA15" i="100"/>
  <c r="U8" i="100"/>
  <c r="C9" i="100"/>
  <c r="R8" i="100"/>
  <c r="E8" i="100"/>
  <c r="G8" i="100"/>
  <c r="J8" i="100"/>
  <c r="M8" i="100"/>
  <c r="O8" i="100"/>
  <c r="S15" i="100"/>
  <c r="S8" i="100"/>
  <c r="Z15" i="100"/>
  <c r="C8" i="100" l="1"/>
  <c r="C18" i="79" l="1"/>
  <c r="C8" i="79"/>
  <c r="C26" i="79"/>
  <c r="B54" i="69"/>
  <c r="B53" i="69"/>
  <c r="C30" i="79" l="1"/>
  <c r="C38" i="79"/>
  <c r="E39" i="69" l="1"/>
  <c r="E58" i="69"/>
  <c r="C43" i="6" l="1"/>
  <c r="C42" i="6"/>
  <c r="C44" i="6" s="1"/>
  <c r="D17" i="94" l="1"/>
  <c r="C17" i="94"/>
  <c r="C14" i="94" l="1"/>
  <c r="F14" i="94"/>
  <c r="G14" i="94"/>
  <c r="H14" i="94" l="1"/>
  <c r="G48" i="6" l="1"/>
  <c r="E48" i="6" l="1"/>
  <c r="D48" i="6"/>
  <c r="G7" i="92" l="1"/>
  <c r="G63" i="92" l="1"/>
  <c r="G59" i="92"/>
  <c r="G47" i="92"/>
  <c r="F47" i="92"/>
  <c r="F41" i="92"/>
  <c r="G38" i="92"/>
  <c r="F38" i="92"/>
  <c r="F30" i="92"/>
  <c r="G24" i="92"/>
  <c r="F24" i="92"/>
  <c r="G19" i="92"/>
  <c r="F19" i="92"/>
  <c r="G15" i="92"/>
  <c r="F15" i="92"/>
  <c r="F11" i="92"/>
  <c r="F7" i="92"/>
  <c r="G41" i="92" l="1"/>
  <c r="G27" i="92"/>
  <c r="F27" i="92"/>
  <c r="G30" i="92"/>
  <c r="C6" i="93" l="1"/>
  <c r="C13" i="93"/>
  <c r="C34" i="93"/>
  <c r="C25" i="100" l="1"/>
  <c r="C23" i="100"/>
  <c r="C21" i="100"/>
  <c r="C20" i="100"/>
  <c r="C19" i="100"/>
  <c r="C18" i="100"/>
  <c r="C17" i="100"/>
  <c r="C16" i="100"/>
  <c r="C14" i="100"/>
  <c r="K7" i="103" l="1"/>
  <c r="C15" i="100"/>
  <c r="C10" i="100"/>
  <c r="C12" i="100"/>
  <c r="C13" i="100"/>
  <c r="C11" i="100"/>
  <c r="C22" i="102" l="1"/>
  <c r="C30" i="102"/>
  <c r="H13" i="102"/>
  <c r="E33" i="102"/>
  <c r="C14" i="102"/>
  <c r="D33" i="102"/>
  <c r="C9" i="102"/>
  <c r="C11" i="102"/>
  <c r="C15" i="102"/>
  <c r="C19" i="102"/>
  <c r="C23" i="102"/>
  <c r="C25" i="102"/>
  <c r="C27" i="102"/>
  <c r="G33" i="102"/>
  <c r="C8" i="102"/>
  <c r="C10" i="102"/>
  <c r="C12" i="102"/>
  <c r="C16" i="102"/>
  <c r="C18" i="102"/>
  <c r="C20" i="102"/>
  <c r="C24" i="102"/>
  <c r="C26" i="102"/>
  <c r="C28" i="102"/>
  <c r="C32" i="102"/>
  <c r="C13" i="102"/>
  <c r="C21" i="102"/>
  <c r="C29" i="102"/>
  <c r="C7" i="102"/>
  <c r="C17" i="102"/>
  <c r="C31" i="102"/>
  <c r="H29" i="102"/>
  <c r="H20" i="102"/>
  <c r="H9" i="102"/>
  <c r="H12" i="102"/>
  <c r="F33" i="102"/>
  <c r="H21" i="102"/>
  <c r="H28" i="102"/>
  <c r="H17" i="102"/>
  <c r="H25" i="102"/>
  <c r="H11" i="102"/>
  <c r="H19" i="102"/>
  <c r="H27" i="102"/>
  <c r="H16" i="102"/>
  <c r="H24" i="102"/>
  <c r="H15" i="102"/>
  <c r="H31" i="102"/>
  <c r="H22" i="102"/>
  <c r="H8" i="102"/>
  <c r="H32" i="102"/>
  <c r="H23" i="102"/>
  <c r="H10" i="102"/>
  <c r="H14" i="102"/>
  <c r="H18" i="102"/>
  <c r="H26" i="102"/>
  <c r="H30" i="102"/>
  <c r="L33" i="102"/>
  <c r="J33" i="102"/>
  <c r="K33" i="102"/>
  <c r="C33" i="102" l="1"/>
  <c r="H7" i="102"/>
  <c r="H33" i="102" s="1"/>
  <c r="I33" i="102"/>
  <c r="E22" i="74" l="1"/>
  <c r="C22" i="74" l="1"/>
  <c r="D22" i="74"/>
  <c r="C20" i="101" l="1"/>
  <c r="C21" i="101"/>
  <c r="C9" i="101"/>
  <c r="C12" i="101"/>
  <c r="C17" i="101"/>
  <c r="C11" i="101"/>
  <c r="C19" i="101"/>
  <c r="C22" i="101"/>
  <c r="C10" i="101"/>
  <c r="C8" i="101"/>
  <c r="C14" i="101"/>
  <c r="C13" i="101"/>
  <c r="C15" i="101"/>
  <c r="C18" i="101"/>
  <c r="H22" i="96" l="1"/>
  <c r="J22" i="96" s="1"/>
  <c r="C21" i="96" l="1"/>
  <c r="H10" i="96" l="1"/>
  <c r="H7" i="96"/>
  <c r="H8" i="96"/>
  <c r="H9" i="96"/>
  <c r="H11" i="96"/>
  <c r="H18" i="96"/>
  <c r="H19" i="96"/>
  <c r="G16" i="96" l="1"/>
  <c r="H15" i="96"/>
  <c r="H14" i="96"/>
  <c r="H17" i="96"/>
  <c r="H16" i="96"/>
  <c r="C22" i="95" l="1"/>
  <c r="C48" i="6" l="1"/>
  <c r="C54" i="69" l="1"/>
  <c r="C53" i="69"/>
  <c r="C23" i="69"/>
  <c r="D17" i="72" l="1"/>
  <c r="C16" i="69"/>
  <c r="H21" i="95" l="1"/>
  <c r="B1" i="94" l="1"/>
  <c r="B1" i="93"/>
  <c r="B1" i="92"/>
  <c r="B1" i="104" l="1"/>
  <c r="B1" i="103"/>
  <c r="B1" i="102"/>
  <c r="B1" i="101"/>
  <c r="B1" i="100"/>
  <c r="B1" i="99"/>
  <c r="B1" i="98"/>
  <c r="B1" i="97"/>
  <c r="B1" i="96"/>
  <c r="B1" i="95"/>
  <c r="F21" i="96" l="1"/>
  <c r="H23" i="96"/>
  <c r="H8" i="95"/>
  <c r="H9" i="95"/>
  <c r="H10" i="95"/>
  <c r="H11" i="95"/>
  <c r="H12" i="95"/>
  <c r="H13" i="95"/>
  <c r="D12" i="96" s="1"/>
  <c r="H12" i="96" s="1"/>
  <c r="H15" i="95"/>
  <c r="H16" i="95"/>
  <c r="H17" i="95"/>
  <c r="H18" i="95"/>
  <c r="H19" i="95"/>
  <c r="H20" i="95"/>
  <c r="E22" i="95"/>
  <c r="F22" i="95"/>
  <c r="G22" i="95"/>
  <c r="D21" i="96" l="1"/>
  <c r="D8" i="72" l="1"/>
  <c r="D16" i="72"/>
  <c r="D20" i="72"/>
  <c r="D31" i="72"/>
  <c r="H43" i="94" l="1"/>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E26" i="94"/>
  <c r="E25" i="94"/>
  <c r="E24" i="94"/>
  <c r="E23" i="94"/>
  <c r="E22" i="94"/>
  <c r="E21" i="94"/>
  <c r="E20" i="94"/>
  <c r="E19" i="94"/>
  <c r="E18" i="94"/>
  <c r="E16" i="94"/>
  <c r="E15" i="94"/>
  <c r="D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D37" i="93"/>
  <c r="C37" i="93"/>
  <c r="H36" i="93"/>
  <c r="E36" i="93"/>
  <c r="H35" i="93"/>
  <c r="E35" i="93"/>
  <c r="D34" i="93"/>
  <c r="E34" i="93" s="1"/>
  <c r="H33" i="93"/>
  <c r="E33" i="93"/>
  <c r="H32" i="93"/>
  <c r="E32" i="93"/>
  <c r="H31" i="93"/>
  <c r="E31" i="93"/>
  <c r="H30" i="93"/>
  <c r="E30"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D13" i="93"/>
  <c r="H12" i="93"/>
  <c r="E12" i="93"/>
  <c r="H10" i="93"/>
  <c r="E10" i="93"/>
  <c r="H9" i="93"/>
  <c r="E9" i="93"/>
  <c r="H8" i="93"/>
  <c r="E8" i="93"/>
  <c r="H7" i="93"/>
  <c r="E7" i="93"/>
  <c r="G68" i="92"/>
  <c r="F68" i="92"/>
  <c r="H67" i="92"/>
  <c r="E67" i="92"/>
  <c r="H66" i="92"/>
  <c r="E66" i="92"/>
  <c r="H65" i="92"/>
  <c r="E65" i="92"/>
  <c r="H64" i="92"/>
  <c r="E64" i="92"/>
  <c r="H63" i="92"/>
  <c r="H62" i="92"/>
  <c r="E62" i="92"/>
  <c r="H61" i="92"/>
  <c r="E61" i="92"/>
  <c r="C65" i="69" s="1"/>
  <c r="E65" i="69" s="1"/>
  <c r="H60" i="92"/>
  <c r="E60" i="92"/>
  <c r="C64" i="69" s="1"/>
  <c r="E64" i="69" s="1"/>
  <c r="H59" i="92"/>
  <c r="H58" i="92"/>
  <c r="E58" i="92"/>
  <c r="H57" i="92"/>
  <c r="E57" i="92"/>
  <c r="H56" i="92"/>
  <c r="E56" i="92"/>
  <c r="C60" i="69" s="1"/>
  <c r="E60" i="69" s="1"/>
  <c r="H55" i="92"/>
  <c r="E55" i="92"/>
  <c r="H52" i="92"/>
  <c r="E52" i="92"/>
  <c r="C56" i="69" s="1"/>
  <c r="E56" i="69" s="1"/>
  <c r="H51" i="92"/>
  <c r="E51" i="92"/>
  <c r="H50" i="92"/>
  <c r="E50" i="92"/>
  <c r="H49" i="92"/>
  <c r="E49" i="92"/>
  <c r="H48" i="92"/>
  <c r="E48" i="92"/>
  <c r="H47" i="92"/>
  <c r="E47" i="92"/>
  <c r="H46" i="92"/>
  <c r="E46" i="92"/>
  <c r="H45" i="92"/>
  <c r="E45" i="92"/>
  <c r="H44" i="92"/>
  <c r="E44" i="92"/>
  <c r="H43" i="92"/>
  <c r="E43" i="92"/>
  <c r="H42" i="92"/>
  <c r="E42" i="92"/>
  <c r="G53" i="92"/>
  <c r="H41" i="92"/>
  <c r="E41" i="92"/>
  <c r="H40" i="92"/>
  <c r="E40" i="92"/>
  <c r="H39" i="92"/>
  <c r="E39" i="92"/>
  <c r="H38" i="92"/>
  <c r="E38" i="92"/>
  <c r="H35" i="92"/>
  <c r="E35" i="92"/>
  <c r="H34" i="92"/>
  <c r="E34" i="92"/>
  <c r="H33" i="92"/>
  <c r="E33" i="92"/>
  <c r="C35" i="69" s="1"/>
  <c r="E35" i="69" s="1"/>
  <c r="H32" i="92"/>
  <c r="E32" i="92"/>
  <c r="H31" i="92"/>
  <c r="E31" i="92"/>
  <c r="G36" i="92"/>
  <c r="H30" i="92"/>
  <c r="E30" i="92"/>
  <c r="H29" i="92"/>
  <c r="E29" i="92"/>
  <c r="H28" i="92"/>
  <c r="E28" i="92"/>
  <c r="H27" i="92"/>
  <c r="E27" i="92"/>
  <c r="H26" i="92"/>
  <c r="E26" i="92"/>
  <c r="H25" i="92"/>
  <c r="E25" i="92"/>
  <c r="F36" i="92"/>
  <c r="E24" i="92"/>
  <c r="H23" i="92"/>
  <c r="E23" i="92"/>
  <c r="H22" i="92"/>
  <c r="E22" i="92"/>
  <c r="H21" i="92"/>
  <c r="E21" i="92"/>
  <c r="H20" i="92"/>
  <c r="E20" i="92"/>
  <c r="H19" i="92"/>
  <c r="E19" i="92"/>
  <c r="H18" i="92"/>
  <c r="E18" i="92"/>
  <c r="H17" i="92"/>
  <c r="E17" i="92"/>
  <c r="H16" i="92"/>
  <c r="E16" i="92"/>
  <c r="H15" i="92"/>
  <c r="E15" i="92"/>
  <c r="H14" i="92"/>
  <c r="E14" i="92"/>
  <c r="H13" i="92"/>
  <c r="E13" i="92"/>
  <c r="H12" i="92"/>
  <c r="E12" i="92"/>
  <c r="H11" i="92"/>
  <c r="E11" i="92"/>
  <c r="C10" i="69" s="1"/>
  <c r="E10" i="69" s="1"/>
  <c r="H10" i="92"/>
  <c r="E10" i="92"/>
  <c r="H9" i="92"/>
  <c r="E9" i="92"/>
  <c r="H8" i="92"/>
  <c r="E8" i="92"/>
  <c r="H7" i="92"/>
  <c r="C69" i="69" l="1"/>
  <c r="E69" i="69" s="1"/>
  <c r="C15" i="72"/>
  <c r="E15" i="72" s="1"/>
  <c r="E13" i="69"/>
  <c r="E42" i="69"/>
  <c r="C66" i="69"/>
  <c r="E66" i="69" s="1"/>
  <c r="C14" i="72"/>
  <c r="E14" i="72" s="1"/>
  <c r="E12" i="69"/>
  <c r="C55" i="69"/>
  <c r="E55" i="69" s="1"/>
  <c r="C52" i="69"/>
  <c r="E52" i="69" s="1"/>
  <c r="C40" i="69"/>
  <c r="E40" i="69" s="1"/>
  <c r="H11" i="93"/>
  <c r="C70" i="69"/>
  <c r="E70" i="69" s="1"/>
  <c r="C68" i="69"/>
  <c r="E68" i="69" s="1"/>
  <c r="D26" i="72"/>
  <c r="D25" i="72" s="1"/>
  <c r="C12" i="72"/>
  <c r="E12" i="72" s="1"/>
  <c r="C46" i="69"/>
  <c r="E46" i="69" s="1"/>
  <c r="C62" i="69"/>
  <c r="E62" i="69" s="1"/>
  <c r="D6" i="93"/>
  <c r="D43" i="93" s="1"/>
  <c r="D45" i="93" s="1"/>
  <c r="C47" i="69"/>
  <c r="E47" i="69" s="1"/>
  <c r="C51" i="69"/>
  <c r="E51" i="69" s="1"/>
  <c r="C59" i="69"/>
  <c r="E59" i="69" s="1"/>
  <c r="C41" i="69"/>
  <c r="E41" i="69" s="1"/>
  <c r="C71" i="69"/>
  <c r="E71" i="69" s="1"/>
  <c r="C34" i="72"/>
  <c r="E34" i="72" s="1"/>
  <c r="C44" i="69"/>
  <c r="E44" i="69" s="1"/>
  <c r="C48" i="69"/>
  <c r="E48" i="69" s="1"/>
  <c r="C50" i="69"/>
  <c r="C45" i="69"/>
  <c r="E45" i="69" s="1"/>
  <c r="C61" i="69"/>
  <c r="E61" i="69" s="1"/>
  <c r="C43" i="93"/>
  <c r="C45" i="93" s="1"/>
  <c r="H34" i="93"/>
  <c r="H29" i="93"/>
  <c r="H37" i="93"/>
  <c r="E59" i="92"/>
  <c r="C63" i="69" s="1"/>
  <c r="E63" i="69" s="1"/>
  <c r="H13" i="93"/>
  <c r="H30" i="94"/>
  <c r="E38" i="94"/>
  <c r="E37" i="93"/>
  <c r="E29" i="93"/>
  <c r="G69" i="92"/>
  <c r="C19" i="72"/>
  <c r="E19" i="72" s="1"/>
  <c r="C18" i="69"/>
  <c r="E18" i="69" s="1"/>
  <c r="C36" i="72"/>
  <c r="E36" i="72" s="1"/>
  <c r="C37" i="69"/>
  <c r="E37" i="69" s="1"/>
  <c r="H36" i="92"/>
  <c r="E13" i="93"/>
  <c r="C9" i="72"/>
  <c r="E9" i="72" s="1"/>
  <c r="C7" i="69"/>
  <c r="E7" i="69" s="1"/>
  <c r="C33" i="72"/>
  <c r="E33" i="72" s="1"/>
  <c r="C34" i="69"/>
  <c r="E34" i="69" s="1"/>
  <c r="C27" i="72"/>
  <c r="E27" i="72" s="1"/>
  <c r="C28" i="69"/>
  <c r="E28" i="69" s="1"/>
  <c r="C30" i="72"/>
  <c r="C31" i="69"/>
  <c r="E31" i="69" s="1"/>
  <c r="C26" i="72"/>
  <c r="C27" i="69"/>
  <c r="E27" i="69" s="1"/>
  <c r="C13" i="72"/>
  <c r="E13" i="72" s="1"/>
  <c r="C11" i="69"/>
  <c r="E11" i="69" s="1"/>
  <c r="C23" i="72"/>
  <c r="E23" i="72" s="1"/>
  <c r="C22" i="69"/>
  <c r="E22" i="69" s="1"/>
  <c r="C10" i="72"/>
  <c r="E10" i="72" s="1"/>
  <c r="C8" i="69"/>
  <c r="E8" i="69" s="1"/>
  <c r="C24" i="72"/>
  <c r="E24" i="72" s="1"/>
  <c r="C25" i="69"/>
  <c r="E25" i="69" s="1"/>
  <c r="C35" i="72"/>
  <c r="E35" i="72" s="1"/>
  <c r="C36" i="69"/>
  <c r="E36" i="69" s="1"/>
  <c r="C18" i="72"/>
  <c r="E18" i="72" s="1"/>
  <c r="C17" i="69"/>
  <c r="E17" i="69" s="1"/>
  <c r="C29" i="72"/>
  <c r="C30" i="69"/>
  <c r="C17" i="72"/>
  <c r="E17" i="72" s="1"/>
  <c r="C15" i="69"/>
  <c r="C11" i="72"/>
  <c r="E11" i="72" s="1"/>
  <c r="C9" i="69"/>
  <c r="E9" i="69" s="1"/>
  <c r="C21" i="72"/>
  <c r="E21" i="72" s="1"/>
  <c r="C20" i="69"/>
  <c r="E20" i="69" s="1"/>
  <c r="C22" i="72"/>
  <c r="E22" i="72" s="1"/>
  <c r="C21" i="69"/>
  <c r="E21" i="69" s="1"/>
  <c r="C32" i="72"/>
  <c r="E32" i="72" s="1"/>
  <c r="C33" i="69"/>
  <c r="E33" i="69" s="1"/>
  <c r="E63" i="92"/>
  <c r="E36" i="92"/>
  <c r="E53" i="92"/>
  <c r="H8" i="94"/>
  <c r="E8" i="94"/>
  <c r="E14" i="94"/>
  <c r="H38" i="94"/>
  <c r="E30" i="94"/>
  <c r="E11" i="94"/>
  <c r="E17" i="94"/>
  <c r="H11" i="94"/>
  <c r="H68" i="92"/>
  <c r="F53" i="92"/>
  <c r="F69" i="92" s="1"/>
  <c r="E7" i="92"/>
  <c r="H24" i="92"/>
  <c r="C67" i="69" l="1"/>
  <c r="E67" i="69"/>
  <c r="E15" i="69"/>
  <c r="C14" i="69"/>
  <c r="E14" i="69" s="1"/>
  <c r="C29" i="69"/>
  <c r="E29" i="69" s="1"/>
  <c r="E30" i="69"/>
  <c r="C49" i="69"/>
  <c r="E49" i="69" s="1"/>
  <c r="E50" i="69"/>
  <c r="E16" i="72"/>
  <c r="C43" i="69"/>
  <c r="E26" i="72"/>
  <c r="E25" i="72" s="1"/>
  <c r="E11" i="93"/>
  <c r="E31" i="72"/>
  <c r="D30" i="72"/>
  <c r="E30" i="72" s="1"/>
  <c r="D29" i="72"/>
  <c r="E29" i="72" s="1"/>
  <c r="E20" i="72"/>
  <c r="E8" i="72"/>
  <c r="E68" i="92"/>
  <c r="C72" i="69"/>
  <c r="E6" i="93"/>
  <c r="H69" i="92"/>
  <c r="H53" i="92"/>
  <c r="C8" i="72"/>
  <c r="C25" i="72"/>
  <c r="C19" i="69"/>
  <c r="E19" i="69" s="1"/>
  <c r="C31" i="72"/>
  <c r="C20" i="72"/>
  <c r="C28" i="72"/>
  <c r="C32" i="69"/>
  <c r="E32" i="69" s="1"/>
  <c r="C26" i="69"/>
  <c r="E26" i="69" s="1"/>
  <c r="C6" i="69"/>
  <c r="E6" i="69" s="1"/>
  <c r="C16" i="72"/>
  <c r="E45" i="93"/>
  <c r="E43" i="93"/>
  <c r="E69" i="92"/>
  <c r="E72" i="69" l="1"/>
  <c r="E43" i="69"/>
  <c r="C57" i="69"/>
  <c r="E57" i="69" s="1"/>
  <c r="H6" i="93"/>
  <c r="F48" i="6" s="1"/>
  <c r="D28" i="72"/>
  <c r="D37" i="72" s="1"/>
  <c r="E28" i="72"/>
  <c r="E37" i="72" s="1"/>
  <c r="C38" i="69"/>
  <c r="E38" i="69" s="1"/>
  <c r="C37" i="72"/>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E37" i="80" l="1"/>
  <c r="F37" i="80"/>
  <c r="D21" i="80"/>
  <c r="E21" i="80"/>
  <c r="D37" i="80"/>
  <c r="F21" i="80"/>
  <c r="C21" i="80"/>
  <c r="G21" i="80"/>
  <c r="C37" i="80"/>
  <c r="C73" i="69"/>
  <c r="C75" i="69" s="1"/>
  <c r="H45" i="93"/>
  <c r="H43" i="93"/>
  <c r="G37" i="80"/>
  <c r="G6" i="71"/>
  <c r="G13" i="71" s="1"/>
  <c r="F6" i="71"/>
  <c r="F13" i="71" s="1"/>
  <c r="E6" i="71"/>
  <c r="E13" i="71" s="1"/>
  <c r="D6" i="71"/>
  <c r="D13" i="71" s="1"/>
  <c r="C6" i="71"/>
  <c r="C13" i="71" s="1"/>
  <c r="G39" i="80"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M21" i="37" l="1"/>
  <c r="L21" i="37"/>
  <c r="F21" i="37"/>
  <c r="H21" i="37"/>
  <c r="G21" i="37"/>
  <c r="I21" i="37"/>
  <c r="J21" i="37"/>
  <c r="N14" i="37"/>
  <c r="E14" i="37"/>
  <c r="E7" i="37"/>
  <c r="C21" i="37"/>
  <c r="N8" i="37"/>
  <c r="E21" i="37" l="1"/>
  <c r="N7" i="37"/>
  <c r="N21" i="37" s="1"/>
  <c r="K7" i="37"/>
  <c r="K21" i="37" s="1"/>
  <c r="C5" i="73" l="1"/>
  <c r="S21" i="35" l="1"/>
  <c r="S20" i="35"/>
  <c r="S19" i="35"/>
  <c r="S18" i="35"/>
  <c r="S17" i="35"/>
  <c r="S16" i="35"/>
  <c r="S15" i="35"/>
  <c r="S14" i="35"/>
  <c r="S13" i="35"/>
  <c r="S12" i="35"/>
  <c r="S11" i="35"/>
  <c r="S10" i="35"/>
  <c r="S9" i="35"/>
  <c r="S8" i="35"/>
  <c r="F17" i="74" l="1"/>
  <c r="F16" i="74"/>
  <c r="F15" i="74"/>
  <c r="F9" i="74"/>
  <c r="F18" i="74"/>
  <c r="F11" i="74"/>
  <c r="F21" i="74"/>
  <c r="F8" i="74"/>
  <c r="F10" i="74"/>
  <c r="F19" i="74"/>
  <c r="F12" i="74"/>
  <c r="F20" i="74"/>
  <c r="F14" i="74"/>
  <c r="F13" i="74"/>
  <c r="S22" i="35"/>
  <c r="F22" i="74" l="1"/>
  <c r="D22" i="35"/>
  <c r="E22" i="35"/>
  <c r="F22" i="35"/>
  <c r="G22" i="35"/>
  <c r="H22" i="35"/>
  <c r="I22" i="35"/>
  <c r="J22" i="35"/>
  <c r="K22" i="35"/>
  <c r="L22" i="35"/>
  <c r="M22" i="35"/>
  <c r="N22" i="35"/>
  <c r="O22" i="35"/>
  <c r="P22" i="35"/>
  <c r="Q22" i="35"/>
  <c r="R22" i="35"/>
  <c r="C22" i="35"/>
  <c r="V7" i="64" l="1"/>
  <c r="G8" i="74" s="1"/>
  <c r="H8" i="74" s="1"/>
  <c r="T21" i="64" l="1"/>
  <c r="U21" i="64"/>
  <c r="V9" i="64"/>
  <c r="G10" i="74" s="1"/>
  <c r="H10"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G9" i="74" s="1"/>
  <c r="H9" i="74" s="1"/>
  <c r="V10" i="64"/>
  <c r="G11" i="74" s="1"/>
  <c r="H11" i="74" s="1"/>
  <c r="V11" i="64"/>
  <c r="G12" i="74" s="1"/>
  <c r="H12" i="74" s="1"/>
  <c r="V12" i="64"/>
  <c r="G13" i="74" s="1"/>
  <c r="H13" i="74" s="1"/>
  <c r="V13" i="64"/>
  <c r="G14" i="74" s="1"/>
  <c r="H14" i="74" s="1"/>
  <c r="V14" i="64"/>
  <c r="G15" i="74" s="1"/>
  <c r="H15" i="74" s="1"/>
  <c r="V15" i="64"/>
  <c r="G16" i="74" s="1"/>
  <c r="H16" i="74" s="1"/>
  <c r="V16" i="64"/>
  <c r="G17" i="74" s="1"/>
  <c r="V17" i="64"/>
  <c r="G18" i="74" s="1"/>
  <c r="H18" i="74" s="1"/>
  <c r="V18" i="64"/>
  <c r="G19" i="74" s="1"/>
  <c r="H19" i="74" s="1"/>
  <c r="V19" i="64"/>
  <c r="G20" i="74" s="1"/>
  <c r="H20" i="74" s="1"/>
  <c r="V20" i="64"/>
  <c r="G21" i="74" s="1"/>
  <c r="H21" i="74" s="1"/>
  <c r="G22" i="74" l="1"/>
  <c r="H17" i="74"/>
  <c r="V21" i="64"/>
  <c r="H22" i="74" l="1"/>
  <c r="C48" i="28"/>
  <c r="C53" i="28" s="1"/>
  <c r="C36" i="28"/>
  <c r="C42" i="28" s="1"/>
  <c r="C12" i="28"/>
  <c r="C6" i="28" l="1"/>
  <c r="C29" i="28" l="1"/>
  <c r="B2" i="93"/>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G21" i="96" l="1"/>
  <c r="H20" i="96" l="1"/>
  <c r="H14" i="95" l="1"/>
  <c r="D22" i="95"/>
  <c r="H13" i="96"/>
  <c r="E21" i="96"/>
  <c r="H21" i="96" l="1"/>
  <c r="H22" i="95"/>
  <c r="L22" i="100" l="1"/>
  <c r="D22" i="100" l="1"/>
  <c r="C24" i="100"/>
  <c r="H22" i="100"/>
  <c r="C26" i="100"/>
  <c r="C27" i="100"/>
  <c r="C28" i="100"/>
  <c r="C22" i="100" l="1"/>
  <c r="H33" i="97" l="1"/>
  <c r="G34" i="97" l="1"/>
  <c r="H30" i="97" l="1"/>
  <c r="H25" i="97"/>
  <c r="H31" i="97"/>
  <c r="H27" i="97"/>
  <c r="H22" i="97"/>
  <c r="H21" i="97"/>
  <c r="H16" i="97"/>
  <c r="H10" i="97"/>
  <c r="H20" i="97"/>
  <c r="H26" i="97"/>
  <c r="H17" i="97"/>
  <c r="D34" i="97" l="1"/>
  <c r="H11" i="97"/>
  <c r="H18" i="97"/>
  <c r="H23" i="97"/>
  <c r="H24" i="97"/>
  <c r="H32" i="97"/>
  <c r="H14" i="97"/>
  <c r="H8" i="97"/>
  <c r="H9" i="97"/>
  <c r="H28" i="97"/>
  <c r="H13" i="97"/>
  <c r="H7" i="97"/>
  <c r="C34" i="97"/>
  <c r="H12" i="97"/>
  <c r="H15" i="97"/>
  <c r="H29" i="97"/>
  <c r="H19" i="97"/>
  <c r="F34" i="97"/>
  <c r="E34" i="97" l="1"/>
  <c r="H34" i="97" s="1"/>
</calcChain>
</file>

<file path=xl/comments1.xml><?xml version="1.0" encoding="utf-8"?>
<comments xmlns="http://schemas.openxmlformats.org/spreadsheetml/2006/main">
  <authors>
    <author>Author</author>
  </authors>
  <commentList>
    <comment ref="C18" authorId="0" shapeId="0">
      <text>
        <r>
          <rPr>
            <b/>
            <sz val="9"/>
            <color indexed="81"/>
            <rFont val="Tahoma"/>
            <family val="2"/>
          </rPr>
          <t>Author:</t>
        </r>
        <r>
          <rPr>
            <sz val="9"/>
            <color indexed="81"/>
            <rFont val="Tahoma"/>
            <family val="2"/>
          </rPr>
          <t xml:space="preserve">
loans +FLT</t>
        </r>
      </text>
    </comment>
  </commentList>
</comments>
</file>

<file path=xl/comments2.xml><?xml version="1.0" encoding="utf-8"?>
<comments xmlns="http://schemas.openxmlformats.org/spreadsheetml/2006/main">
  <authors>
    <author>Author</author>
  </authors>
  <commentList>
    <comment ref="C5" authorId="0" shapeId="0">
      <text>
        <r>
          <rPr>
            <b/>
            <sz val="9"/>
            <color indexed="81"/>
            <rFont val="Tahoma"/>
            <family val="2"/>
          </rPr>
          <t>Author:</t>
        </r>
        <r>
          <rPr>
            <sz val="9"/>
            <color indexed="81"/>
            <rFont val="Tahoma"/>
            <family val="2"/>
          </rPr>
          <t xml:space="preserve">
net value</t>
        </r>
      </text>
    </comment>
  </commentList>
</comments>
</file>

<file path=xl/sharedStrings.xml><?xml version="1.0" encoding="utf-8"?>
<sst xmlns="http://schemas.openxmlformats.org/spreadsheetml/2006/main" count="1612" uniqueCount="1006">
  <si>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</si>
  <si>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</si>
  <si>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</si>
  <si>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</si>
  <si>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</si>
  <si>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</si>
  <si>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</si>
  <si>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</si>
  <si>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</si>
  <si>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</si>
  <si>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</si>
  <si>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</si>
  <si>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</si>
  <si>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</si>
  <si>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</si>
  <si>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</si>
  <si>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</si>
  <si>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</si>
  <si>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</si>
  <si>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</si>
  <si>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</si>
  <si>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</si>
  <si>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</si>
  <si>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</si>
  <si>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</si>
  <si>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</si>
  <si>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</si>
  <si>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</si>
  <si>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</si>
  <si>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</si>
  <si>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</si>
  <si>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</si>
  <si>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</si>
  <si>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</si>
  <si>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</si>
  <si>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</si>
  <si>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</si>
  <si>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</si>
  <si>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</si>
  <si>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</si>
  <si>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</si>
  <si>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</si>
  <si>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</si>
  <si>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</si>
  <si>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</si>
  <si>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</si>
  <si>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</si>
  <si>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</si>
  <si>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</si>
  <si>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</si>
  <si>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</si>
  <si>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</si>
  <si>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</si>
  <si>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</si>
  <si>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</si>
  <si>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</si>
  <si>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</si>
  <si>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</si>
  <si>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</si>
  <si>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</si>
  <si>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</si>
  <si>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</si>
  <si>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</si>
  <si>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</si>
  <si>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</si>
  <si>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</si>
  <si>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</si>
  <si>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</si>
  <si>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</si>
  <si>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</si>
  <si>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</si>
  <si>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</si>
  <si>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</si>
  <si>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</si>
  <si>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</si>
  <si>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</si>
  <si>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</si>
  <si>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</si>
  <si>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</si>
  <si>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</si>
  <si>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</si>
  <si>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</si>
  <si>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</si>
  <si>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</si>
  <si>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</si>
  <si>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</si>
  <si>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</si>
  <si>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</si>
  <si>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</si>
  <si>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</si>
  <si>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</si>
  <si>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</si>
  <si>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</si>
  <si>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</si>
  <si>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</si>
  <si>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</si>
  <si>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</si>
  <si>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</si>
  <si>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</si>
  <si>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</si>
  <si>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</si>
  <si>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</si>
  <si>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</si>
  <si>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</si>
  <si>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</si>
  <si>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</si>
  <si>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</si>
  <si>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</si>
  <si>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</si>
  <si>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</si>
  <si>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</si>
  <si>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</si>
  <si>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</si>
  <si>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</si>
  <si>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</si>
  <si>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</si>
  <si>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</si>
  <si>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</si>
  <si>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</si>
  <si>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</si>
  <si>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</si>
  <si>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</si>
  <si>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</si>
  <si>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</si>
  <si>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</si>
  <si>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</si>
  <si>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</si>
  <si>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</si>
  <si>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</si>
  <si>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</si>
  <si>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</si>
  <si>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</si>
  <si>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</si>
  <si>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</si>
  <si>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</si>
  <si>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</si>
  <si>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</si>
  <si>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</si>
  <si>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</si>
  <si>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</si>
  <si>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</si>
  <si>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</si>
  <si>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</si>
  <si>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</si>
  <si>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</si>
  <si>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</si>
  <si>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</si>
  <si>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</si>
  <si>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</si>
  <si>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</si>
  <si>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</si>
  <si>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</si>
  <si>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</si>
  <si>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</si>
  <si>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</si>
  <si>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</si>
  <si>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</si>
  <si>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</si>
  <si>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</si>
  <si>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</si>
  <si>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</si>
  <si>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</si>
  <si>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</si>
  <si>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</si>
  <si>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</si>
  <si>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</si>
  <si>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</si>
  <si>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</si>
  <si>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</si>
  <si>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</si>
  <si>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</si>
  <si>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</si>
  <si>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</si>
  <si>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</si>
  <si>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</si>
  <si>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</si>
  <si>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</si>
  <si>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</si>
  <si>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</si>
  <si>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</si>
  <si>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</si>
  <si>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</si>
  <si>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</si>
  <si>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</si>
  <si>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</si>
  <si>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</si>
  <si>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</si>
  <si>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</si>
  <si>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</si>
  <si>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</si>
  <si>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</si>
  <si>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</si>
  <si>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</si>
  <si>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</si>
  <si>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</si>
  <si>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</si>
  <si>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</si>
  <si>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</si>
  <si>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</si>
  <si>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</si>
  <si>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</si>
  <si>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</si>
  <si>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</si>
  <si>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</si>
  <si>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</si>
  <si>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</si>
  <si>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</si>
  <si>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</si>
  <si>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</si>
  <si>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</si>
  <si>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</si>
  <si>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</si>
  <si>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</si>
  <si>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</si>
  <si>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</si>
  <si>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</si>
  <si>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</si>
  <si>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</si>
  <si>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</si>
  <si>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</si>
  <si>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</si>
  <si>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</si>
  <si>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</si>
  <si>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</si>
  <si>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</si>
  <si>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</si>
  <si>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</si>
  <si>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</si>
  <si>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</si>
  <si>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</si>
  <si>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</si>
  <si>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</si>
  <si>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</si>
  <si>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</si>
  <si>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</si>
  <si>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</si>
  <si>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</si>
  <si>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</si>
  <si>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</si>
  <si>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</si>
  <si>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</si>
  <si>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</si>
  <si>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</si>
  <si>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</si>
  <si>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</si>
  <si>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</si>
  <si>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</si>
  <si>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</si>
  <si>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</si>
  <si>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</si>
  <si>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</si>
  <si>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</si>
  <si>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</si>
  <si>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</si>
  <si>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</si>
  <si>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</si>
  <si>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</si>
  <si>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</si>
  <si>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</si>
  <si>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</si>
  <si>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</si>
  <si>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</si>
  <si>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</si>
  <si>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</si>
  <si>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</si>
  <si>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</si>
  <si>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</si>
  <si>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</si>
  <si>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</si>
  <si>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</si>
  <si>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</si>
  <si>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</si>
  <si>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</si>
  <si>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</si>
  <si>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</si>
  <si>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</si>
  <si>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</si>
  <si>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</si>
  <si>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</si>
  <si>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</si>
  <si>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</si>
  <si>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</si>
  <si>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</si>
  <si>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</si>
  <si>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</si>
  <si>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</si>
  <si>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</si>
  <si>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</si>
  <si>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</si>
  <si>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</si>
  <si>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</si>
  <si>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</si>
  <si>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</si>
  <si>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</si>
  <si>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</si>
  <si>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</si>
  <si>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</si>
  <si>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</si>
  <si>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</si>
  <si>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</si>
  <si>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</si>
  <si>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</si>
  <si>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</si>
  <si>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</si>
  <si>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</si>
  <si>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</si>
  <si>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</si>
  <si>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</si>
  <si>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</si>
  <si>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</si>
  <si>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</si>
  <si>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</si>
  <si>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</si>
  <si>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</si>
  <si>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</si>
  <si>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</si>
  <si>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</si>
  <si>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</si>
  <si>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</si>
  <si>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</si>
  <si>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</si>
  <si>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</si>
  <si>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</si>
  <si>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</si>
  <si>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</si>
  <si>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</si>
  <si>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</si>
  <si>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</si>
  <si>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</si>
  <si>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</si>
  <si>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</si>
  <si>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</si>
  <si>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</si>
  <si>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</si>
  <si>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</si>
  <si>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</si>
  <si>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</si>
  <si>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</si>
  <si>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</si>
  <si>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</si>
  <si>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</si>
  <si>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</si>
  <si>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</si>
  <si>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</si>
  <si>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</si>
  <si>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</si>
  <si>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</si>
  <si>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</si>
  <si>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</si>
  <si>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</si>
  <si>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</si>
  <si>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</si>
  <si>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</si>
  <si>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</si>
  <si>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</si>
  <si>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</si>
  <si>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</si>
  <si>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</si>
  <si>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</si>
  <si>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</si>
  <si>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</si>
  <si>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</si>
  <si>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</si>
  <si>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</si>
  <si>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</si>
  <si>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</si>
  <si>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</si>
  <si>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</si>
  <si>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</si>
  <si>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</si>
  <si>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</si>
  <si>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</si>
  <si>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</si>
  <si>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</si>
  <si>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</si>
  <si>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</si>
  <si>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</si>
  <si>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</si>
  <si>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</si>
  <si>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</si>
  <si>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</si>
  <si>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</si>
  <si>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</si>
  <si>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</si>
  <si>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</si>
  <si>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</si>
  <si>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</si>
  <si>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</si>
  <si>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</si>
  <si>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</si>
  <si>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</si>
  <si>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</si>
  <si>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</si>
  <si>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</si>
  <si>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</si>
  <si>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</si>
  <si>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</si>
  <si>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</si>
  <si>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</si>
  <si>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</si>
  <si>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</si>
  <si>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</si>
  <si>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</si>
  <si>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</si>
  <si>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</si>
  <si>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</si>
  <si>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</si>
  <si>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</si>
  <si>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</si>
  <si>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</si>
  <si>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</si>
  <si>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</si>
  <si>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</si>
  <si>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</si>
  <si>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</si>
  <si>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</si>
  <si>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</si>
  <si>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</si>
  <si>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</si>
  <si>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</si>
  <si>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</si>
  <si>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</si>
  <si>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</si>
  <si>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</si>
  <si>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</si>
  <si>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</si>
  <si>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</si>
  <si>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</si>
  <si>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</si>
  <si>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</si>
  <si>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</si>
  <si>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</si>
  <si>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</si>
  <si>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</si>
  <si>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</si>
  <si>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</si>
  <si>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</si>
  <si>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</si>
  <si>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</si>
  <si>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</si>
  <si>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</si>
  <si>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</si>
  <si>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</si>
  <si>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</si>
  <si>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</si>
  <si>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</si>
  <si>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</si>
  <si>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</si>
  <si>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</si>
  <si>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</si>
  <si>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</si>
  <si>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</si>
  <si>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</si>
  <si>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</si>
  <si>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</si>
  <si>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</si>
  <si>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</si>
  <si>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</si>
  <si>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</si>
  <si>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</si>
  <si>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</si>
  <si>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</si>
  <si>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</si>
  <si>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</si>
  <si>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</si>
  <si>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</si>
  <si>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</si>
  <si>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</si>
  <si>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</si>
  <si>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</si>
  <si>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</si>
  <si>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</si>
  <si>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</si>
  <si>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</si>
  <si>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</si>
  <si>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</si>
  <si>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</si>
  <si>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</si>
  <si>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</si>
  <si>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</si>
  <si>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</si>
  <si>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</si>
  <si>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</si>
  <si>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</si>
  <si>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</si>
  <si>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</si>
  <si>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</si>
  <si>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</si>
  <si>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</si>
  <si>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</si>
  <si>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</si>
  <si>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</si>
  <si>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</si>
  <si>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</si>
  <si>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</si>
  <si>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</si>
  <si>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</si>
  <si>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</si>
  <si>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</si>
  <si>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</si>
  <si>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</si>
  <si>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</si>
  <si>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</si>
  <si>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</si>
  <si>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</si>
  <si>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</si>
  <si>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</si>
  <si>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</si>
  <si>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</si>
  <si>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</si>
  <si>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</si>
  <si>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</si>
  <si>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</si>
  <si>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</si>
  <si>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</si>
  <si>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</si>
  <si>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</si>
  <si>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</si>
  <si>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</si>
  <si>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</si>
  <si>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</si>
  <si>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</si>
  <si>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</si>
  <si>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</si>
  <si>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</si>
  <si>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</si>
  <si>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</si>
  <si>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</si>
  <si>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</si>
  <si>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</si>
  <si>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</si>
  <si>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</si>
  <si>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</si>
  <si>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</si>
  <si>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</si>
  <si>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</si>
  <si>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</si>
  <si>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</si>
  <si>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</si>
  <si>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</si>
  <si>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</si>
  <si>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</si>
  <si>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</si>
  <si>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</si>
  <si>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</si>
  <si>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</si>
  <si>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</si>
  <si>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</si>
  <si>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</si>
  <si>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</si>
  <si>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</si>
  <si>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</si>
  <si>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</si>
  <si>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</si>
  <si>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</si>
  <si>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</si>
  <si>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</si>
  <si>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</si>
  <si>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</si>
  <si>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</si>
  <si>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</si>
  <si>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</si>
  <si>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</si>
  <si>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</si>
  <si>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</si>
  <si>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</si>
  <si>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</si>
  <si>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</si>
  <si>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</si>
  <si>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</si>
  <si>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</si>
  <si>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</si>
  <si>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</si>
  <si>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</si>
  <si>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</si>
  <si>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</si>
  <si>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</si>
  <si>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</si>
  <si>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</si>
  <si>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</si>
  <si>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</si>
  <si>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</si>
  <si>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</si>
  <si>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</si>
  <si>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</si>
  <si>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</si>
  <si>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</si>
  <si>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</si>
  <si>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</si>
  <si>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</si>
  <si>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</si>
  <si>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</si>
  <si>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</si>
  <si>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</si>
  <si>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</si>
  <si>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</si>
  <si>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</si>
  <si>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</si>
  <si>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</si>
  <si>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</si>
  <si>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</si>
  <si>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</si>
  <si>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</si>
  <si>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</si>
  <si>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</si>
  <si>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</si>
  <si>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</si>
  <si>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</si>
  <si>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</si>
  <si>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</si>
  <si>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</si>
  <si>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</si>
  <si>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</si>
  <si>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</si>
  <si>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</si>
  <si>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</si>
  <si>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</si>
  <si>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</si>
  <si>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</si>
  <si>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</si>
  <si>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</si>
  <si>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</si>
  <si>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</si>
  <si>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</si>
  <si>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</si>
  <si>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</si>
  <si>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</si>
  <si>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</si>
  <si>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</si>
  <si>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</si>
  <si>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</si>
  <si>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</si>
  <si>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</si>
  <si>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</si>
  <si>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</si>
  <si>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</si>
  <si>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</si>
  <si>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</si>
  <si>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</si>
  <si>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</si>
  <si>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</si>
  <si>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</si>
  <si>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</si>
  <si>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</si>
  <si>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</si>
  <si>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</si>
  <si>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</si>
  <si>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</si>
  <si>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</si>
  <si>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</si>
  <si>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</si>
  <si>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</si>
  <si>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</si>
  <si>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</si>
  <si>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</si>
  <si>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</si>
  <si>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</si>
  <si>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</si>
  <si>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</si>
  <si>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</si>
  <si>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</si>
  <si>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</si>
  <si>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</si>
  <si>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</si>
  <si>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</si>
  <si>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</si>
  <si>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</si>
  <si>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</si>
  <si>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</si>
  <si>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</si>
  <si>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</si>
  <si>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</si>
  <si>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</si>
  <si>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</si>
  <si>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</si>
  <si>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</si>
  <si>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</si>
  <si>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</si>
  <si>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</si>
  <si>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</si>
  <si>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</si>
  <si>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</si>
  <si>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</si>
  <si>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</si>
  <si>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</si>
  <si>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</si>
  <si>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</si>
  <si>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</si>
  <si>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</si>
  <si>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</si>
  <si>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</si>
  <si>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</si>
  <si>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</si>
  <si>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</si>
  <si>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</si>
  <si>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</si>
  <si>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</si>
  <si>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</si>
  <si>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</si>
  <si>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</si>
  <si>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</si>
  <si>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</si>
  <si>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</si>
  <si>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</si>
  <si>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</si>
  <si>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</si>
  <si>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</si>
  <si>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</si>
  <si>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</si>
  <si>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</si>
  <si>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</si>
  <si>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</si>
  <si>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</si>
  <si>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</si>
  <si>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</si>
  <si>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</si>
  <si>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</si>
  <si>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</si>
  <si>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</si>
  <si>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</si>
  <si>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</si>
  <si>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</si>
  <si>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</si>
  <si>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</si>
  <si>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</si>
  <si>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</si>
  <si>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</si>
  <si>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</si>
  <si>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</si>
  <si>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</si>
  <si>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</si>
  <si>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</si>
  <si>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</si>
  <si>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</si>
  <si>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</si>
  <si>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</si>
  <si>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</si>
  <si>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</si>
  <si>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</si>
  <si>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</si>
  <si>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</si>
  <si>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</si>
  <si>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</si>
  <si>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</si>
  <si>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</si>
  <si>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</si>
  <si>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</si>
  <si>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</si>
  <si>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</si>
  <si>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</si>
  <si>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</si>
  <si>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</si>
  <si>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</si>
  <si>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</si>
  <si>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</si>
  <si>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</si>
  <si>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</si>
  <si>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</si>
  <si>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</si>
  <si>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</si>
  <si>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</si>
  <si>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</si>
  <si>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</si>
  <si>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</si>
  <si>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</si>
  <si>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</si>
  <si>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</si>
  <si>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</si>
  <si>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</si>
  <si>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</si>
  <si>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</si>
  <si>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</si>
  <si>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</si>
  <si>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</si>
  <si>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</si>
  <si>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</si>
  <si>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</si>
  <si>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</si>
  <si>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</si>
  <si>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</si>
  <si>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</si>
  <si>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</si>
  <si>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</si>
  <si>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</si>
  <si>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</si>
  <si>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</si>
  <si>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</si>
  <si>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</si>
  <si>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</si>
  <si>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</si>
  <si>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</si>
  <si>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</si>
  <si>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</si>
  <si>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</si>
  <si>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</si>
  <si>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</si>
  <si>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</si>
  <si>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</si>
  <si>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</si>
  <si>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</si>
  <si>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</si>
  <si>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</si>
  <si>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</si>
  <si>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</si>
  <si>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</si>
  <si>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</si>
  <si>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</si>
  <si>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</si>
  <si>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</si>
  <si>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</si>
  <si>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</si>
  <si>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</si>
  <si>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</si>
  <si>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</si>
  <si>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</si>
  <si>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</si>
  <si>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</si>
  <si>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</si>
  <si>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</si>
  <si>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</si>
  <si>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</si>
  <si>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</si>
  <si>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</si>
  <si>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</si>
  <si>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</si>
  <si>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</si>
  <si>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</si>
  <si>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</si>
  <si>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</si>
  <si>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</si>
  <si>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</si>
  <si>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</si>
  <si>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</si>
  <si>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</si>
  <si>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</si>
  <si>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</si>
  <si>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</si>
  <si>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</si>
  <si>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</si>
  <si>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</si>
  <si>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</si>
  <si>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</si>
  <si>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</si>
  <si>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</si>
  <si>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</si>
  <si>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</si>
  <si>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</si>
  <si>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</si>
  <si>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</si>
  <si>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</si>
  <si>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</si>
  <si>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</si>
  <si>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</si>
  <si>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</si>
  <si>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</si>
  <si>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</si>
  <si>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</si>
  <si>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</si>
  <si>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</si>
  <si>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</si>
  <si>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</si>
  <si>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</si>
  <si>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</si>
  <si>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</si>
  <si>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</si>
  <si>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</si>
  <si>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</si>
  <si>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</si>
  <si>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</si>
  <si>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</si>
  <si>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</si>
  <si>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</si>
  <si>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</si>
  <si>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</si>
  <si>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</si>
  <si>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</si>
  <si>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</si>
  <si>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</si>
  <si>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</si>
  <si>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</si>
  <si>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</si>
  <si>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</si>
  <si>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</si>
  <si>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</si>
  <si>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</si>
  <si>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</si>
  <si>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</si>
  <si>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</si>
  <si>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</si>
  <si>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</si>
  <si>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</si>
  <si>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</si>
  <si>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</si>
  <si>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</si>
  <si>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</si>
  <si>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</si>
  <si>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</si>
  <si>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</si>
  <si>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</si>
  <si>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</si>
  <si>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</si>
  <si>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</si>
  <si>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</si>
  <si>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</si>
  <si>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</si>
  <si>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</si>
  <si>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</si>
  <si>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</si>
  <si>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</si>
  <si>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</si>
  <si>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</si>
  <si>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</si>
  <si>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</si>
  <si>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</si>
  <si>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</si>
  <si>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</si>
  <si>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</si>
  <si>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</si>
  <si>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</si>
  <si>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</si>
  <si>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</si>
  <si>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</si>
  <si>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</si>
  <si>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</si>
  <si>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</si>
  <si>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</si>
  <si>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</si>
  <si>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</si>
  <si>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</si>
  <si>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</si>
  <si>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</si>
  <si>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</si>
  <si>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</si>
  <si>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</si>
  <si>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</si>
  <si>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</si>
  <si>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</si>
  <si>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</si>
  <si>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</si>
  <si>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</si>
  <si>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</si>
  <si>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</si>
  <si>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</si>
  <si>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</si>
  <si>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</si>
  <si>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</si>
  <si>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</si>
  <si>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</si>
  <si>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</si>
  <si>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</si>
  <si>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</si>
  <si>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</si>
  <si>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</si>
  <si>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</si>
  <si>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</si>
  <si>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</si>
  <si>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</si>
  <si>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V</t>
  </si>
  <si>
    <t>X</t>
  </si>
  <si>
    <t>AA</t>
  </si>
  <si>
    <t>მელ ჯერარდ კარვილი</t>
  </si>
  <si>
    <t>დამოუკიდებელი თავმჯდომარე</t>
  </si>
  <si>
    <t>თამაზ გეორგაძე</t>
  </si>
  <si>
    <t>არადამოუკიდებელი წევრი</t>
  </si>
  <si>
    <t>ალასდაირ ბრიჩი</t>
  </si>
  <si>
    <t>ჰანნა ლოიკანენი</t>
  </si>
  <si>
    <t>სესილ ქუილენი</t>
  </si>
  <si>
    <t>დამოუკიდებელი წევრი</t>
  </si>
  <si>
    <t>ვერონიკ მკ კაროლი</t>
  </si>
  <si>
    <t>ჯონათან მუირი</t>
  </si>
  <si>
    <t>მარიამ მეღვინეთუხუცესი</t>
  </si>
  <si>
    <t>არჩილ გაჩეჩილაძე</t>
  </si>
  <si>
    <t>გენერალური დირექტორი</t>
  </si>
  <si>
    <t>მიხეილ გომართელი</t>
  </si>
  <si>
    <t>გენერალური დირექტორის მოადგილე</t>
  </si>
  <si>
    <t>ლევან ყულიჯანიშვილი</t>
  </si>
  <si>
    <t>სულხან გვალია</t>
  </si>
  <si>
    <t>ეთერ ირემაძე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</si>
  <si>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</si>
  <si>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ზურაბ ქოქოსაძე</t>
  </si>
  <si>
    <t>გენერალური დირექტორის მოადგილე / კორპორაციული საბანკო მომსახურების მიმართულება</t>
  </si>
  <si>
    <t>დავით დავითაშვილი</t>
  </si>
  <si>
    <t>გენერალური დირექტორიე მოადგილე/ ინფორმაციული ტექნოლოგიები და მონაცემთა ანალიტიკა</t>
  </si>
  <si>
    <t>დავით ჭყონია</t>
  </si>
  <si>
    <t>გენერალური დირექტორიე მოადგილე</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</si>
  <si>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</si>
  <si>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</si>
  <si>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</si>
  <si>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</si>
  <si>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</si>
  <si>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ცხრილი 9 (Capital), N17</t>
  </si>
  <si>
    <t>სს ”საქართველოს ბანკი”</t>
  </si>
  <si>
    <t>არჩილ  გაჩეჩილაძე</t>
  </si>
  <si>
    <t>www.bog.ge</t>
  </si>
  <si>
    <t>ცხრილი 9 (Capital),13</t>
  </si>
  <si>
    <t>`</t>
  </si>
  <si>
    <t>ცხრილი 9 (Capital),10</t>
  </si>
  <si>
    <t>მათ შორის: 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</si>
  <si>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t>
  </si>
  <si>
    <t>ცხრილი 9 (Capital),29</t>
  </si>
  <si>
    <t>ცხრილი 9 (Capital),38</t>
  </si>
  <si>
    <t>ცხრილი 9 (Capital), 2</t>
  </si>
  <si>
    <t>ცხრილი 9 (Capital), 12</t>
  </si>
  <si>
    <t>ცხრილი 9 (Capital), 3</t>
  </si>
  <si>
    <t>ცხრილი 9 (Capital), 6</t>
  </si>
  <si>
    <t>ცხრილი 9 (Capital), 4,8</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</si>
</sst>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 numFmtId="195" formatCode="#,##0.000000000000000;[Red]#,##0.000000000000000"/>
    <numFmt numFmtId="196" formatCode="#,##0.000"/>
    <numFmt numFmtId="197" formatCode="#,##0.0000"/>
    <numFmt numFmtId="198" formatCode="0.000%"/>
    <numFmt numFmtId="199" formatCode="#,##0.0000000"/>
  </numFmts>
  <fonts count="15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sz val="11"/>
      <color theme="1"/>
      <name val="Times New Roman"/>
      <family val="1"/>
    </font>
    <font>
      <sz val="10"/>
      <name val="Times New Roman"/>
      <family val="1"/>
    </font>
    <font>
      <sz val="10"/>
      <name val="Calibri"/>
      <family val="2"/>
      <charset val="204"/>
      <scheme val="minor"/>
    </font>
    <font>
      <sz val="10"/>
      <color rgb="FF000000"/>
      <name val="Calibri"/>
      <family val="2"/>
      <scheme val="minor"/>
    </font>
    <font>
      <b/>
      <sz val="10"/>
      <color theme="1"/>
      <name val="Times New Roman"/>
      <family val="1"/>
    </font>
    <font>
      <sz val="11"/>
      <name val="Sylfaen"/>
      <family val="1"/>
    </font>
    <font>
      <i/>
      <sz val="10"/>
      <name val="Times New Roman"/>
      <family val="1"/>
    </font>
    <font>
      <b/>
      <sz val="10"/>
      <name val="Times New Roma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BG Literaturuli"/>
      <family val="2"/>
    </font>
  </fonts>
  <fills count="8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4" tint="0.79998168889431442"/>
        <bgColor theme="4" tint="0.79998168889431442"/>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thin">
        <color theme="4" tint="0.39997558519241921"/>
      </top>
      <bottom/>
      <diagonal/>
    </border>
    <border>
      <left style="dotted">
        <color indexed="64"/>
      </left>
      <right style="medium">
        <color indexed="64"/>
      </right>
      <top style="dotted">
        <color indexed="64"/>
      </top>
      <bottom style="medium">
        <color indexed="64"/>
      </bottom>
      <diagonal/>
    </border>
  </borders>
  <cellStyleXfs count="2141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9"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40" fillId="65" borderId="31" applyNumberFormat="0" applyAlignment="0" applyProtection="0"/>
    <xf numFmtId="0" fontId="41" fillId="10" borderId="26"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0" fontId="40"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0" fontId="41" fillId="10" borderId="26"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0" fontId="40" fillId="65"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2" applyNumberFormat="0" applyAlignment="0" applyProtection="0">
      <alignment horizontal="left" vertical="center"/>
    </xf>
    <xf numFmtId="0" fontId="53" fillId="0" borderId="22" applyNumberFormat="0" applyAlignment="0" applyProtection="0">
      <alignment horizontal="left" vertical="center"/>
    </xf>
    <xf numFmtId="168" fontId="53" fillId="0" borderId="22" applyNumberFormat="0" applyAlignment="0" applyProtection="0">
      <alignment horizontal="left" vertical="center"/>
    </xf>
    <xf numFmtId="0" fontId="53" fillId="0" borderId="6">
      <alignment horizontal="left" vertical="center"/>
    </xf>
    <xf numFmtId="0" fontId="53" fillId="0" borderId="6">
      <alignment horizontal="left" vertical="center"/>
    </xf>
    <xf numFmtId="168" fontId="53" fillId="0" borderId="6">
      <alignment horizontal="left" vertical="center"/>
    </xf>
    <xf numFmtId="0" fontId="54" fillId="0" borderId="33" applyNumberFormat="0" applyFill="0" applyAlignment="0" applyProtection="0"/>
    <xf numFmtId="169" fontId="54" fillId="0" borderId="33" applyNumberFormat="0" applyFill="0" applyAlignment="0" applyProtection="0"/>
    <xf numFmtId="0"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169" fontId="55" fillId="0" borderId="34" applyNumberFormat="0" applyFill="0" applyAlignment="0" applyProtection="0"/>
    <xf numFmtId="0"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0" fontId="55" fillId="0" borderId="34" applyNumberFormat="0" applyFill="0" applyAlignment="0" applyProtection="0"/>
    <xf numFmtId="0" fontId="56" fillId="0" borderId="35" applyNumberFormat="0" applyFill="0" applyAlignment="0" applyProtection="0"/>
    <xf numFmtId="169"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5"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9"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0" fontId="65" fillId="43" borderId="30"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6" applyNumberFormat="0" applyFill="0" applyAlignment="0" applyProtection="0"/>
    <xf numFmtId="0" fontId="69" fillId="0" borderId="25"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0" fontId="68" fillId="0" borderId="36"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0" fontId="68"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37"/>
    <xf numFmtId="169" fontId="25" fillId="0" borderId="37"/>
    <xf numFmtId="168" fontId="25"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168"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168" fontId="2" fillId="0" borderId="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169"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169"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168" fontId="2" fillId="0" borderId="0"/>
    <xf numFmtId="168" fontId="2" fillId="0" borderId="0"/>
    <xf numFmtId="0" fontId="2"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9"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9"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24" fillId="0" borderId="41"/>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9"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2"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9"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3" fontId="2" fillId="72" borderId="85" applyFont="0">
      <alignment horizontal="right" vertical="center"/>
      <protection locked="0"/>
    </xf>
    <xf numFmtId="0" fontId="65"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9"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1" fillId="70" borderId="86" applyFont="0" applyBorder="0">
      <alignment horizontal="center" wrapText="1"/>
    </xf>
    <xf numFmtId="168" fontId="53" fillId="0" borderId="83">
      <alignment horizontal="left" vertical="center"/>
    </xf>
    <xf numFmtId="0" fontId="53" fillId="0" borderId="83">
      <alignment horizontal="left" vertical="center"/>
    </xf>
    <xf numFmtId="0" fontId="53" fillId="0" borderId="83">
      <alignment horizontal="left" vertical="center"/>
    </xf>
    <xf numFmtId="0" fontId="2" fillId="69" borderId="85" applyNumberFormat="0" applyFont="0" applyBorder="0" applyProtection="0">
      <alignment horizontal="center" vertical="center"/>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7"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9"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xf numFmtId="0" fontId="1" fillId="0" borderId="0"/>
  </cellStyleXfs>
  <cellXfs count="96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applyBorder="1" applyAlignment="1">
      <alignment horizontal="center"/>
    </xf>
    <xf numFmtId="0" fontId="4" fillId="0" borderId="3" xfId="0" applyFont="1" applyBorder="1"/>
    <xf numFmtId="0" fontId="8" fillId="0" borderId="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12" xfId="0" applyFont="1" applyBorder="1" applyAlignment="1">
      <alignment vertical="center"/>
    </xf>
    <xf numFmtId="0" fontId="8" fillId="0" borderId="1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4"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5" xfId="0" applyFont="1" applyBorder="1" applyAlignment="1">
      <alignment wrapText="1"/>
    </xf>
    <xf numFmtId="0" fontId="8" fillId="0" borderId="14" xfId="0" applyFont="1" applyBorder="1" applyAlignment="1">
      <alignment wrapText="1"/>
    </xf>
    <xf numFmtId="0" fontId="6" fillId="0" borderId="0" xfId="0" applyFont="1" applyBorder="1"/>
    <xf numFmtId="0" fontId="5" fillId="0" borderId="0" xfId="0" applyFont="1" applyAlignment="1">
      <alignment horizontal="center"/>
    </xf>
    <xf numFmtId="0" fontId="9" fillId="0" borderId="0" xfId="0" applyFont="1" applyFill="1" applyBorder="1" applyAlignment="1">
      <alignment horizontal="center" wrapText="1"/>
    </xf>
    <xf numFmtId="0" fontId="12" fillId="0" borderId="5" xfId="0" applyFont="1" applyBorder="1" applyAlignment="1">
      <alignment wrapText="1"/>
    </xf>
    <xf numFmtId="0" fontId="12" fillId="0" borderId="18"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4" fillId="0" borderId="0" xfId="0" applyFont="1" applyBorder="1" applyAlignment="1">
      <alignment horizontal="center" vertical="center" wrapText="1"/>
    </xf>
    <xf numFmtId="0" fontId="6" fillId="3" borderId="3" xfId="9" applyFont="1" applyFill="1" applyBorder="1" applyAlignment="1" applyProtection="1">
      <alignment horizontal="left" vertical="center" wrapText="1"/>
      <protection locked="0"/>
    </xf>
    <xf numFmtId="0" fontId="4" fillId="0" borderId="12"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12" xfId="1" applyNumberFormat="1" applyFont="1" applyFill="1" applyBorder="1" applyAlignment="1" applyProtection="1">
      <alignment horizontal="center" vertical="center" wrapText="1"/>
      <protection locked="0"/>
    </xf>
    <xf numFmtId="164" fontId="6" fillId="3" borderId="13" xfId="1" applyNumberFormat="1" applyFont="1" applyFill="1" applyBorder="1" applyAlignment="1" applyProtection="1">
      <alignment horizontal="center" vertical="center" wrapText="1"/>
      <protection locked="0"/>
    </xf>
    <xf numFmtId="0" fontId="4" fillId="0" borderId="9" xfId="0" applyFont="1" applyBorder="1"/>
    <xf numFmtId="0" fontId="4" fillId="0" borderId="11" xfId="0" applyFont="1" applyBorder="1"/>
    <xf numFmtId="0" fontId="6" fillId="3" borderId="15" xfId="9" applyFont="1" applyFill="1" applyBorder="1" applyAlignment="1" applyProtection="1">
      <alignment horizontal="left" vertical="center"/>
      <protection locked="0"/>
    </xf>
    <xf numFmtId="0" fontId="14" fillId="3" borderId="1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0" xfId="11" applyFont="1" applyFill="1" applyBorder="1" applyAlignment="1" applyProtection="1">
      <alignment vertical="center"/>
    </xf>
    <xf numFmtId="0" fontId="4" fillId="0" borderId="12" xfId="0" applyFont="1" applyBorder="1" applyAlignment="1">
      <alignment vertical="center"/>
    </xf>
    <xf numFmtId="0" fontId="8" fillId="2" borderId="15" xfId="0" applyFont="1" applyFill="1" applyBorder="1" applyAlignment="1">
      <alignment horizontal="right" vertical="center"/>
    </xf>
    <xf numFmtId="0" fontId="4" fillId="0" borderId="46" xfId="0" applyFont="1" applyBorder="1"/>
    <xf numFmtId="0" fontId="19" fillId="0" borderId="15" xfId="0" applyFont="1" applyBorder="1" applyAlignment="1">
      <alignment horizontal="center" vertical="center" wrapText="1"/>
    </xf>
    <xf numFmtId="0" fontId="4" fillId="0" borderId="47" xfId="0" applyFont="1" applyBorder="1"/>
    <xf numFmtId="0" fontId="6" fillId="0" borderId="9" xfId="9" applyFont="1" applyFill="1" applyBorder="1" applyAlignment="1" applyProtection="1">
      <alignment horizontal="center" vertical="center"/>
      <protection locked="0"/>
    </xf>
    <xf numFmtId="164" fontId="6" fillId="3" borderId="11" xfId="2" applyNumberFormat="1" applyFont="1" applyFill="1" applyBorder="1" applyAlignment="1" applyProtection="1">
      <alignment horizontal="center" vertical="center"/>
      <protection locked="0"/>
    </xf>
    <xf numFmtId="0" fontId="0" fillId="0" borderId="0" xfId="0" applyFont="1" applyFill="1"/>
    <xf numFmtId="0" fontId="4" fillId="0" borderId="50" xfId="0" applyFont="1" applyBorder="1"/>
    <xf numFmtId="0" fontId="4" fillId="0" borderId="10" xfId="0" applyFont="1" applyBorder="1"/>
    <xf numFmtId="0" fontId="4" fillId="0" borderId="15" xfId="0" applyFont="1" applyBorder="1"/>
    <xf numFmtId="0" fontId="11" fillId="0" borderId="0" xfId="0" applyFont="1" applyAlignment="1"/>
    <xf numFmtId="0" fontId="6" fillId="3" borderId="12" xfId="5" applyFont="1" applyFill="1" applyBorder="1" applyAlignment="1" applyProtection="1">
      <alignment horizontal="right" vertical="center"/>
      <protection locked="0"/>
    </xf>
    <xf numFmtId="0" fontId="14" fillId="3" borderId="16" xfId="16" applyFont="1" applyFill="1" applyBorder="1" applyAlignment="1" applyProtection="1">
      <protection locked="0"/>
    </xf>
    <xf numFmtId="0" fontId="4" fillId="0" borderId="10" xfId="0" applyFont="1" applyBorder="1" applyAlignment="1">
      <alignment wrapText="1"/>
    </xf>
    <xf numFmtId="0" fontId="4" fillId="0" borderId="11" xfId="0" applyFont="1" applyBorder="1" applyAlignment="1">
      <alignment wrapText="1"/>
    </xf>
    <xf numFmtId="0" fontId="5" fillId="0" borderId="16" xfId="0" applyFont="1" applyBorder="1"/>
    <xf numFmtId="0" fontId="8" fillId="3" borderId="12" xfId="5" applyFont="1" applyFill="1" applyBorder="1" applyAlignment="1" applyProtection="1">
      <alignment horizontal="left" vertical="center"/>
      <protection locked="0"/>
    </xf>
    <xf numFmtId="0" fontId="8" fillId="3" borderId="13" xfId="13" applyFont="1" applyFill="1" applyBorder="1" applyAlignment="1" applyProtection="1">
      <alignment horizontal="center" vertical="center" wrapText="1"/>
      <protection locked="0"/>
    </xf>
    <xf numFmtId="0" fontId="8" fillId="3" borderId="12" xfId="5" applyFont="1" applyFill="1" applyBorder="1" applyAlignment="1" applyProtection="1">
      <alignment horizontal="right" vertical="center"/>
      <protection locked="0"/>
    </xf>
    <xf numFmtId="3" fontId="8" fillId="36" borderId="13" xfId="5" applyNumberFormat="1" applyFont="1" applyFill="1" applyBorder="1" applyProtection="1">
      <protection locked="0"/>
    </xf>
    <xf numFmtId="0" fontId="8" fillId="3" borderId="15" xfId="9" applyFont="1" applyFill="1" applyBorder="1" applyAlignment="1" applyProtection="1">
      <alignment horizontal="right" vertical="center"/>
      <protection locked="0"/>
    </xf>
    <xf numFmtId="0" fontId="9" fillId="3" borderId="16" xfId="16" applyFont="1" applyFill="1" applyBorder="1" applyAlignment="1" applyProtection="1">
      <protection locked="0"/>
    </xf>
    <xf numFmtId="3" fontId="9" fillId="36" borderId="16" xfId="16" applyNumberFormat="1" applyFont="1" applyFill="1" applyBorder="1" applyAlignment="1" applyProtection="1">
      <protection locked="0"/>
    </xf>
    <xf numFmtId="164" fontId="9" fillId="36" borderId="17" xfId="1" applyNumberFormat="1" applyFont="1" applyFill="1" applyBorder="1" applyAlignment="1" applyProtection="1">
      <protection locked="0"/>
    </xf>
    <xf numFmtId="0" fontId="4" fillId="0" borderId="46" xfId="0" applyFont="1" applyBorder="1" applyAlignment="1">
      <alignment horizontal="center"/>
    </xf>
    <xf numFmtId="0" fontId="4" fillId="0" borderId="4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6" fillId="3" borderId="3" xfId="13"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8" fillId="0" borderId="2" xfId="20960" applyFont="1" applyFill="1" applyBorder="1" applyAlignment="1" applyProtection="1">
      <alignment horizontal="left" wrapText="1" indent="1"/>
    </xf>
    <xf numFmtId="0" fontId="17" fillId="0" borderId="0" xfId="11" applyFont="1" applyFill="1" applyBorder="1" applyAlignment="1" applyProtection="1">
      <alignment horizontal="right"/>
    </xf>
    <xf numFmtId="0" fontId="0" fillId="0" borderId="9" xfId="0" applyBorder="1" applyAlignment="1">
      <alignment horizontal="center" vertical="center"/>
    </xf>
    <xf numFmtId="0" fontId="5" fillId="36" borderId="20" xfId="0" applyFont="1" applyFill="1" applyBorder="1" applyAlignment="1">
      <alignment wrapText="1"/>
    </xf>
    <xf numFmtId="0" fontId="4" fillId="0" borderId="6" xfId="0" applyFont="1" applyFill="1" applyBorder="1" applyAlignment="1">
      <alignment vertical="center" wrapText="1"/>
    </xf>
    <xf numFmtId="0" fontId="5" fillId="36" borderId="6" xfId="0" applyFont="1" applyFill="1" applyBorder="1" applyAlignment="1">
      <alignment wrapText="1"/>
    </xf>
    <xf numFmtId="0" fontId="5" fillId="36" borderId="5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6" xfId="0" applyFont="1" applyFill="1" applyBorder="1" applyAlignment="1"/>
    <xf numFmtId="0" fontId="4" fillId="0" borderId="6" xfId="0" applyFont="1" applyBorder="1" applyAlignment="1">
      <alignment wrapText="1"/>
    </xf>
    <xf numFmtId="0" fontId="4" fillId="0" borderId="15" xfId="0" applyFont="1" applyBorder="1" applyAlignment="1">
      <alignment horizontal="center" vertical="center" wrapText="1"/>
    </xf>
    <xf numFmtId="0" fontId="4" fillId="0" borderId="6" xfId="0" applyFont="1" applyFill="1" applyBorder="1" applyAlignment="1">
      <alignment vertical="center"/>
    </xf>
    <xf numFmtId="0" fontId="9"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9" fillId="0" borderId="1" xfId="0" applyFont="1" applyBorder="1" applyAlignment="1">
      <alignment horizontal="center"/>
    </xf>
    <xf numFmtId="0" fontId="4" fillId="0" borderId="56" xfId="0" applyFont="1" applyBorder="1" applyAlignment="1">
      <alignment vertical="center" wrapText="1"/>
    </xf>
    <xf numFmtId="0" fontId="5" fillId="0" borderId="4"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15" xfId="0" applyFont="1" applyFill="1" applyBorder="1" applyAlignment="1">
      <alignment horizontal="center" vertical="center"/>
    </xf>
    <xf numFmtId="0" fontId="105" fillId="0" borderId="0" xfId="0" applyFont="1" applyFill="1" applyBorder="1" applyAlignment="1"/>
    <xf numFmtId="49" fontId="105" fillId="0" borderId="4" xfId="0" applyNumberFormat="1" applyFont="1" applyFill="1" applyBorder="1" applyAlignment="1">
      <alignment horizontal="right" vertical="center"/>
    </xf>
    <xf numFmtId="49" fontId="105" fillId="0" borderId="63" xfId="0" applyNumberFormat="1" applyFont="1" applyFill="1" applyBorder="1" applyAlignment="1">
      <alignment horizontal="right" vertical="center"/>
    </xf>
    <xf numFmtId="49" fontId="105" fillId="0" borderId="66" xfId="0" applyNumberFormat="1" applyFont="1" applyFill="1" applyBorder="1" applyAlignment="1">
      <alignment horizontal="right" vertical="center"/>
    </xf>
    <xf numFmtId="49" fontId="105" fillId="0" borderId="7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7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8" fillId="0" borderId="0" xfId="0" applyFont="1" applyBorder="1" applyAlignment="1">
      <alignment horizontal="left" wrapText="1"/>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93" fontId="8" fillId="2" borderId="16" xfId="0" applyNumberFormat="1" applyFont="1" applyFill="1" applyBorder="1" applyAlignment="1" applyProtection="1">
      <alignment vertical="center"/>
      <protection locked="0"/>
    </xf>
    <xf numFmtId="3" fontId="20" fillId="36" borderId="16" xfId="0" applyNumberFormat="1" applyFont="1" applyFill="1" applyBorder="1" applyAlignment="1">
      <alignment vertical="center" wrapText="1"/>
    </xf>
    <xf numFmtId="3" fontId="20" fillId="36" borderId="17" xfId="0" applyNumberFormat="1" applyFont="1" applyFill="1" applyBorder="1" applyAlignment="1">
      <alignment vertical="center" wrapText="1"/>
    </xf>
    <xf numFmtId="193" fontId="0" fillId="36" borderId="11" xfId="0" applyNumberFormat="1" applyFill="1" applyBorder="1" applyAlignment="1">
      <alignment horizontal="center" vertical="center"/>
    </xf>
    <xf numFmtId="193" fontId="0" fillId="36" borderId="13" xfId="0" applyNumberFormat="1" applyFill="1" applyBorder="1" applyAlignment="1">
      <alignment horizontal="center" vertical="center" wrapText="1"/>
    </xf>
    <xf numFmtId="193" fontId="0" fillId="36" borderId="17" xfId="0" applyNumberFormat="1" applyFill="1" applyBorder="1" applyAlignment="1">
      <alignment horizontal="center" vertical="center" wrapText="1"/>
    </xf>
    <xf numFmtId="193" fontId="4" fillId="36" borderId="16" xfId="0" applyNumberFormat="1" applyFont="1" applyFill="1" applyBorder="1"/>
    <xf numFmtId="193" fontId="4" fillId="0" borderId="12" xfId="0" applyNumberFormat="1" applyFont="1" applyBorder="1" applyAlignment="1"/>
    <xf numFmtId="193" fontId="4" fillId="36" borderId="43" xfId="0" applyNumberFormat="1" applyFont="1" applyFill="1" applyBorder="1" applyAlignment="1"/>
    <xf numFmtId="193" fontId="4" fillId="36" borderId="15" xfId="0" applyNumberFormat="1" applyFont="1" applyFill="1" applyBorder="1"/>
    <xf numFmtId="193" fontId="4" fillId="36" borderId="17" xfId="0" applyNumberFormat="1" applyFont="1" applyFill="1" applyBorder="1"/>
    <xf numFmtId="193" fontId="4" fillId="36" borderId="44" xfId="0" applyNumberFormat="1" applyFont="1" applyFill="1" applyBorder="1"/>
    <xf numFmtId="193" fontId="4" fillId="0" borderId="3" xfId="0" applyNumberFormat="1" applyFont="1" applyBorder="1"/>
    <xf numFmtId="193" fontId="4" fillId="0" borderId="3"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1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16" xfId="1" applyNumberFormat="1" applyFont="1" applyFill="1" applyBorder="1" applyAlignment="1" applyProtection="1">
      <protection locked="0"/>
    </xf>
    <xf numFmtId="193" fontId="8" fillId="3" borderId="16" xfId="5" applyNumberFormat="1" applyFont="1" applyFill="1" applyBorder="1" applyProtection="1">
      <protection locked="0"/>
    </xf>
    <xf numFmtId="193" fontId="22" fillId="0" borderId="0" xfId="0" applyNumberFormat="1" applyFont="1"/>
    <xf numFmtId="0" fontId="4" fillId="0" borderId="19" xfId="0" applyFont="1" applyBorder="1" applyAlignment="1">
      <alignment horizontal="center" vertical="center"/>
    </xf>
    <xf numFmtId="0" fontId="4" fillId="0" borderId="19" xfId="0" applyFont="1" applyBorder="1" applyAlignment="1">
      <alignment wrapText="1"/>
    </xf>
    <xf numFmtId="193" fontId="4" fillId="0" borderId="5" xfId="0" applyNumberFormat="1" applyFont="1" applyBorder="1"/>
    <xf numFmtId="193" fontId="4" fillId="0" borderId="14" xfId="0" applyNumberFormat="1" applyFont="1" applyBorder="1" applyAlignment="1"/>
    <xf numFmtId="193" fontId="4" fillId="0" borderId="1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13" xfId="20961" applyFont="1" applyBorder="1"/>
    <xf numFmtId="9" fontId="4" fillId="36" borderId="17" xfId="20961" applyFont="1" applyFill="1" applyBorder="1"/>
    <xf numFmtId="167" fontId="4" fillId="0" borderId="13" xfId="0" applyNumberFormat="1" applyFont="1" applyBorder="1" applyAlignment="1"/>
    <xf numFmtId="0" fontId="4" fillId="36" borderId="17" xfId="0" applyFont="1" applyFill="1" applyBorder="1"/>
    <xf numFmtId="0" fontId="8" fillId="0" borderId="9" xfId="0" applyFont="1" applyFill="1" applyBorder="1" applyAlignment="1">
      <alignment horizontal="right" vertical="center" wrapText="1"/>
    </xf>
    <xf numFmtId="0" fontId="6" fillId="0" borderId="10" xfId="0" applyFont="1" applyFill="1" applyBorder="1" applyAlignment="1">
      <alignment vertical="center" wrapText="1"/>
    </xf>
    <xf numFmtId="169" fontId="25" fillId="37" borderId="0" xfId="20" applyBorder="1"/>
    <xf numFmtId="169" fontId="25" fillId="37" borderId="79" xfId="20" applyBorder="1"/>
    <xf numFmtId="0" fontId="4" fillId="0" borderId="4" xfId="0" applyFont="1" applyFill="1" applyBorder="1" applyAlignment="1">
      <alignment vertical="center"/>
    </xf>
    <xf numFmtId="0" fontId="4" fillId="0" borderId="85" xfId="0" applyFont="1" applyFill="1" applyBorder="1" applyAlignment="1">
      <alignment vertical="center"/>
    </xf>
    <xf numFmtId="0" fontId="5" fillId="0" borderId="85" xfId="0" applyFont="1" applyFill="1" applyBorder="1" applyAlignment="1">
      <alignment vertical="center"/>
    </xf>
    <xf numFmtId="0" fontId="4" fillId="0" borderId="1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0" borderId="9"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169" fontId="25" fillId="37" borderId="22" xfId="20" applyBorder="1"/>
    <xf numFmtId="169" fontId="25" fillId="37" borderId="96" xfId="20" applyBorder="1"/>
    <xf numFmtId="169" fontId="25" fillId="37" borderId="87" xfId="20" applyBorder="1"/>
    <xf numFmtId="169" fontId="25" fillId="37" borderId="47" xfId="20" applyBorder="1"/>
    <xf numFmtId="0" fontId="4" fillId="3" borderId="50" xfId="0" applyFont="1" applyFill="1" applyBorder="1" applyAlignment="1">
      <alignment horizontal="center" vertical="center"/>
    </xf>
    <xf numFmtId="0" fontId="4" fillId="3" borderId="0" xfId="0" applyFont="1" applyFill="1" applyBorder="1" applyAlignment="1">
      <alignment vertical="center"/>
    </xf>
    <xf numFmtId="0" fontId="4" fillId="0" borderId="56" xfId="0" applyFont="1" applyFill="1" applyBorder="1" applyAlignment="1">
      <alignment horizontal="center" vertical="center"/>
    </xf>
    <xf numFmtId="0" fontId="4" fillId="3" borderId="83" xfId="0" applyFont="1" applyFill="1" applyBorder="1" applyAlignment="1">
      <alignment vertical="center"/>
    </xf>
    <xf numFmtId="0" fontId="13" fillId="3" borderId="97" xfId="0" applyFont="1" applyFill="1" applyBorder="1" applyAlignment="1">
      <alignment horizontal="left"/>
    </xf>
    <xf numFmtId="0" fontId="13" fillId="3" borderId="98"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105" fillId="0" borderId="73" xfId="0" applyFont="1" applyFill="1" applyBorder="1" applyAlignment="1">
      <alignment horizontal="right" vertical="center"/>
    </xf>
    <xf numFmtId="0" fontId="4" fillId="0" borderId="99" xfId="0" applyFont="1" applyFill="1" applyBorder="1" applyAlignment="1">
      <alignment horizontal="center" vertical="center" wrapText="1"/>
    </xf>
    <xf numFmtId="0" fontId="5" fillId="3" borderId="100" xfId="0" applyFont="1" applyFill="1" applyBorder="1" applyAlignment="1">
      <alignment vertical="center"/>
    </xf>
    <xf numFmtId="0" fontId="4" fillId="0" borderId="101" xfId="0" applyFont="1" applyFill="1" applyBorder="1" applyAlignment="1">
      <alignment horizontal="center" vertical="center"/>
    </xf>
    <xf numFmtId="0" fontId="5" fillId="0" borderId="16"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169" fontId="25" fillId="37" borderId="18" xfId="20" applyBorder="1"/>
    <xf numFmtId="0" fontId="6" fillId="0" borderId="9" xfId="11" applyFont="1" applyFill="1" applyBorder="1" applyAlignment="1" applyProtection="1">
      <alignment vertical="center"/>
    </xf>
    <xf numFmtId="0" fontId="6" fillId="0" borderId="10" xfId="11" applyFont="1" applyFill="1" applyBorder="1" applyAlignment="1" applyProtection="1">
      <alignment vertical="center"/>
    </xf>
    <xf numFmtId="193" fontId="0" fillId="0" borderId="13" xfId="0" applyNumberFormat="1" applyFill="1" applyBorder="1" applyAlignment="1">
      <alignment wrapText="1"/>
    </xf>
    <xf numFmtId="0" fontId="6" fillId="0" borderId="0" xfId="0" applyFont="1" applyFill="1" applyAlignment="1">
      <alignment wrapText="1"/>
    </xf>
    <xf numFmtId="0" fontId="5" fillId="36" borderId="10" xfId="0" applyFont="1" applyFill="1" applyBorder="1" applyAlignment="1">
      <alignment horizontal="center" vertical="center" wrapText="1"/>
    </xf>
    <xf numFmtId="0" fontId="5" fillId="36" borderId="101" xfId="0" applyFont="1" applyFill="1" applyBorder="1" applyAlignment="1">
      <alignment horizontal="left" vertical="center" wrapText="1"/>
    </xf>
    <xf numFmtId="0" fontId="5" fillId="36" borderId="85" xfId="0" applyFont="1" applyFill="1" applyBorder="1" applyAlignment="1">
      <alignment horizontal="left" vertical="center" wrapText="1"/>
    </xf>
    <xf numFmtId="0" fontId="4" fillId="0" borderId="101" xfId="0" applyFont="1" applyFill="1" applyBorder="1" applyAlignment="1">
      <alignment horizontal="right" vertical="center" wrapText="1"/>
    </xf>
    <xf numFmtId="0" fontId="4" fillId="0" borderId="85" xfId="0" applyFont="1" applyFill="1" applyBorder="1" applyAlignment="1">
      <alignment horizontal="left" vertical="center" wrapText="1"/>
    </xf>
    <xf numFmtId="0" fontId="108" fillId="0" borderId="101" xfId="0" applyFont="1" applyFill="1" applyBorder="1" applyAlignment="1">
      <alignment horizontal="right" vertical="center" wrapText="1"/>
    </xf>
    <xf numFmtId="0" fontId="108" fillId="0" borderId="85"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15" xfId="5" applyNumberFormat="1" applyFont="1" applyFill="1" applyBorder="1" applyAlignment="1" applyProtection="1">
      <alignment horizontal="left" vertical="center"/>
      <protection locked="0"/>
    </xf>
    <xf numFmtId="0" fontId="110" fillId="0" borderId="16" xfId="9" applyFont="1" applyFill="1" applyBorder="1" applyAlignment="1" applyProtection="1">
      <alignment horizontal="left" vertical="center" wrapText="1"/>
      <protection locked="0"/>
    </xf>
    <xf numFmtId="0" fontId="19" fillId="0" borderId="101" xfId="0" applyFont="1" applyBorder="1" applyAlignment="1">
      <alignment horizontal="center" vertical="center" wrapText="1"/>
    </xf>
    <xf numFmtId="3" fontId="20" fillId="36" borderId="85" xfId="0" applyNumberFormat="1" applyFont="1" applyFill="1" applyBorder="1" applyAlignment="1">
      <alignment vertical="center" wrapText="1"/>
    </xf>
    <xf numFmtId="3" fontId="20" fillId="36" borderId="99" xfId="0" applyNumberFormat="1" applyFont="1" applyFill="1" applyBorder="1" applyAlignment="1">
      <alignment vertical="center" wrapText="1"/>
    </xf>
    <xf numFmtId="14" fontId="6" fillId="3" borderId="85" xfId="8" quotePrefix="1" applyNumberFormat="1" applyFont="1" applyFill="1" applyBorder="1" applyAlignment="1" applyProtection="1">
      <alignment horizontal="left" vertical="center" wrapText="1" indent="2"/>
      <protection locked="0"/>
    </xf>
    <xf numFmtId="3" fontId="20" fillId="0" borderId="85" xfId="0" applyNumberFormat="1" applyFont="1" applyBorder="1" applyAlignment="1">
      <alignment vertical="center" wrapText="1"/>
    </xf>
    <xf numFmtId="14" fontId="6" fillId="3" borderId="85" xfId="8" quotePrefix="1" applyNumberFormat="1" applyFont="1" applyFill="1" applyBorder="1" applyAlignment="1" applyProtection="1">
      <alignment horizontal="left" vertical="center" wrapText="1" indent="3"/>
      <protection locked="0"/>
    </xf>
    <xf numFmtId="0" fontId="10" fillId="0" borderId="85" xfId="17" applyFill="1" applyBorder="1" applyAlignment="1" applyProtection="1"/>
    <xf numFmtId="49" fontId="108" fillId="0" borderId="101" xfId="0" applyNumberFormat="1" applyFont="1" applyFill="1" applyBorder="1" applyAlignment="1">
      <alignment horizontal="right" vertical="center" wrapText="1"/>
    </xf>
    <xf numFmtId="0" fontId="6" fillId="3" borderId="85" xfId="20960" applyFont="1" applyFill="1" applyBorder="1" applyAlignment="1" applyProtection="1"/>
    <xf numFmtId="0" fontId="102" fillId="0" borderId="85" xfId="20960" applyFont="1" applyFill="1" applyBorder="1" applyAlignment="1" applyProtection="1">
      <alignment horizontal="center" vertical="center"/>
    </xf>
    <xf numFmtId="0" fontId="4" fillId="0" borderId="85" xfId="0" applyFont="1" applyBorder="1"/>
    <xf numFmtId="0" fontId="10" fillId="0" borderId="85" xfId="17" applyFill="1" applyBorder="1" applyAlignment="1" applyProtection="1">
      <alignment horizontal="left" vertical="center" wrapText="1"/>
    </xf>
    <xf numFmtId="49" fontId="108" fillId="0" borderId="85" xfId="0" applyNumberFormat="1" applyFont="1" applyFill="1" applyBorder="1" applyAlignment="1">
      <alignment horizontal="right" vertical="center" wrapText="1"/>
    </xf>
    <xf numFmtId="0" fontId="10" fillId="0" borderId="85" xfId="17" applyFill="1" applyBorder="1" applyAlignment="1" applyProtection="1">
      <alignment horizontal="left" vertical="center"/>
    </xf>
    <xf numFmtId="0" fontId="4" fillId="0" borderId="85" xfId="0" applyFont="1" applyFill="1" applyBorder="1"/>
    <xf numFmtId="0" fontId="19" fillId="0" borderId="101" xfId="0" applyFont="1" applyFill="1" applyBorder="1" applyAlignment="1">
      <alignment horizontal="center" vertical="center" wrapText="1"/>
    </xf>
    <xf numFmtId="0" fontId="111" fillId="78" borderId="86" xfId="21412" applyFont="1" applyFill="1" applyBorder="1" applyAlignment="1" applyProtection="1">
      <alignment vertical="center" wrapText="1"/>
      <protection locked="0"/>
    </xf>
    <xf numFmtId="0" fontId="112" fillId="70" borderId="81" xfId="21412" applyFont="1" applyFill="1" applyBorder="1" applyAlignment="1" applyProtection="1">
      <alignment horizontal="center" vertical="center"/>
      <protection locked="0"/>
    </xf>
    <xf numFmtId="0" fontId="111" fillId="79" borderId="85" xfId="21412" applyFont="1" applyFill="1" applyBorder="1" applyAlignment="1" applyProtection="1">
      <alignment horizontal="center" vertical="center"/>
      <protection locked="0"/>
    </xf>
    <xf numFmtId="0" fontId="111" fillId="78" borderId="86" xfId="21412" applyFont="1" applyFill="1" applyBorder="1" applyAlignment="1" applyProtection="1">
      <alignment vertical="center"/>
      <protection locked="0"/>
    </xf>
    <xf numFmtId="0" fontId="113" fillId="70" borderId="81" xfId="21412" applyFont="1" applyFill="1" applyBorder="1" applyAlignment="1" applyProtection="1">
      <alignment horizontal="center" vertical="center"/>
      <protection locked="0"/>
    </xf>
    <xf numFmtId="0" fontId="113" fillId="3" borderId="81" xfId="21412" applyFont="1" applyFill="1" applyBorder="1" applyAlignment="1" applyProtection="1">
      <alignment horizontal="center" vertical="center"/>
      <protection locked="0"/>
    </xf>
    <xf numFmtId="0" fontId="113" fillId="0" borderId="81" xfId="21412" applyFont="1" applyFill="1" applyBorder="1" applyAlignment="1" applyProtection="1">
      <alignment horizontal="center" vertical="center"/>
      <protection locked="0"/>
    </xf>
    <xf numFmtId="0" fontId="114" fillId="79" borderId="85" xfId="21412" applyFont="1" applyFill="1" applyBorder="1" applyAlignment="1" applyProtection="1">
      <alignment horizontal="center" vertical="center"/>
      <protection locked="0"/>
    </xf>
    <xf numFmtId="0" fontId="111" fillId="78" borderId="86" xfId="21412" applyFont="1" applyFill="1" applyBorder="1" applyAlignment="1" applyProtection="1">
      <alignment horizontal="center" vertical="center"/>
      <protection locked="0"/>
    </xf>
    <xf numFmtId="0" fontId="61" fillId="78" borderId="86" xfId="21412" applyFont="1" applyFill="1" applyBorder="1" applyAlignment="1" applyProtection="1">
      <alignment vertical="center"/>
      <protection locked="0"/>
    </xf>
    <xf numFmtId="0" fontId="113" fillId="70" borderId="85" xfId="21412" applyFont="1" applyFill="1" applyBorder="1" applyAlignment="1" applyProtection="1">
      <alignment horizontal="center" vertical="center"/>
      <protection locked="0"/>
    </xf>
    <xf numFmtId="0" fontId="35" fillId="70" borderId="85" xfId="21412" applyFont="1" applyFill="1" applyBorder="1" applyAlignment="1" applyProtection="1">
      <alignment horizontal="center" vertical="center"/>
      <protection locked="0"/>
    </xf>
    <xf numFmtId="0" fontId="61" fillId="78" borderId="84" xfId="21412" applyFont="1" applyFill="1" applyBorder="1" applyAlignment="1" applyProtection="1">
      <alignment vertical="center"/>
      <protection locked="0"/>
    </xf>
    <xf numFmtId="0" fontId="112" fillId="0" borderId="84" xfId="21412" applyFont="1" applyFill="1" applyBorder="1" applyAlignment="1" applyProtection="1">
      <alignment horizontal="left" vertical="center" wrapText="1"/>
      <protection locked="0"/>
    </xf>
    <xf numFmtId="0" fontId="111" fillId="79" borderId="84" xfId="21412" applyFont="1" applyFill="1" applyBorder="1" applyAlignment="1" applyProtection="1">
      <alignment vertical="top" wrapText="1"/>
      <protection locked="0"/>
    </xf>
    <xf numFmtId="164" fontId="61" fillId="78" borderId="84" xfId="948" applyNumberFormat="1" applyFont="1" applyFill="1" applyBorder="1" applyAlignment="1" applyProtection="1">
      <alignment horizontal="right" vertical="center"/>
      <protection locked="0"/>
    </xf>
    <xf numFmtId="0" fontId="112" fillId="70" borderId="84" xfId="21412" applyFont="1" applyFill="1" applyBorder="1" applyAlignment="1" applyProtection="1">
      <alignment vertical="center" wrapText="1"/>
      <protection locked="0"/>
    </xf>
    <xf numFmtId="0" fontId="112" fillId="70" borderId="84" xfId="21412" applyFont="1" applyFill="1" applyBorder="1" applyAlignment="1" applyProtection="1">
      <alignment horizontal="left" vertical="center" wrapText="1"/>
      <protection locked="0"/>
    </xf>
    <xf numFmtId="0" fontId="112" fillId="0" borderId="84" xfId="21412" applyFont="1" applyFill="1" applyBorder="1" applyAlignment="1" applyProtection="1">
      <alignment vertical="center" wrapText="1"/>
      <protection locked="0"/>
    </xf>
    <xf numFmtId="0" fontId="112" fillId="3" borderId="84" xfId="21412" applyFont="1" applyFill="1" applyBorder="1" applyAlignment="1" applyProtection="1">
      <alignment horizontal="left" vertical="center" wrapText="1"/>
      <protection locked="0"/>
    </xf>
    <xf numFmtId="0" fontId="111" fillId="79" borderId="84" xfId="21412" applyFont="1" applyFill="1" applyBorder="1" applyAlignment="1" applyProtection="1">
      <alignment vertical="center" wrapText="1"/>
      <protection locked="0"/>
    </xf>
    <xf numFmtId="164" fontId="112" fillId="3" borderId="85" xfId="948" applyNumberFormat="1" applyFont="1" applyFill="1" applyBorder="1" applyAlignment="1" applyProtection="1">
      <alignment horizontal="right" vertical="center"/>
      <protection locked="0"/>
    </xf>
    <xf numFmtId="10" fontId="6" fillId="0" borderId="85" xfId="20961" applyNumberFormat="1" applyFont="1" applyFill="1" applyBorder="1" applyAlignment="1">
      <alignment horizontal="left" vertical="center" wrapText="1"/>
    </xf>
    <xf numFmtId="10" fontId="4" fillId="0" borderId="85" xfId="20961" applyNumberFormat="1" applyFont="1" applyFill="1" applyBorder="1" applyAlignment="1">
      <alignment horizontal="left" vertical="center" wrapText="1"/>
    </xf>
    <xf numFmtId="10" fontId="5" fillId="36" borderId="85" xfId="0" applyNumberFormat="1" applyFont="1" applyFill="1" applyBorder="1" applyAlignment="1">
      <alignment horizontal="left" vertical="center" wrapText="1"/>
    </xf>
    <xf numFmtId="10" fontId="108" fillId="0" borderId="85" xfId="20961" applyNumberFormat="1" applyFont="1" applyFill="1" applyBorder="1" applyAlignment="1">
      <alignment horizontal="left" vertical="center" wrapText="1"/>
    </xf>
    <xf numFmtId="10" fontId="5" fillId="36" borderId="85" xfId="20961" applyNumberFormat="1" applyFont="1" applyFill="1" applyBorder="1" applyAlignment="1">
      <alignment horizontal="left" vertical="center" wrapText="1"/>
    </xf>
    <xf numFmtId="10" fontId="5" fillId="36" borderId="85" xfId="0" applyNumberFormat="1" applyFont="1" applyFill="1" applyBorder="1" applyAlignment="1">
      <alignment horizontal="center" vertical="center" wrapText="1"/>
    </xf>
    <xf numFmtId="10" fontId="110" fillId="0" borderId="16" xfId="20961" applyNumberFormat="1" applyFont="1" applyFill="1" applyBorder="1" applyAlignment="1" applyProtection="1">
      <alignment horizontal="left" vertical="center"/>
    </xf>
    <xf numFmtId="43" fontId="6" fillId="0" borderId="0" xfId="7" applyFont="1"/>
    <xf numFmtId="0" fontId="106" fillId="0" borderId="0" xfId="0" applyFont="1" applyAlignment="1">
      <alignment wrapText="1"/>
    </xf>
    <xf numFmtId="0" fontId="9" fillId="0" borderId="19" xfId="0" applyFont="1" applyBorder="1" applyAlignment="1">
      <alignment horizontal="center" wrapText="1"/>
    </xf>
    <xf numFmtId="0" fontId="9" fillId="0" borderId="5" xfId="0" applyFont="1" applyBorder="1" applyAlignment="1">
      <alignment horizontal="center" vertical="center" wrapText="1"/>
    </xf>
    <xf numFmtId="0" fontId="8" fillId="0" borderId="101" xfId="0" applyFont="1" applyBorder="1" applyAlignment="1">
      <alignment horizontal="right" vertical="center" wrapText="1"/>
    </xf>
    <xf numFmtId="0" fontId="8" fillId="0" borderId="101" xfId="0" applyFont="1" applyFill="1" applyBorder="1" applyAlignment="1">
      <alignment horizontal="right" vertical="center" wrapText="1"/>
    </xf>
    <xf numFmtId="0" fontId="6" fillId="0" borderId="85" xfId="0" applyFont="1" applyFill="1" applyBorder="1" applyAlignment="1">
      <alignment vertical="center" wrapText="1"/>
    </xf>
    <xf numFmtId="0" fontId="4" fillId="0" borderId="85" xfId="0" applyFont="1" applyBorder="1" applyAlignment="1">
      <alignment vertical="center" wrapText="1"/>
    </xf>
    <xf numFmtId="0" fontId="4" fillId="0" borderId="85" xfId="0" applyFont="1" applyFill="1" applyBorder="1" applyAlignment="1">
      <alignment horizontal="left" vertical="center" wrapText="1" indent="2"/>
    </xf>
    <xf numFmtId="0" fontId="4" fillId="0" borderId="85" xfId="0" applyFont="1" applyFill="1" applyBorder="1" applyAlignment="1">
      <alignment vertical="center" wrapText="1"/>
    </xf>
    <xf numFmtId="3" fontId="20" fillId="36" borderId="86" xfId="0" applyNumberFormat="1" applyFont="1" applyFill="1" applyBorder="1" applyAlignment="1">
      <alignment vertical="center" wrapText="1"/>
    </xf>
    <xf numFmtId="3" fontId="20" fillId="36" borderId="14" xfId="0" applyNumberFormat="1" applyFont="1" applyFill="1" applyBorder="1" applyAlignment="1">
      <alignment vertical="center" wrapText="1"/>
    </xf>
    <xf numFmtId="3" fontId="20" fillId="36" borderId="18" xfId="0" applyNumberFormat="1" applyFont="1" applyFill="1" applyBorder="1" applyAlignment="1">
      <alignment vertical="center" wrapText="1"/>
    </xf>
    <xf numFmtId="3" fontId="20" fillId="36" borderId="29" xfId="0" applyNumberFormat="1" applyFont="1" applyFill="1" applyBorder="1" applyAlignment="1">
      <alignment vertical="center" wrapText="1"/>
    </xf>
    <xf numFmtId="0" fontId="5" fillId="0" borderId="16" xfId="0" applyFont="1" applyBorder="1" applyAlignment="1">
      <alignment vertical="center" wrapText="1"/>
    </xf>
    <xf numFmtId="0" fontId="4" fillId="0" borderId="99" xfId="0" applyFont="1" applyBorder="1" applyAlignment="1"/>
    <xf numFmtId="0" fontId="4" fillId="0" borderId="17" xfId="0" applyFont="1" applyBorder="1" applyAlignment="1"/>
    <xf numFmtId="0" fontId="8" fillId="0" borderId="99" xfId="0" applyFont="1" applyBorder="1" applyAlignment="1"/>
    <xf numFmtId="0" fontId="8" fillId="0" borderId="99" xfId="0" applyFont="1" applyBorder="1" applyAlignment="1">
      <alignment wrapText="1"/>
    </xf>
    <xf numFmtId="0" fontId="9" fillId="0" borderId="11" xfId="0" applyFont="1" applyBorder="1" applyAlignment="1">
      <alignment horizontal="center"/>
    </xf>
    <xf numFmtId="0" fontId="9" fillId="0" borderId="99" xfId="0" applyFont="1" applyBorder="1" applyAlignment="1">
      <alignment horizontal="center" vertical="center" wrapText="1"/>
    </xf>
    <xf numFmtId="0" fontId="2" fillId="0" borderId="10" xfId="0" applyNumberFormat="1" applyFont="1" applyFill="1" applyBorder="1" applyAlignment="1">
      <alignment horizontal="left" vertical="center" wrapText="1" indent="1"/>
    </xf>
    <xf numFmtId="0" fontId="2" fillId="0" borderId="11" xfId="0" applyNumberFormat="1" applyFont="1" applyFill="1" applyBorder="1" applyAlignment="1">
      <alignment horizontal="left" vertical="center" wrapText="1" indent="1"/>
    </xf>
    <xf numFmtId="0" fontId="8" fillId="0" borderId="101" xfId="0" applyFont="1" applyFill="1" applyBorder="1" applyAlignment="1">
      <alignment horizontal="center" vertical="center" wrapText="1"/>
    </xf>
    <xf numFmtId="0" fontId="14" fillId="0" borderId="85" xfId="0" applyFont="1" applyFill="1" applyBorder="1" applyAlignment="1">
      <alignment horizontal="center" vertical="center" wrapText="1"/>
    </xf>
    <xf numFmtId="0" fontId="15" fillId="0" borderId="85" xfId="0" applyFont="1" applyFill="1" applyBorder="1" applyAlignment="1">
      <alignment horizontal="left" vertical="center" wrapText="1"/>
    </xf>
    <xf numFmtId="0" fontId="6" fillId="0" borderId="85" xfId="0" applyFont="1" applyBorder="1" applyAlignment="1">
      <alignment vertical="center" wrapText="1"/>
    </xf>
    <xf numFmtId="0" fontId="8" fillId="2" borderId="101" xfId="0" applyFont="1" applyFill="1" applyBorder="1" applyAlignment="1">
      <alignment horizontal="right" vertical="center"/>
    </xf>
    <xf numFmtId="0" fontId="8" fillId="2" borderId="85" xfId="0" applyFont="1" applyFill="1" applyBorder="1" applyAlignment="1">
      <alignment vertical="center"/>
    </xf>
    <xf numFmtId="193" fontId="8" fillId="2" borderId="85" xfId="0" applyNumberFormat="1" applyFont="1" applyFill="1" applyBorder="1" applyAlignment="1" applyProtection="1">
      <alignment vertical="center"/>
      <protection locked="0"/>
    </xf>
    <xf numFmtId="193" fontId="16" fillId="2" borderId="85" xfId="0" applyNumberFormat="1" applyFont="1" applyFill="1" applyBorder="1" applyAlignment="1" applyProtection="1">
      <alignment vertical="center"/>
      <protection locked="0"/>
    </xf>
    <xf numFmtId="0" fontId="14" fillId="0" borderId="101"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3" borderId="46" xfId="0" applyFont="1" applyFill="1" applyBorder="1"/>
    <xf numFmtId="0" fontId="4" fillId="3" borderId="104" xfId="0" applyFont="1" applyFill="1" applyBorder="1" applyAlignment="1">
      <alignment wrapText="1"/>
    </xf>
    <xf numFmtId="0" fontId="4" fillId="3" borderId="105" xfId="0" applyFont="1" applyFill="1" applyBorder="1"/>
    <xf numFmtId="0" fontId="5" fillId="3" borderId="8" xfId="0" applyFont="1" applyFill="1" applyBorder="1" applyAlignment="1">
      <alignment horizontal="center" wrapText="1"/>
    </xf>
    <xf numFmtId="0" fontId="4" fillId="0" borderId="85" xfId="0" applyFont="1" applyFill="1" applyBorder="1" applyAlignment="1">
      <alignment horizontal="center"/>
    </xf>
    <xf numFmtId="0" fontId="4" fillId="0" borderId="85" xfId="0" applyFont="1" applyBorder="1" applyAlignment="1">
      <alignment horizontal="center"/>
    </xf>
    <xf numFmtId="0" fontId="4" fillId="3" borderId="5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79" xfId="0" applyFont="1" applyFill="1" applyBorder="1" applyAlignment="1">
      <alignment horizontal="center" vertical="center" wrapText="1"/>
    </xf>
    <xf numFmtId="0" fontId="4" fillId="0" borderId="101" xfId="0" applyFont="1" applyBorder="1"/>
    <xf numFmtId="0" fontId="4" fillId="0" borderId="85" xfId="0" applyFont="1" applyBorder="1" applyAlignment="1">
      <alignment wrapText="1"/>
    </xf>
    <xf numFmtId="164" fontId="4" fillId="0" borderId="85" xfId="7" applyNumberFormat="1" applyFont="1" applyBorder="1"/>
    <xf numFmtId="164" fontId="4" fillId="0" borderId="99" xfId="7" applyNumberFormat="1" applyFont="1" applyBorder="1"/>
    <xf numFmtId="0" fontId="13" fillId="0" borderId="85" xfId="0" applyFont="1" applyBorder="1" applyAlignment="1">
      <alignment horizontal="left" wrapText="1" indent="2"/>
    </xf>
    <xf numFmtId="169" fontId="25" fillId="37" borderId="85" xfId="20" applyBorder="1"/>
    <xf numFmtId="164" fontId="4" fillId="0" borderId="85" xfId="7" applyNumberFormat="1" applyFont="1" applyBorder="1" applyAlignment="1">
      <alignment vertical="center"/>
    </xf>
    <xf numFmtId="0" fontId="5" fillId="0" borderId="101" xfId="0" applyFont="1" applyBorder="1"/>
    <xf numFmtId="0" fontId="5" fillId="0" borderId="85" xfId="0" applyFont="1" applyBorder="1" applyAlignment="1">
      <alignment wrapText="1"/>
    </xf>
    <xf numFmtId="164" fontId="5" fillId="0" borderId="99" xfId="7" applyNumberFormat="1" applyFont="1" applyBorder="1"/>
    <xf numFmtId="0" fontId="3" fillId="3" borderId="5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79" xfId="7" applyNumberFormat="1" applyFont="1" applyFill="1" applyBorder="1"/>
    <xf numFmtId="164" fontId="4" fillId="0" borderId="85" xfId="7" applyNumberFormat="1" applyFont="1" applyFill="1" applyBorder="1"/>
    <xf numFmtId="164" fontId="4" fillId="0" borderId="85" xfId="7" applyNumberFormat="1" applyFont="1" applyFill="1" applyBorder="1" applyAlignment="1">
      <alignment vertical="center"/>
    </xf>
    <xf numFmtId="0" fontId="13" fillId="0" borderId="8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79" xfId="0" applyFont="1" applyFill="1" applyBorder="1"/>
    <xf numFmtId="0" fontId="5" fillId="0" borderId="15" xfId="0" applyFont="1" applyBorder="1"/>
    <xf numFmtId="0" fontId="5" fillId="0" borderId="16" xfId="0" applyFont="1" applyBorder="1" applyAlignment="1">
      <alignment wrapText="1"/>
    </xf>
    <xf numFmtId="169" fontId="25" fillId="37" borderId="102" xfId="20" applyBorder="1"/>
    <xf numFmtId="10" fontId="5" fillId="0" borderId="17" xfId="20961" applyNumberFormat="1" applyFont="1" applyBorder="1"/>
    <xf numFmtId="0" fontId="8" fillId="2" borderId="93" xfId="0" applyFont="1" applyFill="1" applyBorder="1" applyAlignment="1">
      <alignment horizontal="right" vertical="center"/>
    </xf>
    <xf numFmtId="0" fontId="8" fillId="2" borderId="81" xfId="0" applyFont="1" applyFill="1" applyBorder="1" applyAlignment="1">
      <alignment vertical="center"/>
    </xf>
    <xf numFmtId="0" fontId="8" fillId="0" borderId="85" xfId="0" applyFont="1" applyFill="1" applyBorder="1" applyAlignment="1">
      <alignment horizontal="left" vertical="center" wrapText="1"/>
    </xf>
    <xf numFmtId="0" fontId="5" fillId="3" borderId="0" xfId="0" applyFont="1" applyFill="1" applyBorder="1" applyAlignment="1">
      <alignment horizontal="center"/>
    </xf>
    <xf numFmtId="0" fontId="105" fillId="0" borderId="73" xfId="0" applyFont="1" applyFill="1" applyBorder="1" applyAlignment="1">
      <alignment horizontal="left" vertical="center"/>
    </xf>
    <xf numFmtId="0" fontId="105" fillId="0" borderId="71" xfId="0" applyFont="1" applyFill="1" applyBorder="1" applyAlignment="1">
      <alignment vertical="center" wrapText="1"/>
    </xf>
    <xf numFmtId="0" fontId="105" fillId="0" borderId="7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15" xfId="0" applyNumberFormat="1" applyFont="1" applyFill="1" applyBorder="1" applyAlignment="1">
      <alignment horizontal="left" vertical="center" wrapText="1"/>
    </xf>
    <xf numFmtId="0" fontId="124" fillId="0" borderId="0" xfId="0" applyFont="1"/>
    <xf numFmtId="49" fontId="105" fillId="0" borderId="85"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0" fillId="0" borderId="0" xfId="0" applyAlignment="1">
      <alignment horizontal="left" vertical="center"/>
    </xf>
    <xf numFmtId="0" fontId="8" fillId="0" borderId="122" xfId="0" applyFont="1" applyFill="1" applyBorder="1" applyAlignment="1" applyProtection="1">
      <alignment horizontal="center" vertical="center" wrapText="1"/>
    </xf>
    <xf numFmtId="0" fontId="8" fillId="0" borderId="99" xfId="0" applyFont="1" applyFill="1" applyBorder="1" applyAlignment="1" applyProtection="1">
      <alignment horizontal="center" vertical="center" wrapText="1"/>
    </xf>
    <xf numFmtId="0" fontId="0" fillId="0" borderId="122" xfId="0" applyBorder="1" applyAlignment="1">
      <alignment horizontal="center"/>
    </xf>
    <xf numFmtId="0" fontId="14" fillId="83" borderId="122" xfId="0" applyNumberFormat="1" applyFont="1" applyFill="1" applyBorder="1" applyAlignment="1">
      <alignment vertical="center" wrapText="1"/>
    </xf>
    <xf numFmtId="193" fontId="8" fillId="0" borderId="122" xfId="0" applyNumberFormat="1" applyFont="1" applyFill="1" applyBorder="1" applyAlignment="1" applyProtection="1">
      <alignment horizontal="right"/>
    </xf>
    <xf numFmtId="193" fontId="8" fillId="36" borderId="122" xfId="0" applyNumberFormat="1" applyFont="1" applyFill="1" applyBorder="1" applyAlignment="1" applyProtection="1">
      <alignment horizontal="right"/>
    </xf>
    <xf numFmtId="193" fontId="8" fillId="36" borderId="99" xfId="0" applyNumberFormat="1" applyFont="1" applyFill="1" applyBorder="1" applyAlignment="1" applyProtection="1">
      <alignment horizontal="right"/>
    </xf>
    <xf numFmtId="0" fontId="14" fillId="0" borderId="122" xfId="0" applyNumberFormat="1" applyFont="1" applyFill="1" applyBorder="1" applyAlignment="1">
      <alignment vertical="center" wrapText="1"/>
    </xf>
    <xf numFmtId="0" fontId="6" fillId="0" borderId="122" xfId="0" applyNumberFormat="1" applyFont="1" applyFill="1" applyBorder="1" applyAlignment="1">
      <alignment horizontal="left" vertical="center" wrapText="1" indent="1"/>
    </xf>
    <xf numFmtId="0" fontId="3" fillId="0" borderId="122" xfId="0" applyFont="1" applyBorder="1" applyAlignment="1">
      <alignment vertical="center"/>
    </xf>
    <xf numFmtId="0" fontId="135" fillId="0" borderId="122" xfId="0" applyFont="1" applyFill="1" applyBorder="1" applyAlignment="1" applyProtection="1">
      <alignment horizontal="left" vertical="center" indent="1"/>
      <protection locked="0"/>
    </xf>
    <xf numFmtId="0" fontId="136" fillId="0" borderId="122" xfId="0" applyFont="1" applyFill="1" applyBorder="1" applyAlignment="1" applyProtection="1">
      <alignment horizontal="left" vertical="center" indent="3"/>
      <protection locked="0"/>
    </xf>
    <xf numFmtId="0" fontId="137" fillId="0" borderId="122" xfId="0" applyFont="1" applyFill="1" applyBorder="1" applyAlignment="1" applyProtection="1">
      <alignment horizontal="left" vertical="center" indent="3"/>
      <protection locked="0"/>
    </xf>
    <xf numFmtId="0" fontId="3" fillId="0" borderId="122" xfId="0" applyFont="1" applyFill="1" applyBorder="1" applyAlignment="1">
      <alignment vertical="center"/>
    </xf>
    <xf numFmtId="0" fontId="3" fillId="0" borderId="122" xfId="0" applyFont="1" applyBorder="1"/>
    <xf numFmtId="0" fontId="0" fillId="0" borderId="0" xfId="0" applyAlignment="1">
      <alignment horizontal="center"/>
    </xf>
    <xf numFmtId="193" fontId="8" fillId="0" borderId="0" xfId="0" applyNumberFormat="1" applyFont="1" applyFill="1" applyBorder="1" applyAlignment="1" applyProtection="1">
      <alignment horizontal="right"/>
    </xf>
    <xf numFmtId="49" fontId="105" fillId="0" borderId="122" xfId="0" applyNumberFormat="1" applyFont="1" applyFill="1" applyBorder="1" applyAlignment="1">
      <alignment horizontal="right" vertical="center"/>
    </xf>
    <xf numFmtId="0" fontId="119" fillId="0" borderId="122" xfId="0" applyFont="1" applyBorder="1"/>
    <xf numFmtId="49" fontId="121" fillId="0" borderId="122" xfId="5" applyNumberFormat="1" applyFont="1" applyFill="1" applyBorder="1" applyAlignment="1" applyProtection="1">
      <alignment horizontal="right" vertical="center"/>
      <protection locked="0"/>
    </xf>
    <xf numFmtId="0" fontId="120" fillId="3" borderId="122" xfId="13" applyFont="1" applyFill="1" applyBorder="1" applyAlignment="1" applyProtection="1">
      <alignment horizontal="left" vertical="center" wrapText="1"/>
      <protection locked="0"/>
    </xf>
    <xf numFmtId="49" fontId="120" fillId="3" borderId="122" xfId="5" applyNumberFormat="1" applyFont="1" applyFill="1" applyBorder="1" applyAlignment="1" applyProtection="1">
      <alignment horizontal="right" vertical="center"/>
      <protection locked="0"/>
    </xf>
    <xf numFmtId="0" fontId="120" fillId="0" borderId="122" xfId="13" applyFont="1" applyFill="1" applyBorder="1" applyAlignment="1" applyProtection="1">
      <alignment horizontal="left" vertical="center" wrapText="1"/>
      <protection locked="0"/>
    </xf>
    <xf numFmtId="49" fontId="120" fillId="0" borderId="122" xfId="5" applyNumberFormat="1" applyFont="1" applyFill="1" applyBorder="1" applyAlignment="1" applyProtection="1">
      <alignment horizontal="right" vertical="center"/>
      <protection locked="0"/>
    </xf>
    <xf numFmtId="0" fontId="122" fillId="0" borderId="122" xfId="13" applyFont="1" applyFill="1" applyBorder="1" applyAlignment="1" applyProtection="1">
      <alignment horizontal="left" vertical="center" wrapText="1"/>
      <protection locked="0"/>
    </xf>
    <xf numFmtId="166" fontId="115" fillId="36" borderId="128" xfId="21413" applyFont="1" applyFill="1" applyBorder="1"/>
    <xf numFmtId="0" fontId="115" fillId="0" borderId="128" xfId="0" applyFont="1" applyBorder="1"/>
    <xf numFmtId="0" fontId="115" fillId="0" borderId="128" xfId="0" applyFont="1" applyFill="1" applyBorder="1"/>
    <xf numFmtId="0" fontId="115" fillId="0" borderId="128" xfId="0" applyFont="1" applyBorder="1" applyAlignment="1">
      <alignment horizontal="left" indent="8"/>
    </xf>
    <xf numFmtId="0" fontId="115" fillId="0" borderId="128" xfId="0" applyFont="1" applyBorder="1" applyAlignment="1">
      <alignment wrapText="1"/>
    </xf>
    <xf numFmtId="0" fontId="118" fillId="0" borderId="128" xfId="0" applyFont="1" applyBorder="1"/>
    <xf numFmtId="49" fontId="121" fillId="0" borderId="128" xfId="5" applyNumberFormat="1" applyFont="1" applyFill="1" applyBorder="1" applyAlignment="1" applyProtection="1">
      <alignment horizontal="right" vertical="center" wrapText="1"/>
      <protection locked="0"/>
    </xf>
    <xf numFmtId="49" fontId="120" fillId="3" borderId="128" xfId="5" applyNumberFormat="1" applyFont="1" applyFill="1" applyBorder="1" applyAlignment="1" applyProtection="1">
      <alignment horizontal="right" vertical="center" wrapText="1"/>
      <protection locked="0"/>
    </xf>
    <xf numFmtId="49" fontId="120" fillId="0" borderId="128" xfId="5" applyNumberFormat="1" applyFont="1" applyFill="1" applyBorder="1" applyAlignment="1" applyProtection="1">
      <alignment horizontal="right" vertical="center" wrapText="1"/>
      <protection locked="0"/>
    </xf>
    <xf numFmtId="0" fontId="115" fillId="0" borderId="128" xfId="0" applyFont="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28"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28" xfId="0" applyFont="1" applyFill="1" applyBorder="1"/>
    <xf numFmtId="0" fontId="115" fillId="0" borderId="128" xfId="0" applyNumberFormat="1" applyFont="1" applyFill="1" applyBorder="1" applyAlignment="1">
      <alignment horizontal="left" vertical="center" wrapText="1"/>
    </xf>
    <xf numFmtId="0" fontId="118" fillId="0" borderId="128" xfId="0" applyFont="1" applyFill="1" applyBorder="1" applyAlignment="1">
      <alignment horizontal="left" wrapText="1" indent="1"/>
    </xf>
    <xf numFmtId="0" fontId="118" fillId="0" borderId="128" xfId="0" applyFont="1" applyFill="1" applyBorder="1" applyAlignment="1">
      <alignment horizontal="left" vertical="center" indent="1"/>
    </xf>
    <xf numFmtId="0" fontId="115" fillId="0" borderId="128" xfId="0" applyFont="1" applyFill="1" applyBorder="1" applyAlignment="1">
      <alignment horizontal="left" wrapText="1" indent="1"/>
    </xf>
    <xf numFmtId="0" fontId="115" fillId="0" borderId="128" xfId="0" applyFont="1" applyFill="1" applyBorder="1" applyAlignment="1">
      <alignment horizontal="left" indent="1"/>
    </xf>
    <xf numFmtId="0" fontId="115" fillId="0" borderId="128" xfId="0" applyFont="1" applyFill="1" applyBorder="1" applyAlignment="1">
      <alignment horizontal="left" wrapText="1" indent="4"/>
    </xf>
    <xf numFmtId="0" fontId="115" fillId="0" borderId="128" xfId="0" applyNumberFormat="1" applyFont="1" applyFill="1" applyBorder="1" applyAlignment="1">
      <alignment horizontal="left" indent="3"/>
    </xf>
    <xf numFmtId="0" fontId="118" fillId="0" borderId="128" xfId="0" applyFont="1" applyFill="1" applyBorder="1" applyAlignment="1">
      <alignment horizontal="left" indent="1"/>
    </xf>
    <xf numFmtId="0" fontId="119" fillId="0" borderId="128" xfId="0" applyFont="1" applyFill="1" applyBorder="1" applyAlignment="1">
      <alignment horizontal="center" vertical="center" wrapText="1"/>
    </xf>
    <xf numFmtId="0" fontId="115" fillId="80" borderId="128" xfId="0" applyFont="1" applyFill="1" applyBorder="1"/>
    <xf numFmtId="0" fontId="118" fillId="0" borderId="4" xfId="0" applyFont="1" applyBorder="1"/>
    <xf numFmtId="0" fontId="115" fillId="0" borderId="128" xfId="0" applyFont="1" applyFill="1" applyBorder="1" applyAlignment="1">
      <alignment horizontal="left" wrapText="1" indent="2"/>
    </xf>
    <xf numFmtId="0" fontId="115" fillId="0" borderId="128" xfId="0" applyFont="1" applyFill="1" applyBorder="1" applyAlignment="1">
      <alignment horizontal="left" wrapText="1"/>
    </xf>
    <xf numFmtId="0" fontId="115" fillId="0" borderId="0" xfId="0" applyFont="1" applyBorder="1"/>
    <xf numFmtId="0" fontId="118" fillId="84" borderId="128" xfId="0" applyFont="1" applyFill="1" applyBorder="1"/>
    <xf numFmtId="0" fontId="115" fillId="0" borderId="128" xfId="0" applyFont="1" applyBorder="1" applyAlignment="1">
      <alignment horizontal="left" indent="1"/>
    </xf>
    <xf numFmtId="0" fontId="115" fillId="0" borderId="128" xfId="0" applyFont="1" applyBorder="1" applyAlignment="1">
      <alignment horizontal="center"/>
    </xf>
    <xf numFmtId="0" fontId="115" fillId="0" borderId="128" xfId="0" applyFont="1" applyFill="1" applyBorder="1" applyAlignment="1">
      <alignment horizontal="center" vertical="center" wrapText="1"/>
    </xf>
    <xf numFmtId="0" fontId="115" fillId="0" borderId="4" xfId="0" applyFont="1" applyBorder="1" applyAlignment="1">
      <alignment horizontal="center" vertical="center" wrapText="1"/>
    </xf>
    <xf numFmtId="0" fontId="115" fillId="0" borderId="8" xfId="0" applyFont="1" applyBorder="1" applyAlignment="1">
      <alignment horizontal="center" vertical="center" wrapText="1"/>
    </xf>
    <xf numFmtId="0" fontId="115" fillId="0" borderId="45" xfId="0" applyFont="1" applyBorder="1" applyAlignment="1">
      <alignment wrapText="1"/>
    </xf>
    <xf numFmtId="0" fontId="115" fillId="0" borderId="4" xfId="0" applyFont="1" applyBorder="1" applyAlignment="1">
      <alignment wrapText="1"/>
    </xf>
    <xf numFmtId="0" fontId="115" fillId="0" borderId="127"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26" xfId="0" applyFont="1" applyFill="1" applyBorder="1" applyAlignment="1">
      <alignment horizontal="center" vertical="center" wrapText="1"/>
    </xf>
    <xf numFmtId="0" fontId="115" fillId="0" borderId="0" xfId="0" applyFont="1" applyFill="1"/>
    <xf numFmtId="49" fontId="115" fillId="0" borderId="134" xfId="0" applyNumberFormat="1" applyFont="1" applyFill="1" applyBorder="1" applyAlignment="1">
      <alignment horizontal="left" wrapText="1" indent="1"/>
    </xf>
    <xf numFmtId="0" fontId="115" fillId="0" borderId="136" xfId="0" applyNumberFormat="1" applyFont="1" applyFill="1" applyBorder="1" applyAlignment="1">
      <alignment horizontal="left" wrapText="1" indent="1"/>
    </xf>
    <xf numFmtId="49" fontId="115" fillId="0" borderId="137" xfId="0" applyNumberFormat="1" applyFont="1" applyFill="1" applyBorder="1" applyAlignment="1">
      <alignment horizontal="left" wrapText="1" indent="1"/>
    </xf>
    <xf numFmtId="0" fontId="115" fillId="0" borderId="138" xfId="0" applyNumberFormat="1" applyFont="1" applyFill="1" applyBorder="1" applyAlignment="1">
      <alignment horizontal="left" wrapText="1" indent="1"/>
    </xf>
    <xf numFmtId="49" fontId="115" fillId="0" borderId="138" xfId="0" applyNumberFormat="1" applyFont="1" applyFill="1" applyBorder="1" applyAlignment="1">
      <alignment horizontal="left" wrapText="1" indent="3"/>
    </xf>
    <xf numFmtId="49" fontId="115" fillId="0" borderId="137" xfId="0" applyNumberFormat="1" applyFont="1" applyFill="1" applyBorder="1" applyAlignment="1">
      <alignment horizontal="left" wrapText="1" indent="3"/>
    </xf>
    <xf numFmtId="49" fontId="115" fillId="0" borderId="137" xfId="0" applyNumberFormat="1" applyFont="1" applyFill="1" applyBorder="1" applyAlignment="1">
      <alignment horizontal="left" wrapText="1" indent="2"/>
    </xf>
    <xf numFmtId="49" fontId="115" fillId="0" borderId="138" xfId="0" applyNumberFormat="1" applyFont="1" applyBorder="1" applyAlignment="1">
      <alignment horizontal="left" wrapText="1" indent="2"/>
    </xf>
    <xf numFmtId="49" fontId="115" fillId="0" borderId="137" xfId="0" applyNumberFormat="1" applyFont="1" applyFill="1" applyBorder="1" applyAlignment="1">
      <alignment horizontal="left" vertical="top" wrapText="1" indent="2"/>
    </xf>
    <xf numFmtId="49" fontId="115" fillId="0" borderId="137" xfId="0" applyNumberFormat="1" applyFont="1" applyFill="1" applyBorder="1" applyAlignment="1">
      <alignment horizontal="left" indent="1"/>
    </xf>
    <xf numFmtId="0" fontId="115" fillId="0" borderId="138" xfId="0" applyNumberFormat="1" applyFont="1" applyBorder="1" applyAlignment="1">
      <alignment horizontal="left" indent="1"/>
    </xf>
    <xf numFmtId="49" fontId="115" fillId="0" borderId="138" xfId="0" applyNumberFormat="1" applyFont="1" applyBorder="1" applyAlignment="1">
      <alignment horizontal="left" indent="1"/>
    </xf>
    <xf numFmtId="49" fontId="115" fillId="0" borderId="137" xfId="0" applyNumberFormat="1" applyFont="1" applyFill="1" applyBorder="1" applyAlignment="1">
      <alignment horizontal="left" indent="3"/>
    </xf>
    <xf numFmtId="49" fontId="115" fillId="0" borderId="138" xfId="0" applyNumberFormat="1" applyFont="1" applyBorder="1" applyAlignment="1">
      <alignment horizontal="left" indent="3"/>
    </xf>
    <xf numFmtId="0" fontId="115" fillId="0" borderId="138" xfId="0" applyFont="1" applyBorder="1" applyAlignment="1">
      <alignment horizontal="left" indent="2"/>
    </xf>
    <xf numFmtId="0" fontId="115" fillId="0" borderId="137" xfId="0" applyFont="1" applyBorder="1" applyAlignment="1">
      <alignment horizontal="left" indent="2"/>
    </xf>
    <xf numFmtId="0" fontId="115" fillId="0" borderId="138" xfId="0" applyFont="1" applyBorder="1" applyAlignment="1">
      <alignment horizontal="left" indent="1"/>
    </xf>
    <xf numFmtId="0" fontId="115" fillId="0" borderId="137" xfId="0" applyFont="1" applyBorder="1" applyAlignment="1">
      <alignment horizontal="left" indent="1"/>
    </xf>
    <xf numFmtId="0" fontId="118" fillId="0" borderId="51" xfId="0" applyFont="1" applyBorder="1"/>
    <xf numFmtId="0" fontId="115" fillId="0" borderId="56"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8" fillId="0" borderId="128" xfId="0" applyNumberFormat="1" applyFont="1" applyFill="1" applyBorder="1" applyAlignment="1">
      <alignment horizontal="left" vertical="center" wrapText="1"/>
    </xf>
    <xf numFmtId="0" fontId="115" fillId="0" borderId="4" xfId="0" applyFont="1" applyFill="1" applyBorder="1" applyAlignment="1">
      <alignment horizontal="center" vertical="center" wrapText="1"/>
    </xf>
    <xf numFmtId="0" fontId="8" fillId="0" borderId="0" xfId="0" applyFont="1" applyFill="1" applyBorder="1" applyAlignment="1">
      <alignment wrapText="1"/>
    </xf>
    <xf numFmtId="0" fontId="120" fillId="0" borderId="128" xfId="0" applyFont="1" applyBorder="1"/>
    <xf numFmtId="0" fontId="118" fillId="0" borderId="128"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20" xfId="0" applyNumberFormat="1" applyFont="1" applyFill="1" applyBorder="1" applyAlignment="1">
      <alignment horizontal="left" vertical="center" wrapText="1" indent="1" readingOrder="1"/>
    </xf>
    <xf numFmtId="0" fontId="120" fillId="0" borderId="128" xfId="0" applyFont="1" applyBorder="1" applyAlignment="1">
      <alignment horizontal="left" indent="3"/>
    </xf>
    <xf numFmtId="0" fontId="118" fillId="0" borderId="128" xfId="0" applyNumberFormat="1" applyFont="1" applyFill="1" applyBorder="1" applyAlignment="1">
      <alignment vertical="center" wrapText="1" readingOrder="1"/>
    </xf>
    <xf numFmtId="0" fontId="120" fillId="0" borderId="128" xfId="0" applyFont="1" applyFill="1" applyBorder="1" applyAlignment="1">
      <alignment horizontal="left" indent="2"/>
    </xf>
    <xf numFmtId="0" fontId="115" fillId="0" borderId="121" xfId="0" applyNumberFormat="1" applyFont="1" applyFill="1" applyBorder="1" applyAlignment="1">
      <alignment vertical="center" wrapText="1" readingOrder="1"/>
    </xf>
    <xf numFmtId="0" fontId="120" fillId="0" borderId="129" xfId="0" applyFont="1" applyBorder="1" applyAlignment="1">
      <alignment horizontal="left" indent="2"/>
    </xf>
    <xf numFmtId="0" fontId="115" fillId="0" borderId="120" xfId="0" applyNumberFormat="1" applyFont="1" applyFill="1" applyBorder="1" applyAlignment="1">
      <alignment vertical="center" wrapText="1" readingOrder="1"/>
    </xf>
    <xf numFmtId="0" fontId="120" fillId="0" borderId="128" xfId="0" applyFont="1" applyBorder="1" applyAlignment="1">
      <alignment horizontal="left" indent="2"/>
    </xf>
    <xf numFmtId="0" fontId="115" fillId="0" borderId="119" xfId="0" applyNumberFormat="1" applyFont="1" applyFill="1" applyBorder="1" applyAlignment="1">
      <alignment vertical="center" wrapText="1" readingOrder="1"/>
    </xf>
    <xf numFmtId="0" fontId="138" fillId="0" borderId="4" xfId="0" applyFont="1" applyBorder="1"/>
    <xf numFmtId="0" fontId="105" fillId="0" borderId="128" xfId="0" applyFont="1" applyFill="1" applyBorder="1" applyAlignment="1">
      <alignment vertical="center" wrapText="1"/>
    </xf>
    <xf numFmtId="0" fontId="105" fillId="0" borderId="128" xfId="0" applyFont="1" applyBorder="1" applyAlignment="1">
      <alignment horizontal="left" vertical="center" wrapText="1"/>
    </xf>
    <xf numFmtId="0" fontId="105" fillId="0" borderId="128" xfId="0" applyFont="1" applyBorder="1" applyAlignment="1">
      <alignment horizontal="left" indent="2"/>
    </xf>
    <xf numFmtId="0" fontId="105" fillId="0" borderId="128" xfId="0" applyNumberFormat="1" applyFont="1" applyFill="1" applyBorder="1" applyAlignment="1">
      <alignment vertical="center" wrapText="1"/>
    </xf>
    <xf numFmtId="0" fontId="105" fillId="0" borderId="128" xfId="0" applyNumberFormat="1" applyFont="1" applyFill="1" applyBorder="1" applyAlignment="1">
      <alignment horizontal="left" vertical="center" indent="1"/>
    </xf>
    <xf numFmtId="0" fontId="105" fillId="0" borderId="128" xfId="0" applyNumberFormat="1" applyFont="1" applyFill="1" applyBorder="1" applyAlignment="1">
      <alignment horizontal="left" vertical="center" wrapText="1" indent="1"/>
    </xf>
    <xf numFmtId="0" fontId="105" fillId="0" borderId="128" xfId="0" applyNumberFormat="1" applyFont="1" applyFill="1" applyBorder="1" applyAlignment="1">
      <alignment horizontal="right" vertical="center"/>
    </xf>
    <xf numFmtId="49" fontId="105" fillId="0" borderId="128" xfId="0" applyNumberFormat="1" applyFont="1" applyFill="1" applyBorder="1" applyAlignment="1">
      <alignment horizontal="right" vertical="center"/>
    </xf>
    <xf numFmtId="0" fontId="105" fillId="0" borderId="129" xfId="0" applyNumberFormat="1" applyFont="1" applyFill="1" applyBorder="1" applyAlignment="1">
      <alignment horizontal="left" vertical="top" wrapText="1"/>
    </xf>
    <xf numFmtId="49" fontId="105" fillId="0" borderId="128" xfId="0" applyNumberFormat="1" applyFont="1" applyFill="1" applyBorder="1" applyAlignment="1">
      <alignment vertical="top" wrapText="1"/>
    </xf>
    <xf numFmtId="49" fontId="105" fillId="0" borderId="128" xfId="0" applyNumberFormat="1" applyFont="1" applyFill="1" applyBorder="1" applyAlignment="1">
      <alignment horizontal="left" vertical="top" wrapText="1" indent="2"/>
    </xf>
    <xf numFmtId="49" fontId="105" fillId="0" borderId="128" xfId="0" applyNumberFormat="1" applyFont="1" applyFill="1" applyBorder="1" applyAlignment="1">
      <alignment horizontal="left" vertical="center" wrapText="1" indent="3"/>
    </xf>
    <xf numFmtId="49" fontId="105" fillId="0" borderId="128" xfId="0" applyNumberFormat="1" applyFont="1" applyFill="1" applyBorder="1" applyAlignment="1">
      <alignment horizontal="left" wrapText="1" indent="2"/>
    </xf>
    <xf numFmtId="49" fontId="105" fillId="0" borderId="128" xfId="0" applyNumberFormat="1" applyFont="1" applyFill="1" applyBorder="1" applyAlignment="1">
      <alignment horizontal="left" vertical="top" wrapText="1"/>
    </xf>
    <xf numFmtId="49" fontId="105" fillId="0" borderId="128" xfId="0" applyNumberFormat="1" applyFont="1" applyFill="1" applyBorder="1" applyAlignment="1">
      <alignment horizontal="left" wrapText="1" indent="3"/>
    </xf>
    <xf numFmtId="49" fontId="105" fillId="0" borderId="128" xfId="0" applyNumberFormat="1" applyFont="1" applyFill="1" applyBorder="1" applyAlignment="1">
      <alignment vertical="center"/>
    </xf>
    <xf numFmtId="0" fontId="105" fillId="0" borderId="128" xfId="0" applyFont="1" applyFill="1" applyBorder="1" applyAlignment="1">
      <alignment horizontal="left" vertical="center" wrapText="1"/>
    </xf>
    <xf numFmtId="49" fontId="105" fillId="0" borderId="128" xfId="0" applyNumberFormat="1" applyFont="1" applyFill="1" applyBorder="1" applyAlignment="1">
      <alignment horizontal="left" indent="3"/>
    </xf>
    <xf numFmtId="0" fontId="105" fillId="0" borderId="128" xfId="0" applyFont="1" applyBorder="1" applyAlignment="1">
      <alignment horizontal="left" indent="1"/>
    </xf>
    <xf numFmtId="0" fontId="105" fillId="0" borderId="128" xfId="0" applyNumberFormat="1" applyFont="1" applyFill="1" applyBorder="1" applyAlignment="1">
      <alignment horizontal="left" vertical="center" wrapText="1"/>
    </xf>
    <xf numFmtId="0" fontId="105" fillId="0" borderId="128" xfId="0" applyFont="1" applyFill="1" applyBorder="1" applyAlignment="1">
      <alignment horizontal="left" wrapText="1" indent="2"/>
    </xf>
    <xf numFmtId="0" fontId="105" fillId="0" borderId="128" xfId="0" applyFont="1" applyBorder="1" applyAlignment="1">
      <alignment horizontal="left" vertical="top" wrapText="1"/>
    </xf>
    <xf numFmtId="0" fontId="104" fillId="0" borderId="4" xfId="0" applyFont="1" applyBorder="1" applyAlignment="1">
      <alignment wrapText="1"/>
    </xf>
    <xf numFmtId="0" fontId="105" fillId="0" borderId="128" xfId="0" applyFont="1" applyBorder="1" applyAlignment="1">
      <alignment horizontal="left" vertical="top" wrapText="1" indent="2"/>
    </xf>
    <xf numFmtId="0" fontId="105" fillId="0" borderId="128" xfId="0" applyFont="1" applyBorder="1" applyAlignment="1">
      <alignment horizontal="left" wrapText="1"/>
    </xf>
    <xf numFmtId="0" fontId="105" fillId="0" borderId="128" xfId="12672" applyFont="1" applyFill="1" applyBorder="1" applyAlignment="1">
      <alignment horizontal="left" vertical="center" wrapText="1" indent="2"/>
    </xf>
    <xf numFmtId="0" fontId="105" fillId="0" borderId="128" xfId="0" applyFont="1" applyBorder="1" applyAlignment="1">
      <alignment horizontal="left" wrapText="1" indent="2"/>
    </xf>
    <xf numFmtId="0" fontId="105" fillId="0" borderId="128" xfId="0" applyFont="1" applyBorder="1" applyAlignment="1">
      <alignment wrapText="1"/>
    </xf>
    <xf numFmtId="0" fontId="105" fillId="0" borderId="128" xfId="0" applyFont="1" applyBorder="1"/>
    <xf numFmtId="0" fontId="105" fillId="0" borderId="128" xfId="12672" applyFont="1" applyFill="1" applyBorder="1" applyAlignment="1">
      <alignment horizontal="left" vertical="center" wrapText="1"/>
    </xf>
    <xf numFmtId="0" fontId="104" fillId="0" borderId="128" xfId="0" applyFont="1" applyBorder="1" applyAlignment="1">
      <alignment wrapText="1"/>
    </xf>
    <xf numFmtId="0" fontId="105" fillId="0" borderId="130" xfId="0" applyNumberFormat="1" applyFont="1" applyFill="1" applyBorder="1" applyAlignment="1">
      <alignment horizontal="left" vertical="center" wrapText="1"/>
    </xf>
    <xf numFmtId="0" fontId="105" fillId="3" borderId="128" xfId="5" applyNumberFormat="1" applyFont="1" applyFill="1" applyBorder="1" applyAlignment="1" applyProtection="1">
      <alignment horizontal="right" vertical="center"/>
      <protection locked="0"/>
    </xf>
    <xf numFmtId="2" fontId="105" fillId="3" borderId="128" xfId="5" applyNumberFormat="1" applyFont="1" applyFill="1" applyBorder="1" applyAlignment="1" applyProtection="1">
      <alignment horizontal="right" vertical="center"/>
      <protection locked="0"/>
    </xf>
    <xf numFmtId="0" fontId="105" fillId="0" borderId="128" xfId="0" applyNumberFormat="1" applyFont="1" applyFill="1" applyBorder="1" applyAlignment="1">
      <alignment vertical="center"/>
    </xf>
    <xf numFmtId="0" fontId="105" fillId="0" borderId="130" xfId="13" applyFont="1" applyFill="1" applyBorder="1" applyAlignment="1" applyProtection="1">
      <alignment horizontal="left" vertical="top" wrapText="1"/>
      <protection locked="0"/>
    </xf>
    <xf numFmtId="0" fontId="105" fillId="0" borderId="131" xfId="13" applyFont="1" applyFill="1" applyBorder="1" applyAlignment="1" applyProtection="1">
      <alignment horizontal="left" vertical="top" wrapText="1"/>
      <protection locked="0"/>
    </xf>
    <xf numFmtId="0" fontId="105" fillId="0" borderId="129"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29" xfId="0" applyFont="1" applyBorder="1" applyAlignment="1">
      <alignment horizontal="left" indent="2"/>
    </xf>
    <xf numFmtId="0" fontId="105" fillId="0" borderId="121" xfId="0" applyNumberFormat="1" applyFont="1" applyFill="1" applyBorder="1" applyAlignment="1">
      <alignment horizontal="left" vertical="center" wrapText="1" readingOrder="1"/>
    </xf>
    <xf numFmtId="0" fontId="105" fillId="0" borderId="128" xfId="0" applyNumberFormat="1" applyFont="1" applyFill="1" applyBorder="1" applyAlignment="1">
      <alignment horizontal="left" vertical="center" wrapText="1" readingOrder="1"/>
    </xf>
    <xf numFmtId="0" fontId="10" fillId="0" borderId="85" xfId="17" applyFill="1" applyBorder="1" applyAlignment="1" applyProtection="1">
      <alignment horizontal="left" vertical="top" wrapText="1"/>
    </xf>
    <xf numFmtId="0" fontId="105" fillId="0" borderId="0" xfId="0" applyFont="1" applyFill="1" applyBorder="1" applyAlignment="1">
      <alignment wrapText="1"/>
    </xf>
    <xf numFmtId="3" fontId="4" fillId="0" borderId="0" xfId="0" applyNumberFormat="1" applyFont="1"/>
    <xf numFmtId="3" fontId="4" fillId="0" borderId="0" xfId="0" applyNumberFormat="1" applyFont="1" applyBorder="1"/>
    <xf numFmtId="3" fontId="0" fillId="0" borderId="0" xfId="0" applyNumberFormat="1"/>
    <xf numFmtId="3" fontId="0" fillId="0" borderId="137" xfId="0" applyNumberFormat="1" applyBorder="1" applyAlignment="1"/>
    <xf numFmtId="3" fontId="0" fillId="0" borderId="137" xfId="0" applyNumberFormat="1" applyBorder="1" applyAlignment="1">
      <alignment wrapText="1"/>
    </xf>
    <xf numFmtId="193" fontId="6" fillId="3" borderId="137" xfId="2" applyNumberFormat="1" applyFont="1" applyFill="1" applyBorder="1" applyAlignment="1" applyProtection="1">
      <alignment vertical="top"/>
      <protection locked="0"/>
    </xf>
    <xf numFmtId="193" fontId="6" fillId="3" borderId="137" xfId="2" applyNumberFormat="1" applyFont="1" applyFill="1" applyBorder="1" applyAlignment="1" applyProtection="1">
      <alignment vertical="top" wrapText="1"/>
      <protection locked="0"/>
    </xf>
    <xf numFmtId="193" fontId="0" fillId="0" borderId="0" xfId="0" applyNumberFormat="1"/>
    <xf numFmtId="193" fontId="0" fillId="0" borderId="0" xfId="0" applyNumberFormat="1" applyAlignment="1">
      <alignment wrapText="1"/>
    </xf>
    <xf numFmtId="4" fontId="4" fillId="0" borderId="0" xfId="0" applyNumberFormat="1" applyFont="1"/>
    <xf numFmtId="4" fontId="8" fillId="0" borderId="0" xfId="11" applyNumberFormat="1" applyFont="1" applyFill="1" applyBorder="1" applyAlignment="1" applyProtection="1"/>
    <xf numFmtId="4" fontId="5" fillId="36" borderId="11" xfId="0" applyNumberFormat="1" applyFont="1" applyFill="1" applyBorder="1" applyAlignment="1">
      <alignment horizontal="center" vertical="center" wrapText="1"/>
    </xf>
    <xf numFmtId="4" fontId="5" fillId="36" borderId="99" xfId="0" applyNumberFormat="1" applyFont="1" applyFill="1" applyBorder="1" applyAlignment="1">
      <alignment horizontal="left" vertical="center" wrapText="1"/>
    </xf>
    <xf numFmtId="4" fontId="4" fillId="0" borderId="99" xfId="0" applyNumberFormat="1" applyFont="1" applyFill="1" applyBorder="1" applyAlignment="1">
      <alignment horizontal="right" vertical="center" wrapText="1"/>
    </xf>
    <xf numFmtId="4" fontId="5" fillId="36" borderId="99" xfId="0" applyNumberFormat="1" applyFont="1" applyFill="1" applyBorder="1" applyAlignment="1">
      <alignment horizontal="right" vertical="center" wrapText="1"/>
    </xf>
    <xf numFmtId="4" fontId="108" fillId="0" borderId="99" xfId="0" applyNumberFormat="1" applyFont="1" applyFill="1" applyBorder="1" applyAlignment="1">
      <alignment horizontal="right" vertical="center" wrapText="1"/>
    </xf>
    <xf numFmtId="4" fontId="5" fillId="36" borderId="99" xfId="0" applyNumberFormat="1" applyFont="1" applyFill="1" applyBorder="1" applyAlignment="1">
      <alignment horizontal="center" vertical="center" wrapText="1"/>
    </xf>
    <xf numFmtId="4" fontId="6" fillId="0" borderId="17" xfId="1" applyNumberFormat="1" applyFont="1" applyFill="1" applyBorder="1" applyAlignment="1" applyProtection="1">
      <alignment horizontal="right" vertical="center"/>
    </xf>
    <xf numFmtId="10" fontId="4" fillId="0" borderId="0" xfId="0" applyNumberFormat="1" applyFont="1" applyFill="1" applyAlignment="1">
      <alignment horizontal="left" vertical="center"/>
    </xf>
    <xf numFmtId="4" fontId="4" fillId="0" borderId="0" xfId="0" applyNumberFormat="1" applyFont="1" applyFill="1" applyAlignment="1">
      <alignment horizontal="left" vertical="center"/>
    </xf>
    <xf numFmtId="193" fontId="6" fillId="0" borderId="128" xfId="0" applyNumberFormat="1" applyFont="1" applyBorder="1" applyAlignment="1" applyProtection="1">
      <alignment vertical="center" wrapText="1"/>
      <protection locked="0"/>
    </xf>
    <xf numFmtId="193" fontId="6" fillId="0" borderId="128" xfId="0" applyNumberFormat="1" applyFont="1" applyBorder="1" applyAlignment="1" applyProtection="1">
      <alignment horizontal="right" vertical="center" wrapText="1"/>
      <protection locked="0"/>
    </xf>
    <xf numFmtId="10" fontId="144" fillId="0" borderId="128" xfId="0" applyNumberFormat="1" applyFont="1" applyBorder="1" applyAlignment="1" applyProtection="1">
      <alignment horizontal="right" vertical="center" wrapText="1"/>
      <protection locked="0"/>
    </xf>
    <xf numFmtId="165" fontId="144" fillId="0" borderId="128" xfId="0" applyNumberFormat="1" applyFont="1" applyBorder="1" applyAlignment="1" applyProtection="1">
      <alignment horizontal="right" vertical="center" wrapText="1"/>
      <protection locked="0"/>
    </xf>
    <xf numFmtId="10" fontId="8" fillId="86" borderId="128" xfId="0" applyNumberFormat="1" applyFont="1" applyFill="1" applyBorder="1" applyAlignment="1" applyProtection="1">
      <alignment vertical="center"/>
      <protection locked="0"/>
    </xf>
    <xf numFmtId="4" fontId="0" fillId="0" borderId="0" xfId="0" applyNumberFormat="1"/>
    <xf numFmtId="0" fontId="140" fillId="0" borderId="22" xfId="0" applyFont="1" applyBorder="1" applyAlignment="1">
      <alignment vertical="center"/>
    </xf>
    <xf numFmtId="0" fontId="140" fillId="0" borderId="141" xfId="0" applyFont="1" applyBorder="1" applyAlignment="1">
      <alignment vertical="center"/>
    </xf>
    <xf numFmtId="10" fontId="16" fillId="2" borderId="85" xfId="20961" applyNumberFormat="1" applyFont="1" applyFill="1" applyBorder="1" applyAlignment="1" applyProtection="1">
      <alignment vertical="center"/>
      <protection locked="0"/>
    </xf>
    <xf numFmtId="4" fontId="21" fillId="0" borderId="128" xfId="0" applyNumberFormat="1" applyFont="1" applyBorder="1"/>
    <xf numFmtId="194" fontId="21" fillId="0" borderId="128" xfId="0" applyNumberFormat="1" applyFont="1" applyBorder="1"/>
    <xf numFmtId="4" fontId="116" fillId="0" borderId="0" xfId="0" applyNumberFormat="1" applyFont="1"/>
    <xf numFmtId="4" fontId="119" fillId="0" borderId="122" xfId="0" applyNumberFormat="1" applyFont="1" applyBorder="1" applyAlignment="1">
      <alignment horizontal="center" vertical="center" wrapText="1"/>
    </xf>
    <xf numFmtId="4" fontId="119" fillId="0" borderId="122" xfId="0" applyNumberFormat="1" applyFont="1" applyFill="1" applyBorder="1" applyAlignment="1">
      <alignment horizontal="center" vertical="center" wrapText="1"/>
    </xf>
    <xf numFmtId="4" fontId="119" fillId="0" borderId="122" xfId="0" applyNumberFormat="1" applyFont="1" applyBorder="1"/>
    <xf numFmtId="3" fontId="22" fillId="0" borderId="128" xfId="0" applyNumberFormat="1" applyFont="1" applyBorder="1"/>
    <xf numFmtId="3" fontId="22" fillId="82" borderId="128" xfId="0" applyNumberFormat="1" applyFont="1" applyFill="1" applyBorder="1"/>
    <xf numFmtId="3" fontId="116" fillId="0" borderId="0" xfId="0" applyNumberFormat="1" applyFont="1"/>
    <xf numFmtId="3" fontId="118" fillId="0" borderId="128" xfId="0" applyNumberFormat="1" applyFont="1" applyBorder="1"/>
    <xf numFmtId="4" fontId="115" fillId="0" borderId="128" xfId="0" applyNumberFormat="1" applyFont="1" applyBorder="1"/>
    <xf numFmtId="3" fontId="115" fillId="0" borderId="128" xfId="0" applyNumberFormat="1" applyFont="1" applyBorder="1"/>
    <xf numFmtId="4" fontId="116" fillId="0" borderId="0" xfId="0" applyNumberFormat="1" applyFont="1" applyFill="1"/>
    <xf numFmtId="3" fontId="116" fillId="0" borderId="0" xfId="0" applyNumberFormat="1" applyFont="1" applyFill="1"/>
    <xf numFmtId="3" fontId="119" fillId="0" borderId="4" xfId="0" applyNumberFormat="1" applyFont="1" applyBorder="1"/>
    <xf numFmtId="0" fontId="116" fillId="81" borderId="128" xfId="0" applyFont="1" applyFill="1" applyBorder="1"/>
    <xf numFmtId="3" fontId="22" fillId="81" borderId="128" xfId="0" applyNumberFormat="1" applyFont="1" applyFill="1" applyBorder="1"/>
    <xf numFmtId="3" fontId="22" fillId="0" borderId="128" xfId="0" applyNumberFormat="1" applyFont="1" applyFill="1" applyBorder="1"/>
    <xf numFmtId="3" fontId="115" fillId="0" borderId="0" xfId="0" applyNumberFormat="1" applyFont="1"/>
    <xf numFmtId="4" fontId="115" fillId="0" borderId="0" xfId="0" applyNumberFormat="1" applyFont="1"/>
    <xf numFmtId="3" fontId="4" fillId="0" borderId="128" xfId="0" applyNumberFormat="1" applyFont="1" applyBorder="1" applyAlignment="1"/>
    <xf numFmtId="3" fontId="4" fillId="0" borderId="131" xfId="0" applyNumberFormat="1" applyFont="1" applyBorder="1" applyAlignment="1"/>
    <xf numFmtId="193" fontId="4" fillId="0" borderId="0" xfId="0" applyNumberFormat="1" applyFont="1"/>
    <xf numFmtId="167" fontId="11" fillId="0" borderId="0" xfId="0" applyNumberFormat="1" applyFont="1" applyAlignment="1"/>
    <xf numFmtId="3" fontId="11" fillId="0" borderId="0" xfId="0" applyNumberFormat="1" applyFont="1"/>
    <xf numFmtId="193" fontId="4" fillId="0" borderId="128" xfId="0" applyNumberFormat="1" applyFont="1" applyBorder="1" applyAlignment="1"/>
    <xf numFmtId="193" fontId="4" fillId="0" borderId="0" xfId="0" applyNumberFormat="1" applyFont="1" applyBorder="1" applyAlignment="1">
      <alignment horizontal="center" vertical="center" wrapText="1"/>
    </xf>
    <xf numFmtId="164" fontId="138" fillId="3" borderId="0" xfId="1" applyNumberFormat="1" applyFont="1" applyFill="1" applyProtection="1">
      <protection locked="0"/>
    </xf>
    <xf numFmtId="195" fontId="4" fillId="0" borderId="0" xfId="0" applyNumberFormat="1" applyFont="1"/>
    <xf numFmtId="4" fontId="118" fillId="0" borderId="128" xfId="0" applyNumberFormat="1" applyFont="1" applyFill="1" applyBorder="1"/>
    <xf numFmtId="4" fontId="118" fillId="0" borderId="128" xfId="0" applyNumberFormat="1" applyFont="1" applyBorder="1"/>
    <xf numFmtId="4" fontId="115" fillId="36" borderId="128" xfId="21413" applyNumberFormat="1" applyFont="1" applyFill="1" applyBorder="1"/>
    <xf numFmtId="4" fontId="116" fillId="0" borderId="0" xfId="0" applyNumberFormat="1" applyFont="1" applyBorder="1"/>
    <xf numFmtId="3" fontId="115" fillId="0" borderId="128" xfId="0" applyNumberFormat="1" applyFont="1" applyFill="1" applyBorder="1" applyAlignment="1">
      <alignment horizontal="left" vertical="center" wrapText="1"/>
    </xf>
    <xf numFmtId="3" fontId="118" fillId="0" borderId="128" xfId="0" applyNumberFormat="1" applyFont="1" applyFill="1" applyBorder="1" applyAlignment="1">
      <alignment horizontal="left" vertical="center" wrapText="1"/>
    </xf>
    <xf numFmtId="3" fontId="115" fillId="0" borderId="0" xfId="0" applyNumberFormat="1" applyFont="1" applyBorder="1"/>
    <xf numFmtId="3" fontId="115" fillId="0" borderId="0" xfId="0" applyNumberFormat="1" applyFont="1" applyBorder="1" applyAlignment="1">
      <alignment horizontal="left"/>
    </xf>
    <xf numFmtId="3" fontId="115" fillId="0" borderId="0" xfId="0" applyNumberFormat="1" applyFont="1" applyAlignment="1">
      <alignment horizontal="center" vertical="center"/>
    </xf>
    <xf numFmtId="3" fontId="21" fillId="0" borderId="128" xfId="7" applyNumberFormat="1" applyFont="1" applyBorder="1"/>
    <xf numFmtId="4" fontId="6" fillId="0" borderId="0" xfId="0" applyNumberFormat="1" applyFont="1"/>
    <xf numFmtId="4" fontId="6" fillId="0" borderId="0" xfId="0" applyNumberFormat="1" applyFont="1" applyBorder="1"/>
    <xf numFmtId="4" fontId="4" fillId="0" borderId="0" xfId="0" applyNumberFormat="1" applyFont="1" applyBorder="1"/>
    <xf numFmtId="193" fontId="8" fillId="0" borderId="128" xfId="0" applyNumberFormat="1" applyFont="1" applyFill="1" applyBorder="1" applyAlignment="1" applyProtection="1">
      <alignment horizontal="right"/>
    </xf>
    <xf numFmtId="3" fontId="8" fillId="0" borderId="128" xfId="0" applyNumberFormat="1" applyFont="1" applyFill="1" applyBorder="1" applyAlignment="1" applyProtection="1">
      <alignment horizontal="center" vertical="center" wrapText="1"/>
    </xf>
    <xf numFmtId="0" fontId="3" fillId="0" borderId="128" xfId="0" applyFont="1" applyBorder="1" applyAlignment="1">
      <alignment horizontal="center" vertical="center"/>
    </xf>
    <xf numFmtId="0" fontId="129" fillId="3" borderId="128" xfId="21414" applyFont="1" applyFill="1" applyBorder="1" applyAlignment="1">
      <alignment horizontal="left" vertical="center" wrapText="1"/>
    </xf>
    <xf numFmtId="3" fontId="0" fillId="36" borderId="128" xfId="0" applyNumberFormat="1" applyFill="1" applyBorder="1"/>
    <xf numFmtId="0" fontId="130" fillId="0" borderId="128" xfId="21414" applyFont="1" applyFill="1" applyBorder="1" applyAlignment="1">
      <alignment horizontal="left" vertical="center" wrapText="1" indent="1"/>
    </xf>
    <xf numFmtId="0" fontId="131" fillId="3" borderId="128" xfId="21414" applyFont="1" applyFill="1" applyBorder="1" applyAlignment="1">
      <alignment horizontal="left" vertical="center" wrapText="1"/>
    </xf>
    <xf numFmtId="0" fontId="130" fillId="3" borderId="128" xfId="21414" applyFont="1" applyFill="1" applyBorder="1" applyAlignment="1">
      <alignment horizontal="left" vertical="center" wrapText="1" indent="1"/>
    </xf>
    <xf numFmtId="0" fontId="129" fillId="0" borderId="128" xfId="0" applyFont="1" applyFill="1" applyBorder="1" applyAlignment="1">
      <alignment horizontal="left" vertical="center" wrapText="1"/>
    </xf>
    <xf numFmtId="0" fontId="131" fillId="0" borderId="128" xfId="0" applyFont="1" applyFill="1" applyBorder="1" applyAlignment="1">
      <alignment horizontal="left" vertical="center" wrapText="1"/>
    </xf>
    <xf numFmtId="3" fontId="0" fillId="36" borderId="128" xfId="0" applyNumberFormat="1" applyFill="1" applyBorder="1" applyAlignment="1">
      <alignment vertical="center"/>
    </xf>
    <xf numFmtId="0" fontId="132" fillId="3" borderId="128" xfId="0" applyFont="1" applyFill="1" applyBorder="1" applyAlignment="1">
      <alignment horizontal="left" vertical="center" wrapText="1" indent="1"/>
    </xf>
    <xf numFmtId="0" fontId="131" fillId="3" borderId="128" xfId="0" applyFont="1" applyFill="1" applyBorder="1" applyAlignment="1">
      <alignment horizontal="left" vertical="center" wrapText="1"/>
    </xf>
    <xf numFmtId="0" fontId="132" fillId="0" borderId="128" xfId="0" applyFont="1" applyFill="1" applyBorder="1" applyAlignment="1">
      <alignment horizontal="left" vertical="center" wrapText="1" indent="1"/>
    </xf>
    <xf numFmtId="0" fontId="132" fillId="0" borderId="128" xfId="21414" applyFont="1" applyFill="1" applyBorder="1" applyAlignment="1">
      <alignment horizontal="left" vertical="center" wrapText="1" indent="1"/>
    </xf>
    <xf numFmtId="0" fontId="131" fillId="0" borderId="128" xfId="21414" applyFont="1" applyFill="1" applyBorder="1" applyAlignment="1">
      <alignment horizontal="left" vertical="center" wrapText="1"/>
    </xf>
    <xf numFmtId="0" fontId="133" fillId="0" borderId="128" xfId="21414" applyFont="1" applyFill="1" applyBorder="1" applyAlignment="1">
      <alignment horizontal="center" vertical="center" wrapText="1"/>
    </xf>
    <xf numFmtId="0" fontId="130" fillId="3" borderId="128" xfId="0" applyFont="1" applyFill="1" applyBorder="1" applyAlignment="1">
      <alignment horizontal="left" vertical="center" wrapText="1" indent="1"/>
    </xf>
    <xf numFmtId="0" fontId="131" fillId="0" borderId="128" xfId="0" applyFont="1" applyBorder="1" applyAlignment="1">
      <alignment horizontal="left" vertical="center" wrapText="1"/>
    </xf>
    <xf numFmtId="0" fontId="130" fillId="0" borderId="128" xfId="0" applyFont="1" applyBorder="1" applyAlignment="1">
      <alignment horizontal="left" vertical="center" wrapText="1" indent="1"/>
    </xf>
    <xf numFmtId="0" fontId="131" fillId="0" borderId="128" xfId="21414" applyFont="1" applyBorder="1" applyAlignment="1">
      <alignment horizontal="left" vertical="center" wrapText="1"/>
    </xf>
    <xf numFmtId="0" fontId="130" fillId="0" borderId="128" xfId="0" applyFont="1" applyFill="1" applyBorder="1" applyAlignment="1">
      <alignment horizontal="left" vertical="center" wrapText="1" indent="1"/>
    </xf>
    <xf numFmtId="0" fontId="134" fillId="0" borderId="128" xfId="0" applyFont="1" applyBorder="1" applyAlignment="1">
      <alignment horizontal="left"/>
    </xf>
    <xf numFmtId="0" fontId="0" fillId="0" borderId="138" xfId="0" applyBorder="1" applyAlignment="1">
      <alignment horizontal="center"/>
    </xf>
    <xf numFmtId="0" fontId="0" fillId="0" borderId="136" xfId="0" applyBorder="1" applyAlignment="1">
      <alignment horizontal="center"/>
    </xf>
    <xf numFmtId="0" fontId="131" fillId="0" borderId="135" xfId="0" applyFont="1" applyFill="1" applyBorder="1" applyAlignment="1">
      <alignment horizontal="left" vertical="center" wrapText="1"/>
    </xf>
    <xf numFmtId="3" fontId="0" fillId="36" borderId="135" xfId="0" applyNumberFormat="1" applyFill="1" applyBorder="1"/>
    <xf numFmtId="4" fontId="8" fillId="0" borderId="128" xfId="0" applyNumberFormat="1" applyFont="1" applyFill="1" applyBorder="1" applyAlignment="1" applyProtection="1">
      <alignment horizontal="center" vertical="center" wrapText="1"/>
    </xf>
    <xf numFmtId="4" fontId="0" fillId="0" borderId="128" xfId="0" applyNumberFormat="1" applyBorder="1"/>
    <xf numFmtId="4" fontId="0" fillId="0" borderId="128" xfId="0" applyNumberFormat="1" applyBorder="1" applyAlignment="1">
      <alignment vertical="center"/>
    </xf>
    <xf numFmtId="4" fontId="3" fillId="0" borderId="128" xfId="0" applyNumberFormat="1" applyFont="1" applyBorder="1"/>
    <xf numFmtId="4" fontId="0" fillId="0" borderId="135" xfId="0" applyNumberFormat="1" applyBorder="1"/>
    <xf numFmtId="4" fontId="8" fillId="0" borderId="137" xfId="0" applyNumberFormat="1" applyFont="1" applyFill="1" applyBorder="1" applyAlignment="1" applyProtection="1">
      <alignment horizontal="center" vertical="center" wrapText="1"/>
    </xf>
    <xf numFmtId="4" fontId="0" fillId="36" borderId="137" xfId="0" applyNumberFormat="1" applyFill="1" applyBorder="1"/>
    <xf numFmtId="4" fontId="0" fillId="36" borderId="137" xfId="0" applyNumberFormat="1" applyFill="1" applyBorder="1" applyAlignment="1">
      <alignment vertical="center"/>
    </xf>
    <xf numFmtId="196" fontId="0" fillId="0" borderId="128" xfId="0" applyNumberFormat="1" applyBorder="1"/>
    <xf numFmtId="197" fontId="0" fillId="0" borderId="128" xfId="0" applyNumberFormat="1" applyBorder="1"/>
    <xf numFmtId="38" fontId="115" fillId="0" borderId="128" xfId="0" applyNumberFormat="1" applyFont="1" applyBorder="1"/>
    <xf numFmtId="10" fontId="8" fillId="2" borderId="85" xfId="20961" applyNumberFormat="1" applyFont="1" applyFill="1" applyBorder="1" applyAlignment="1" applyProtection="1">
      <alignment vertical="center"/>
      <protection locked="0"/>
    </xf>
    <xf numFmtId="9" fontId="142" fillId="2" borderId="16" xfId="20961" applyFont="1" applyFill="1" applyBorder="1" applyAlignment="1" applyProtection="1">
      <alignment vertical="center"/>
      <protection locked="0"/>
    </xf>
    <xf numFmtId="10" fontId="141" fillId="0" borderId="143" xfId="20961" applyNumberFormat="1" applyFont="1" applyBorder="1"/>
    <xf numFmtId="0" fontId="0" fillId="0" borderId="0" xfId="0" applyNumberFormat="1"/>
    <xf numFmtId="0" fontId="101" fillId="0" borderId="128" xfId="0" applyFont="1" applyFill="1" applyBorder="1" applyAlignment="1">
      <alignment horizontal="left" vertical="center" wrapText="1"/>
    </xf>
    <xf numFmtId="0" fontId="101" fillId="0" borderId="137" xfId="0" applyFont="1" applyFill="1" applyBorder="1" applyAlignment="1">
      <alignment horizontal="left" vertical="center" wrapText="1"/>
    </xf>
    <xf numFmtId="0" fontId="101" fillId="0" borderId="128" xfId="0" applyFont="1" applyBorder="1" applyAlignment="1">
      <alignment horizontal="left" vertical="center" wrapText="1"/>
    </xf>
    <xf numFmtId="0" fontId="101" fillId="0" borderId="128" xfId="0" applyFont="1" applyFill="1" applyBorder="1" applyAlignment="1">
      <alignment horizontal="left" vertical="center"/>
    </xf>
    <xf numFmtId="0" fontId="101" fillId="0" borderId="137" xfId="0" applyFont="1" applyFill="1" applyBorder="1" applyAlignment="1">
      <alignment horizontal="left" vertical="center"/>
    </xf>
    <xf numFmtId="0" fontId="146" fillId="0" borderId="128" xfId="0" applyFont="1" applyFill="1" applyBorder="1" applyAlignment="1">
      <alignment horizontal="left" vertical="center"/>
    </xf>
    <xf numFmtId="0" fontId="146" fillId="0" borderId="137" xfId="0" applyFont="1" applyFill="1" applyBorder="1" applyAlignment="1">
      <alignment horizontal="left" vertical="center"/>
    </xf>
    <xf numFmtId="0" fontId="8" fillId="0" borderId="128" xfId="11" applyFont="1" applyFill="1" applyBorder="1" applyAlignment="1" applyProtection="1">
      <alignment horizontal="left"/>
      <protection locked="0"/>
    </xf>
    <xf numFmtId="10" fontId="142" fillId="0" borderId="137" xfId="0" applyNumberFormat="1" applyFont="1" applyBorder="1" applyAlignment="1">
      <alignment horizontal="right" vertical="center"/>
    </xf>
    <xf numFmtId="0" fontId="143" fillId="0" borderId="128" xfId="0" applyFont="1" applyFill="1" applyBorder="1" applyAlignment="1" applyProtection="1">
      <alignment horizontal="left"/>
      <protection locked="0"/>
    </xf>
    <xf numFmtId="0" fontId="8" fillId="0" borderId="135" xfId="0" applyFont="1" applyBorder="1" applyAlignment="1">
      <alignment horizontal="left" vertical="center" wrapText="1"/>
    </xf>
    <xf numFmtId="10" fontId="142" fillId="0" borderId="134" xfId="0" applyNumberFormat="1" applyFont="1" applyBorder="1" applyAlignment="1">
      <alignment horizontal="right" vertical="center"/>
    </xf>
    <xf numFmtId="167" fontId="17" fillId="85" borderId="48" xfId="0" applyNumberFormat="1" applyFont="1" applyFill="1" applyBorder="1" applyAlignment="1">
      <alignment horizontal="center"/>
    </xf>
    <xf numFmtId="3" fontId="4" fillId="3" borderId="83" xfId="0" applyNumberFormat="1" applyFont="1" applyFill="1" applyBorder="1" applyAlignment="1">
      <alignment vertical="center"/>
    </xf>
    <xf numFmtId="3" fontId="4" fillId="3" borderId="14" xfId="0" applyNumberFormat="1" applyFont="1" applyFill="1" applyBorder="1" applyAlignment="1">
      <alignment vertical="center"/>
    </xf>
    <xf numFmtId="3" fontId="25" fillId="37" borderId="0" xfId="20" applyNumberFormat="1" applyBorder="1"/>
    <xf numFmtId="3" fontId="4" fillId="0" borderId="45" xfId="0" applyNumberFormat="1" applyFont="1" applyFill="1" applyBorder="1" applyAlignment="1">
      <alignment vertical="center"/>
    </xf>
    <xf numFmtId="3" fontId="4" fillId="0" borderId="51" xfId="0" applyNumberFormat="1" applyFont="1" applyFill="1" applyBorder="1" applyAlignment="1">
      <alignment vertical="center"/>
    </xf>
    <xf numFmtId="3" fontId="4" fillId="0" borderId="85" xfId="0" applyNumberFormat="1" applyFont="1" applyFill="1" applyBorder="1" applyAlignment="1">
      <alignment vertical="center"/>
    </xf>
    <xf numFmtId="3" fontId="4" fillId="0" borderId="86" xfId="0" applyNumberFormat="1" applyFont="1" applyFill="1" applyBorder="1" applyAlignment="1">
      <alignment vertical="center"/>
    </xf>
    <xf numFmtId="3" fontId="4" fillId="0" borderId="99" xfId="0" applyNumberFormat="1" applyFont="1" applyFill="1" applyBorder="1" applyAlignment="1">
      <alignment vertical="center"/>
    </xf>
    <xf numFmtId="10" fontId="4" fillId="0" borderId="80" xfId="20961" applyNumberFormat="1" applyFont="1" applyFill="1" applyBorder="1" applyAlignment="1">
      <alignment vertical="center"/>
    </xf>
    <xf numFmtId="10" fontId="4" fillId="0" borderId="95" xfId="20961" applyNumberFormat="1" applyFont="1" applyFill="1" applyBorder="1" applyAlignment="1">
      <alignment vertical="center"/>
    </xf>
    <xf numFmtId="164" fontId="0" fillId="0" borderId="0" xfId="0" applyNumberFormat="1"/>
    <xf numFmtId="43" fontId="0" fillId="0" borderId="0" xfId="0" applyNumberFormat="1"/>
    <xf numFmtId="0" fontId="101" fillId="0" borderId="128" xfId="0" applyFont="1" applyBorder="1"/>
    <xf numFmtId="198" fontId="8" fillId="2" borderId="85" xfId="20961" applyNumberFormat="1" applyFont="1" applyFill="1" applyBorder="1" applyAlignment="1" applyProtection="1">
      <alignment vertical="center"/>
      <protection locked="0"/>
    </xf>
    <xf numFmtId="3" fontId="20" fillId="0" borderId="0" xfId="0" applyNumberFormat="1" applyFont="1" applyAlignment="1">
      <alignment horizontal="left"/>
    </xf>
    <xf numFmtId="3" fontId="142" fillId="0" borderId="0" xfId="11" applyNumberFormat="1" applyFont="1" applyFill="1" applyBorder="1" applyAlignment="1" applyProtection="1">
      <alignment horizontal="left"/>
    </xf>
    <xf numFmtId="3" fontId="147" fillId="0" borderId="0" xfId="11" applyNumberFormat="1" applyFont="1" applyFill="1" applyBorder="1" applyAlignment="1" applyProtection="1">
      <alignment horizontal="left"/>
    </xf>
    <xf numFmtId="3" fontId="148" fillId="0" borderId="10" xfId="11" applyNumberFormat="1" applyFont="1" applyFill="1" applyBorder="1" applyAlignment="1" applyProtection="1">
      <alignment horizontal="left" vertical="center"/>
    </xf>
    <xf numFmtId="3" fontId="148" fillId="0" borderId="11" xfId="11" applyNumberFormat="1" applyFont="1" applyFill="1" applyBorder="1" applyAlignment="1" applyProtection="1">
      <alignment horizontal="left" vertical="center"/>
    </xf>
    <xf numFmtId="3" fontId="20" fillId="0" borderId="137" xfId="0" applyNumberFormat="1" applyFont="1" applyBorder="1" applyAlignment="1">
      <alignment horizontal="left" vertical="center"/>
    </xf>
    <xf numFmtId="3" fontId="20" fillId="0" borderId="128" xfId="0" applyNumberFormat="1" applyFont="1" applyBorder="1" applyAlignment="1">
      <alignment horizontal="left" vertical="center"/>
    </xf>
    <xf numFmtId="3" fontId="141" fillId="0" borderId="0" xfId="0" applyNumberFormat="1" applyFont="1" applyAlignment="1">
      <alignment horizontal="left"/>
    </xf>
    <xf numFmtId="3" fontId="6" fillId="0" borderId="0" xfId="0" applyNumberFormat="1" applyFont="1" applyAlignment="1">
      <alignment horizontal="right"/>
    </xf>
    <xf numFmtId="3" fontId="4" fillId="0" borderId="0" xfId="0" applyNumberFormat="1" applyFont="1" applyAlignment="1">
      <alignment horizontal="right"/>
    </xf>
    <xf numFmtId="3" fontId="6" fillId="0" borderId="0" xfId="11" applyNumberFormat="1" applyFont="1" applyFill="1" applyBorder="1" applyAlignment="1" applyProtection="1">
      <alignment horizontal="right"/>
    </xf>
    <xf numFmtId="3" fontId="14" fillId="0" borderId="0" xfId="11" applyNumberFormat="1" applyFont="1" applyFill="1" applyBorder="1" applyAlignment="1" applyProtection="1">
      <alignment horizontal="right"/>
    </xf>
    <xf numFmtId="3" fontId="149" fillId="3" borderId="128" xfId="21414" applyNumberFormat="1" applyFont="1" applyFill="1" applyBorder="1" applyAlignment="1">
      <alignment horizontal="right" vertical="center" wrapText="1"/>
    </xf>
    <xf numFmtId="3" fontId="150" fillId="0" borderId="128" xfId="21414" applyNumberFormat="1" applyFont="1" applyFill="1" applyBorder="1" applyAlignment="1">
      <alignment horizontal="right" vertical="center" wrapText="1" indent="1"/>
    </xf>
    <xf numFmtId="3" fontId="150" fillId="3" borderId="128" xfId="21414" applyNumberFormat="1" applyFont="1" applyFill="1" applyBorder="1" applyAlignment="1">
      <alignment horizontal="right" vertical="center" wrapText="1" indent="1"/>
    </xf>
    <xf numFmtId="3" fontId="149" fillId="0" borderId="128" xfId="0" applyNumberFormat="1" applyFont="1" applyFill="1" applyBorder="1" applyAlignment="1">
      <alignment horizontal="right" vertical="center" wrapText="1"/>
    </xf>
    <xf numFmtId="3" fontId="151" fillId="0" borderId="128" xfId="0" applyNumberFormat="1" applyFont="1" applyFill="1" applyBorder="1" applyAlignment="1">
      <alignment horizontal="right" vertical="center" wrapText="1"/>
    </xf>
    <xf numFmtId="3" fontId="152" fillId="3" borderId="128" xfId="0" applyNumberFormat="1" applyFont="1" applyFill="1" applyBorder="1" applyAlignment="1">
      <alignment horizontal="right" vertical="center" wrapText="1" indent="1"/>
    </xf>
    <xf numFmtId="3" fontId="151" fillId="3" borderId="128" xfId="0" applyNumberFormat="1" applyFont="1" applyFill="1" applyBorder="1" applyAlignment="1">
      <alignment horizontal="right" vertical="center" wrapText="1"/>
    </xf>
    <xf numFmtId="3" fontId="152" fillId="0" borderId="128" xfId="0" applyNumberFormat="1" applyFont="1" applyFill="1" applyBorder="1" applyAlignment="1">
      <alignment horizontal="right" vertical="center" wrapText="1" indent="1"/>
    </xf>
    <xf numFmtId="3" fontId="152" fillId="0" borderId="128" xfId="21414" applyNumberFormat="1" applyFont="1" applyFill="1" applyBorder="1" applyAlignment="1">
      <alignment horizontal="right" vertical="center" wrapText="1" indent="1"/>
    </xf>
    <xf numFmtId="3" fontId="151" fillId="0" borderId="128" xfId="21414" applyNumberFormat="1" applyFont="1" applyFill="1" applyBorder="1" applyAlignment="1">
      <alignment horizontal="right" vertical="center" wrapText="1"/>
    </xf>
    <xf numFmtId="3" fontId="133" fillId="0" borderId="128" xfId="21414" applyNumberFormat="1" applyFont="1" applyFill="1" applyBorder="1" applyAlignment="1">
      <alignment horizontal="right" vertical="center" wrapText="1"/>
    </xf>
    <xf numFmtId="3" fontId="150" fillId="3" borderId="128" xfId="0" applyNumberFormat="1" applyFont="1" applyFill="1" applyBorder="1" applyAlignment="1">
      <alignment horizontal="right" vertical="center" wrapText="1" indent="1"/>
    </xf>
    <xf numFmtId="3" fontId="151" fillId="0" borderId="128" xfId="0" applyNumberFormat="1" applyFont="1" applyBorder="1" applyAlignment="1">
      <alignment horizontal="right" vertical="center" wrapText="1"/>
    </xf>
    <xf numFmtId="3" fontId="150" fillId="0" borderId="128" xfId="0" applyNumberFormat="1" applyFont="1" applyBorder="1" applyAlignment="1">
      <alignment horizontal="right" vertical="center" wrapText="1" indent="1"/>
    </xf>
    <xf numFmtId="3" fontId="151" fillId="0" borderId="128" xfId="21414" applyNumberFormat="1" applyFont="1" applyBorder="1" applyAlignment="1">
      <alignment horizontal="right" vertical="center" wrapText="1"/>
    </xf>
    <xf numFmtId="3" fontId="150" fillId="0" borderId="128" xfId="0" applyNumberFormat="1" applyFont="1" applyFill="1" applyBorder="1" applyAlignment="1">
      <alignment horizontal="right" vertical="center" wrapText="1" indent="1"/>
    </xf>
    <xf numFmtId="3" fontId="153" fillId="0" borderId="128" xfId="0" applyNumberFormat="1" applyFont="1" applyBorder="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167" fontId="22" fillId="0" borderId="137" xfId="0" applyNumberFormat="1" applyFont="1" applyBorder="1" applyAlignment="1">
      <alignment horizontal="center"/>
    </xf>
    <xf numFmtId="167" fontId="18" fillId="0" borderId="137" xfId="0" applyNumberFormat="1" applyFont="1" applyBorder="1" applyAlignment="1">
      <alignment horizontal="center"/>
    </xf>
    <xf numFmtId="0" fontId="22" fillId="0" borderId="137" xfId="0" applyFont="1" applyBorder="1"/>
    <xf numFmtId="3" fontId="151" fillId="0" borderId="135" xfId="0" applyNumberFormat="1" applyFont="1" applyFill="1" applyBorder="1" applyAlignment="1">
      <alignment horizontal="right" vertical="center" wrapText="1"/>
    </xf>
    <xf numFmtId="0" fontId="22" fillId="0" borderId="134" xfId="0" applyFont="1" applyBorder="1"/>
    <xf numFmtId="14" fontId="4" fillId="0" borderId="0" xfId="0" applyNumberFormat="1" applyFont="1" applyAlignment="1">
      <alignment horizontal="left"/>
    </xf>
    <xf numFmtId="3" fontId="112" fillId="79" borderId="128" xfId="1" applyNumberFormat="1" applyFont="1" applyFill="1" applyBorder="1" applyAlignment="1" applyProtection="1">
      <alignment horizontal="right" vertical="center"/>
    </xf>
    <xf numFmtId="3" fontId="61" fillId="78" borderId="8" xfId="21412" applyNumberFormat="1" applyFont="1" applyFill="1" applyBorder="1" applyAlignment="1" applyProtection="1">
      <alignment horizontal="center" vertical="center"/>
      <protection locked="0"/>
    </xf>
    <xf numFmtId="3" fontId="112" fillId="0" borderId="128" xfId="1" applyNumberFormat="1" applyFont="1" applyFill="1" applyBorder="1" applyAlignment="1" applyProtection="1">
      <alignment horizontal="right" vertical="center"/>
      <protection locked="0"/>
    </xf>
    <xf numFmtId="164" fontId="112" fillId="0" borderId="128" xfId="948" applyNumberFormat="1" applyFont="1" applyFill="1" applyBorder="1" applyAlignment="1" applyProtection="1">
      <alignment horizontal="right" vertical="center"/>
      <protection locked="0"/>
    </xf>
    <xf numFmtId="3" fontId="112" fillId="3" borderId="128" xfId="1" applyNumberFormat="1" applyFont="1" applyFill="1" applyBorder="1" applyAlignment="1" applyProtection="1">
      <alignment horizontal="right" vertical="center"/>
      <protection locked="0"/>
    </xf>
    <xf numFmtId="10" fontId="61" fillId="78" borderId="130" xfId="20961" applyNumberFormat="1" applyFont="1" applyFill="1" applyBorder="1" applyAlignment="1" applyProtection="1">
      <alignment horizontal="center" vertical="center"/>
      <protection locked="0"/>
    </xf>
    <xf numFmtId="10" fontId="112" fillId="79" borderId="128" xfId="20961" applyNumberFormat="1" applyFont="1" applyFill="1" applyBorder="1" applyAlignment="1" applyProtection="1">
      <alignment horizontal="right" vertical="center"/>
    </xf>
    <xf numFmtId="197" fontId="115" fillId="0" borderId="0" xfId="0" applyNumberFormat="1" applyFont="1"/>
    <xf numFmtId="199" fontId="115" fillId="0" borderId="0" xfId="0" applyNumberFormat="1" applyFont="1"/>
    <xf numFmtId="38" fontId="124" fillId="0" borderId="0" xfId="0" applyNumberFormat="1" applyFont="1"/>
    <xf numFmtId="0" fontId="0" fillId="0" borderId="138" xfId="0" applyBorder="1" applyAlignment="1">
      <alignment horizontal="center" vertical="center"/>
    </xf>
    <xf numFmtId="164" fontId="124" fillId="0" borderId="128" xfId="7" applyNumberFormat="1" applyFont="1" applyBorder="1"/>
    <xf numFmtId="10" fontId="124" fillId="0" borderId="128" xfId="20961" applyNumberFormat="1" applyFont="1" applyBorder="1"/>
    <xf numFmtId="43" fontId="124" fillId="0" borderId="128" xfId="7" applyFont="1" applyBorder="1"/>
    <xf numFmtId="10" fontId="124" fillId="0" borderId="128" xfId="20961" applyNumberFormat="1" applyFont="1" applyFill="1" applyBorder="1"/>
    <xf numFmtId="164" fontId="156" fillId="0" borderId="128" xfId="7" applyNumberFormat="1" applyFont="1" applyBorder="1"/>
    <xf numFmtId="164" fontId="120" fillId="0" borderId="128" xfId="0" applyNumberFormat="1" applyFont="1" applyBorder="1"/>
    <xf numFmtId="0" fontId="157" fillId="87" borderId="142" xfId="0" applyNumberFormat="1" applyFont="1" applyFill="1" applyBorder="1"/>
    <xf numFmtId="167" fontId="116" fillId="0" borderId="128" xfId="0" applyNumberFormat="1" applyFont="1" applyBorder="1"/>
    <xf numFmtId="167" fontId="119" fillId="0" borderId="128" xfId="0" applyNumberFormat="1" applyFont="1" applyBorder="1"/>
    <xf numFmtId="164" fontId="138" fillId="0" borderId="0" xfId="0" applyNumberFormat="1" applyFont="1"/>
    <xf numFmtId="0" fontId="14" fillId="0" borderId="0" xfId="11" applyFont="1" applyFill="1" applyBorder="1" applyAlignment="1" applyProtection="1">
      <alignment horizontal="left" vertical="center"/>
    </xf>
    <xf numFmtId="3" fontId="20" fillId="0" borderId="128" xfId="0" applyNumberFormat="1" applyFont="1" applyFill="1" applyBorder="1" applyAlignment="1">
      <alignment horizontal="left" vertical="center" wrapText="1"/>
    </xf>
    <xf numFmtId="3" fontId="20" fillId="0" borderId="128" xfId="7" applyNumberFormat="1" applyFont="1" applyFill="1" applyBorder="1" applyAlignment="1">
      <alignment horizontal="left" vertical="center" wrapText="1"/>
    </xf>
    <xf numFmtId="3" fontId="20" fillId="0" borderId="128" xfId="7" applyNumberFormat="1" applyFont="1" applyBorder="1" applyAlignment="1">
      <alignment horizontal="left" vertical="center"/>
    </xf>
    <xf numFmtId="0" fontId="0" fillId="0" borderId="138" xfId="0" applyBorder="1"/>
    <xf numFmtId="3" fontId="20" fillId="0" borderId="137" xfId="0" applyNumberFormat="1" applyFont="1" applyFill="1" applyBorder="1" applyAlignment="1">
      <alignment horizontal="left" vertical="center" wrapText="1"/>
    </xf>
    <xf numFmtId="3" fontId="20" fillId="0" borderId="137" xfId="7" applyNumberFormat="1" applyFont="1" applyFill="1" applyBorder="1" applyAlignment="1">
      <alignment horizontal="left" vertical="center" wrapText="1"/>
    </xf>
    <xf numFmtId="3" fontId="20" fillId="0" borderId="137" xfId="7" applyNumberFormat="1" applyFont="1" applyBorder="1" applyAlignment="1">
      <alignment horizontal="left" vertical="center"/>
    </xf>
    <xf numFmtId="0" fontId="0" fillId="0" borderId="136" xfId="0" applyBorder="1"/>
    <xf numFmtId="0" fontId="5" fillId="36" borderId="135" xfId="0" applyFont="1" applyFill="1" applyBorder="1" applyAlignment="1">
      <alignment vertical="center" wrapText="1"/>
    </xf>
    <xf numFmtId="3" fontId="145" fillId="36" borderId="135" xfId="0" applyNumberFormat="1" applyFont="1" applyFill="1" applyBorder="1" applyAlignment="1">
      <alignment horizontal="left" vertical="center"/>
    </xf>
    <xf numFmtId="3" fontId="145" fillId="36" borderId="134" xfId="0" applyNumberFormat="1" applyFont="1" applyFill="1" applyBorder="1" applyAlignment="1">
      <alignment horizontal="left" vertical="center"/>
    </xf>
    <xf numFmtId="0" fontId="5" fillId="36" borderId="128" xfId="0" applyFont="1" applyFill="1" applyBorder="1" applyAlignment="1">
      <alignment horizontal="left" vertical="top" wrapText="1"/>
    </xf>
    <xf numFmtId="0" fontId="6" fillId="3" borderId="128" xfId="13" applyFont="1" applyFill="1" applyBorder="1" applyAlignment="1" applyProtection="1">
      <alignment vertical="center" wrapText="1"/>
      <protection locked="0"/>
    </xf>
    <xf numFmtId="0" fontId="6" fillId="3" borderId="128" xfId="13" applyFont="1" applyFill="1" applyBorder="1" applyAlignment="1" applyProtection="1">
      <alignment horizontal="left" vertical="center" wrapText="1"/>
      <protection locked="0"/>
    </xf>
    <xf numFmtId="0" fontId="6" fillId="3" borderId="128" xfId="9" applyFont="1" applyFill="1" applyBorder="1" applyAlignment="1" applyProtection="1">
      <alignment horizontal="left" vertical="center" wrapText="1"/>
      <protection locked="0"/>
    </xf>
    <xf numFmtId="0" fontId="6" fillId="0" borderId="128" xfId="13" applyFont="1" applyBorder="1" applyAlignment="1" applyProtection="1">
      <alignment horizontal="left" vertical="center" wrapText="1"/>
      <protection locked="0"/>
    </xf>
    <xf numFmtId="0" fontId="6" fillId="0" borderId="128" xfId="13" applyFont="1" applyBorder="1" applyAlignment="1" applyProtection="1">
      <alignment wrapText="1"/>
      <protection locked="0"/>
    </xf>
    <xf numFmtId="0" fontId="6" fillId="0" borderId="128" xfId="13" applyFont="1" applyFill="1" applyBorder="1" applyAlignment="1" applyProtection="1">
      <alignment horizontal="left" vertical="center" wrapText="1"/>
      <protection locked="0"/>
    </xf>
    <xf numFmtId="1" fontId="14" fillId="36" borderId="128" xfId="2" applyNumberFormat="1" applyFont="1" applyFill="1" applyBorder="1" applyAlignment="1" applyProtection="1">
      <alignment horizontal="left" vertical="top" wrapText="1"/>
    </xf>
    <xf numFmtId="0" fontId="14" fillId="3" borderId="128" xfId="13" applyFont="1" applyFill="1" applyBorder="1" applyAlignment="1" applyProtection="1">
      <alignment vertical="center" wrapText="1"/>
      <protection locked="0"/>
    </xf>
    <xf numFmtId="0" fontId="6" fillId="3" borderId="128" xfId="13" applyFont="1" applyFill="1" applyBorder="1" applyAlignment="1" applyProtection="1">
      <alignment horizontal="left" vertical="center" wrapText="1" indent="3"/>
      <protection locked="0"/>
    </xf>
    <xf numFmtId="0" fontId="14" fillId="36" borderId="128" xfId="13" applyFont="1" applyFill="1" applyBorder="1" applyAlignment="1" applyProtection="1">
      <alignment vertical="center" wrapText="1"/>
      <protection locked="0"/>
    </xf>
    <xf numFmtId="0" fontId="6" fillId="83" borderId="128" xfId="13" applyFont="1" applyFill="1" applyBorder="1" applyAlignment="1" applyProtection="1">
      <alignment vertical="center" wrapText="1"/>
      <protection locked="0"/>
    </xf>
    <xf numFmtId="0" fontId="14" fillId="3" borderId="10" xfId="9" applyFont="1" applyFill="1" applyBorder="1" applyAlignment="1" applyProtection="1">
      <alignment horizontal="center" vertical="center" wrapText="1"/>
      <protection locked="0"/>
    </xf>
    <xf numFmtId="0" fontId="6" fillId="0" borderId="138" xfId="9" applyFont="1" applyFill="1" applyBorder="1" applyAlignment="1" applyProtection="1">
      <alignment horizontal="center" vertical="center"/>
      <protection locked="0"/>
    </xf>
    <xf numFmtId="193" fontId="6" fillId="36" borderId="137" xfId="2" applyNumberFormat="1" applyFont="1" applyFill="1" applyBorder="1" applyAlignment="1" applyProtection="1">
      <alignment vertical="top"/>
    </xf>
    <xf numFmtId="193" fontId="6" fillId="36" borderId="137" xfId="2" applyNumberFormat="1" applyFont="1" applyFill="1" applyBorder="1" applyAlignment="1" applyProtection="1">
      <alignment vertical="top" wrapText="1"/>
    </xf>
    <xf numFmtId="0" fontId="6" fillId="0" borderId="138" xfId="9" applyFont="1" applyFill="1" applyBorder="1" applyAlignment="1" applyProtection="1">
      <alignment horizontal="center" vertical="center" wrapText="1"/>
      <protection locked="0"/>
    </xf>
    <xf numFmtId="193" fontId="6" fillId="36" borderId="137" xfId="2" applyNumberFormat="1" applyFont="1" applyFill="1" applyBorder="1" applyAlignment="1" applyProtection="1">
      <alignment vertical="top" wrapText="1"/>
      <protection locked="0"/>
    </xf>
    <xf numFmtId="0" fontId="6" fillId="0" borderId="136" xfId="9" applyFont="1" applyFill="1" applyBorder="1" applyAlignment="1" applyProtection="1">
      <alignment horizontal="center" vertical="center" wrapText="1"/>
      <protection locked="0"/>
    </xf>
    <xf numFmtId="0" fontId="14" fillId="36" borderId="135" xfId="13" applyFont="1" applyFill="1" applyBorder="1" applyAlignment="1" applyProtection="1">
      <alignment vertical="center" wrapText="1"/>
      <protection locked="0"/>
    </xf>
    <xf numFmtId="193" fontId="6" fillId="36" borderId="134" xfId="2" applyNumberFormat="1" applyFont="1" applyFill="1" applyBorder="1" applyAlignment="1" applyProtection="1">
      <alignment vertical="top" wrapText="1"/>
    </xf>
    <xf numFmtId="40" fontId="124" fillId="0" borderId="0" xfId="0" applyNumberFormat="1" applyFont="1"/>
    <xf numFmtId="0" fontId="0" fillId="0" borderId="138" xfId="0" applyBorder="1" applyAlignment="1">
      <alignment horizontal="center" vertical="center"/>
    </xf>
    <xf numFmtId="3" fontId="115" fillId="0" borderId="128" xfId="0" applyNumberFormat="1" applyFont="1" applyFill="1" applyBorder="1"/>
    <xf numFmtId="0" fontId="131" fillId="0" borderId="128" xfId="0" applyFont="1" applyFill="1" applyBorder="1" applyAlignment="1">
      <alignment horizontal="justify" vertical="center" wrapText="1"/>
    </xf>
    <xf numFmtId="4" fontId="0" fillId="36" borderId="128" xfId="0" applyNumberFormat="1" applyFill="1" applyBorder="1"/>
    <xf numFmtId="0" fontId="129" fillId="0" borderId="128" xfId="0" applyFont="1" applyFill="1" applyBorder="1" applyAlignment="1">
      <alignment horizontal="justify" vertical="center" wrapText="1"/>
    </xf>
    <xf numFmtId="0" fontId="131" fillId="3" borderId="128" xfId="0" applyFont="1" applyFill="1" applyBorder="1" applyAlignment="1">
      <alignment horizontal="justify" vertical="center" wrapText="1"/>
    </xf>
    <xf numFmtId="0" fontId="131" fillId="0" borderId="128" xfId="21414" applyFont="1" applyFill="1" applyBorder="1" applyAlignment="1">
      <alignment horizontal="justify" vertical="center" wrapText="1"/>
    </xf>
    <xf numFmtId="0" fontId="129" fillId="0" borderId="128" xfId="0" applyFont="1" applyFill="1" applyBorder="1" applyAlignment="1">
      <alignment vertical="center" wrapText="1"/>
    </xf>
    <xf numFmtId="0" fontId="131" fillId="0" borderId="128" xfId="0" applyFont="1" applyFill="1" applyBorder="1" applyAlignment="1">
      <alignment vertical="center" wrapText="1"/>
    </xf>
    <xf numFmtId="0" fontId="131" fillId="0" borderId="128" xfId="21414" applyFont="1" applyFill="1" applyBorder="1" applyAlignment="1">
      <alignment vertical="center" wrapText="1"/>
    </xf>
    <xf numFmtId="0" fontId="0" fillId="0" borderId="136" xfId="0" applyBorder="1" applyAlignment="1">
      <alignment horizontal="center" vertical="center"/>
    </xf>
    <xf numFmtId="0" fontId="131" fillId="0" borderId="135" xfId="21414" applyFont="1" applyFill="1" applyBorder="1" applyAlignment="1">
      <alignment vertical="center" wrapText="1"/>
    </xf>
    <xf numFmtId="4" fontId="0" fillId="36" borderId="135" xfId="0" applyNumberFormat="1" applyFill="1" applyBorder="1"/>
    <xf numFmtId="4" fontId="0" fillId="36" borderId="134" xfId="0" applyNumberFormat="1" applyFill="1" applyBorder="1"/>
    <xf numFmtId="43" fontId="116" fillId="0" borderId="0" xfId="0" applyNumberFormat="1" applyFont="1"/>
    <xf numFmtId="0" fontId="103" fillId="0" borderId="53" xfId="0" applyFont="1" applyBorder="1" applyAlignment="1">
      <alignment horizontal="left" vertical="center" wrapText="1"/>
    </xf>
    <xf numFmtId="0" fontId="103" fillId="0" borderId="52" xfId="0" applyFont="1" applyBorder="1" applyAlignment="1">
      <alignment horizontal="left" vertical="center" wrapText="1"/>
    </xf>
    <xf numFmtId="0" fontId="0" fillId="0" borderId="128" xfId="0" applyBorder="1" applyAlignment="1">
      <alignment horizontal="center"/>
    </xf>
    <xf numFmtId="0" fontId="0" fillId="0" borderId="137" xfId="0" applyBorder="1" applyAlignment="1">
      <alignment horizontal="center"/>
    </xf>
    <xf numFmtId="0" fontId="0" fillId="0" borderId="9" xfId="0" applyBorder="1" applyAlignment="1">
      <alignment horizontal="center" vertical="center"/>
    </xf>
    <xf numFmtId="0" fontId="0" fillId="0" borderId="138" xfId="0" applyBorder="1" applyAlignment="1">
      <alignment horizontal="center" vertical="center"/>
    </xf>
    <xf numFmtId="0" fontId="127" fillId="0" borderId="10" xfId="0" applyFont="1" applyBorder="1" applyAlignment="1">
      <alignment horizontal="center" vertical="center"/>
    </xf>
    <xf numFmtId="0" fontId="127" fillId="0" borderId="128" xfId="0" applyFont="1" applyBorder="1" applyAlignment="1">
      <alignment horizontal="center" vertical="center"/>
    </xf>
    <xf numFmtId="3" fontId="9" fillId="0" borderId="10" xfId="0" applyNumberFormat="1" applyFont="1" applyFill="1" applyBorder="1" applyAlignment="1" applyProtection="1">
      <alignment horizontal="center" vertical="center"/>
    </xf>
    <xf numFmtId="4" fontId="9" fillId="0" borderId="10" xfId="0" applyNumberFormat="1" applyFont="1" applyFill="1" applyBorder="1" applyAlignment="1" applyProtection="1">
      <alignment horizontal="center" vertical="center"/>
    </xf>
    <xf numFmtId="4" fontId="9" fillId="0" borderId="11" xfId="0" applyNumberFormat="1" applyFont="1" applyFill="1" applyBorder="1" applyAlignment="1" applyProtection="1">
      <alignment horizontal="center" vertical="center"/>
    </xf>
    <xf numFmtId="0" fontId="127" fillId="0" borderId="10" xfId="0" applyFont="1" applyBorder="1" applyAlignment="1">
      <alignment horizontal="center" vertical="center" wrapText="1"/>
    </xf>
    <xf numFmtId="0" fontId="127" fillId="0" borderId="128" xfId="0" applyFont="1" applyBorder="1" applyAlignment="1">
      <alignment horizontal="center" vertical="center" wrapText="1"/>
    </xf>
    <xf numFmtId="0" fontId="0" fillId="0" borderId="122" xfId="0" applyBorder="1" applyAlignment="1">
      <alignment horizontal="center" vertical="center"/>
    </xf>
    <xf numFmtId="0" fontId="0" fillId="0" borderId="122" xfId="0" applyBorder="1" applyAlignment="1">
      <alignment horizontal="center" vertical="center" wrapText="1"/>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0" fontId="12" fillId="0" borderId="3" xfId="0" applyFont="1" applyBorder="1" applyAlignment="1">
      <alignment wrapText="1"/>
    </xf>
    <xf numFmtId="0" fontId="4" fillId="0" borderId="13" xfId="0" applyFont="1" applyBorder="1" applyAlignment="1"/>
    <xf numFmtId="0" fontId="9" fillId="0" borderId="128" xfId="0" applyFont="1" applyBorder="1" applyAlignment="1">
      <alignment horizontal="left" vertical="center" wrapText="1"/>
    </xf>
    <xf numFmtId="0" fontId="9" fillId="0" borderId="137" xfId="0" applyFont="1" applyBorder="1" applyAlignment="1">
      <alignment horizontal="left"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128" xfId="0" applyFont="1" applyFill="1" applyBorder="1" applyAlignment="1">
      <alignment horizontal="center" vertical="center" wrapText="1"/>
    </xf>
    <xf numFmtId="3" fontId="20" fillId="0" borderId="128" xfId="0" applyNumberFormat="1" applyFont="1" applyFill="1" applyBorder="1" applyAlignment="1">
      <alignment horizontal="left" vertical="center" wrapText="1"/>
    </xf>
    <xf numFmtId="3" fontId="20" fillId="0" borderId="128" xfId="0" applyNumberFormat="1" applyFont="1" applyFill="1" applyBorder="1" applyAlignment="1">
      <alignment horizontal="left"/>
    </xf>
    <xf numFmtId="3" fontId="20" fillId="0" borderId="137" xfId="0" applyNumberFormat="1" applyFont="1" applyFill="1" applyBorder="1" applyAlignment="1">
      <alignment horizontal="left"/>
    </xf>
    <xf numFmtId="0" fontId="5" fillId="36" borderId="103"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00"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100" fillId="3" borderId="54" xfId="13" applyFont="1" applyFill="1" applyBorder="1" applyAlignment="1" applyProtection="1">
      <alignment horizontal="center" vertical="center" wrapText="1"/>
      <protection locked="0"/>
    </xf>
    <xf numFmtId="0" fontId="100" fillId="3" borderId="51" xfId="13" applyFont="1" applyFill="1" applyBorder="1" applyAlignment="1" applyProtection="1">
      <alignment horizontal="center" vertical="center" wrapText="1"/>
      <protection locked="0"/>
    </xf>
    <xf numFmtId="9" fontId="4" fillId="0" borderId="5" xfId="0" applyNumberFormat="1" applyFont="1" applyBorder="1" applyAlignment="1">
      <alignment horizontal="center" vertical="center"/>
    </xf>
    <xf numFmtId="9" fontId="4" fillId="0" borderId="7"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14" fillId="3" borderId="9" xfId="1" applyNumberFormat="1" applyFont="1" applyFill="1" applyBorder="1" applyAlignment="1" applyProtection="1">
      <alignment horizontal="center"/>
      <protection locked="0"/>
    </xf>
    <xf numFmtId="164" fontId="14" fillId="3" borderId="10" xfId="1" applyNumberFormat="1" applyFont="1" applyFill="1" applyBorder="1" applyAlignment="1" applyProtection="1">
      <alignment horizontal="center"/>
      <protection locked="0"/>
    </xf>
    <xf numFmtId="164" fontId="14" fillId="3" borderId="11" xfId="1" applyNumberFormat="1" applyFont="1" applyFill="1" applyBorder="1" applyAlignment="1" applyProtection="1">
      <alignment horizontal="center"/>
      <protection locked="0"/>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64" fontId="14" fillId="0" borderId="77" xfId="1" applyNumberFormat="1" applyFont="1" applyFill="1" applyBorder="1" applyAlignment="1" applyProtection="1">
      <alignment horizontal="center" vertical="center" wrapText="1"/>
      <protection locked="0"/>
    </xf>
    <xf numFmtId="164" fontId="14"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 xfId="0" applyFont="1" applyFill="1" applyBorder="1" applyAlignment="1">
      <alignment horizontal="center" wrapText="1"/>
    </xf>
    <xf numFmtId="0" fontId="4" fillId="0" borderId="7" xfId="0" applyFont="1" applyFill="1" applyBorder="1" applyAlignment="1">
      <alignment horizont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99" xfId="0" applyFont="1" applyBorder="1" applyAlignment="1">
      <alignment horizontal="center" vertical="center" wrapText="1"/>
    </xf>
    <xf numFmtId="0" fontId="118" fillId="0" borderId="106" xfId="0" applyNumberFormat="1" applyFont="1" applyFill="1" applyBorder="1" applyAlignment="1">
      <alignment horizontal="left" vertical="center" wrapText="1"/>
    </xf>
    <xf numFmtId="0" fontId="118" fillId="0" borderId="107"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4" fontId="119" fillId="0" borderId="127" xfId="0" applyNumberFormat="1" applyFont="1" applyFill="1" applyBorder="1" applyAlignment="1">
      <alignment horizontal="center" vertical="center" wrapText="1"/>
    </xf>
    <xf numFmtId="4" fontId="119" fillId="0" borderId="126" xfId="0" applyNumberFormat="1" applyFont="1" applyFill="1" applyBorder="1" applyAlignment="1">
      <alignment horizontal="center" vertical="center" wrapText="1"/>
    </xf>
    <xf numFmtId="4" fontId="119" fillId="0" borderId="108" xfId="0" applyNumberFormat="1" applyFont="1" applyFill="1" applyBorder="1" applyAlignment="1">
      <alignment horizontal="center" vertical="center" wrapText="1"/>
    </xf>
    <xf numFmtId="4" fontId="119" fillId="0" borderId="45" xfId="0" applyNumberFormat="1" applyFont="1" applyFill="1" applyBorder="1" applyAlignment="1">
      <alignment horizontal="center" vertical="center" wrapText="1"/>
    </xf>
    <xf numFmtId="4" fontId="119" fillId="0" borderId="111" xfId="0" applyNumberFormat="1" applyFont="1" applyFill="1" applyBorder="1" applyAlignment="1">
      <alignment horizontal="center" vertical="center" wrapText="1"/>
    </xf>
    <xf numFmtId="4" fontId="119" fillId="0" borderId="8" xfId="0" applyNumberFormat="1" applyFont="1" applyFill="1" applyBorder="1" applyAlignment="1">
      <alignment horizontal="center" vertical="center" wrapText="1"/>
    </xf>
    <xf numFmtId="0" fontId="115" fillId="0" borderId="129"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128" xfId="0" applyFont="1" applyBorder="1" applyAlignment="1">
      <alignment horizontal="center" vertical="center" wrapText="1"/>
    </xf>
    <xf numFmtId="0" fontId="115" fillId="0" borderId="131" xfId="0" applyFont="1" applyBorder="1" applyAlignment="1">
      <alignment horizontal="center" vertical="center" wrapText="1"/>
    </xf>
    <xf numFmtId="0" fontId="115" fillId="0" borderId="130" xfId="0" applyFont="1" applyBorder="1" applyAlignment="1">
      <alignment horizontal="center" vertical="center" wrapText="1"/>
    </xf>
    <xf numFmtId="0" fontId="123" fillId="0" borderId="128" xfId="0" applyFont="1" applyFill="1" applyBorder="1" applyAlignment="1">
      <alignment horizontal="center" vertical="center"/>
    </xf>
    <xf numFmtId="0" fontId="117" fillId="0" borderId="127" xfId="0" applyFont="1" applyFill="1" applyBorder="1" applyAlignment="1">
      <alignment horizontal="center" vertical="center"/>
    </xf>
    <xf numFmtId="0" fontId="117" fillId="0" borderId="132" xfId="0" applyFont="1" applyFill="1" applyBorder="1" applyAlignment="1">
      <alignment horizontal="center" vertical="center"/>
    </xf>
    <xf numFmtId="0" fontId="117" fillId="0" borderId="45" xfId="0" applyFont="1" applyFill="1" applyBorder="1" applyAlignment="1">
      <alignment horizontal="center" vertical="center"/>
    </xf>
    <xf numFmtId="0" fontId="117" fillId="0" borderId="8" xfId="0" applyFont="1" applyFill="1" applyBorder="1" applyAlignment="1">
      <alignment horizontal="center" vertical="center"/>
    </xf>
    <xf numFmtId="0" fontId="118" fillId="0" borderId="128"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32" xfId="0" applyFont="1" applyFill="1" applyBorder="1" applyAlignment="1">
      <alignment horizontal="center" vertical="center" wrapText="1"/>
    </xf>
    <xf numFmtId="0" fontId="118" fillId="0" borderId="114" xfId="0" applyFont="1" applyFill="1" applyBorder="1" applyAlignment="1">
      <alignment horizontal="center" vertical="center" wrapText="1"/>
    </xf>
    <xf numFmtId="0" fontId="118" fillId="0" borderId="115" xfId="0" applyFont="1" applyFill="1" applyBorder="1" applyAlignment="1">
      <alignment horizontal="center" vertical="center" wrapText="1"/>
    </xf>
    <xf numFmtId="0" fontId="118" fillId="0" borderId="45"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33" xfId="0" applyFont="1" applyFill="1" applyBorder="1" applyAlignment="1">
      <alignment horizontal="center" vertical="center" wrapText="1"/>
    </xf>
    <xf numFmtId="0" fontId="118" fillId="0" borderId="116" xfId="0" applyFont="1" applyFill="1" applyBorder="1" applyAlignment="1">
      <alignment horizontal="center" vertical="center" wrapText="1"/>
    </xf>
    <xf numFmtId="0" fontId="118" fillId="0" borderId="4" xfId="0" applyFont="1" applyFill="1" applyBorder="1" applyAlignment="1">
      <alignment horizontal="center" vertical="center" wrapText="1"/>
    </xf>
    <xf numFmtId="0" fontId="115" fillId="0" borderId="116" xfId="0" applyFont="1" applyFill="1" applyBorder="1" applyAlignment="1">
      <alignment horizontal="center" vertical="center" wrapText="1"/>
    </xf>
    <xf numFmtId="0" fontId="115" fillId="0" borderId="127" xfId="0" applyFont="1" applyFill="1" applyBorder="1" applyAlignment="1">
      <alignment horizontal="center" vertical="center" wrapText="1"/>
    </xf>
    <xf numFmtId="0" fontId="115" fillId="0" borderId="126" xfId="0" applyFont="1" applyFill="1" applyBorder="1" applyAlignment="1">
      <alignment horizontal="center" vertical="center" wrapText="1"/>
    </xf>
    <xf numFmtId="0" fontId="115" fillId="0" borderId="132" xfId="0" applyFont="1" applyFill="1" applyBorder="1" applyAlignment="1">
      <alignment horizontal="center" vertical="center" wrapText="1"/>
    </xf>
    <xf numFmtId="0" fontId="115" fillId="0" borderId="8" xfId="0" applyFont="1" applyBorder="1" applyAlignment="1">
      <alignment horizontal="center" vertical="center" wrapText="1"/>
    </xf>
    <xf numFmtId="0" fontId="115" fillId="0" borderId="137" xfId="0" applyFont="1" applyBorder="1" applyAlignment="1">
      <alignment horizontal="center" vertical="center" wrapText="1"/>
    </xf>
    <xf numFmtId="0" fontId="115" fillId="0" borderId="46" xfId="0" applyFont="1" applyFill="1" applyBorder="1" applyAlignment="1">
      <alignment horizontal="center" vertical="center" wrapText="1"/>
    </xf>
    <xf numFmtId="0" fontId="115" fillId="0" borderId="47" xfId="0" applyFont="1" applyFill="1" applyBorder="1" applyAlignment="1">
      <alignment horizontal="center" vertical="center" wrapText="1"/>
    </xf>
    <xf numFmtId="0" fontId="115" fillId="0" borderId="92" xfId="0" applyFont="1" applyFill="1" applyBorder="1" applyAlignment="1">
      <alignment horizontal="center" vertical="center" wrapText="1"/>
    </xf>
    <xf numFmtId="0" fontId="118" fillId="0" borderId="46" xfId="0" applyNumberFormat="1" applyFont="1" applyFill="1" applyBorder="1" applyAlignment="1">
      <alignment horizontal="left" vertical="top" wrapText="1"/>
    </xf>
    <xf numFmtId="0" fontId="118" fillId="0" borderId="92" xfId="0" applyNumberFormat="1" applyFont="1" applyFill="1" applyBorder="1" applyAlignment="1">
      <alignment horizontal="left" vertical="top" wrapText="1"/>
    </xf>
    <xf numFmtId="0" fontId="118" fillId="0" borderId="50" xfId="0" applyNumberFormat="1" applyFont="1" applyFill="1" applyBorder="1" applyAlignment="1">
      <alignment horizontal="left" vertical="top" wrapText="1"/>
    </xf>
    <xf numFmtId="0" fontId="118" fillId="0" borderId="79" xfId="0" applyNumberFormat="1" applyFont="1" applyFill="1" applyBorder="1" applyAlignment="1">
      <alignment horizontal="left" vertical="top" wrapText="1"/>
    </xf>
    <xf numFmtId="0" fontId="118" fillId="0" borderId="105" xfId="0" applyNumberFormat="1" applyFont="1" applyFill="1" applyBorder="1" applyAlignment="1">
      <alignment horizontal="left" vertical="top" wrapText="1"/>
    </xf>
    <xf numFmtId="0" fontId="118" fillId="0" borderId="139" xfId="0" applyNumberFormat="1" applyFont="1" applyFill="1" applyBorder="1" applyAlignment="1">
      <alignment horizontal="left" vertical="top" wrapText="1"/>
    </xf>
    <xf numFmtId="0" fontId="115" fillId="0" borderId="129" xfId="0" applyFont="1" applyFill="1" applyBorder="1" applyAlignment="1">
      <alignment horizontal="center" vertical="center" wrapText="1"/>
    </xf>
    <xf numFmtId="0" fontId="118" fillId="0" borderId="140" xfId="0" applyFont="1" applyFill="1" applyBorder="1" applyAlignment="1">
      <alignment horizontal="center" vertical="center" wrapText="1"/>
    </xf>
    <xf numFmtId="0" fontId="118" fillId="0" borderId="56" xfId="0" applyFont="1" applyFill="1" applyBorder="1" applyAlignment="1">
      <alignment horizontal="center" vertical="center" wrapText="1"/>
    </xf>
    <xf numFmtId="0" fontId="115" fillId="0" borderId="127" xfId="0" applyFont="1" applyBorder="1" applyAlignment="1">
      <alignment horizontal="center" vertical="top" wrapText="1"/>
    </xf>
    <xf numFmtId="0" fontId="115" fillId="0" borderId="126" xfId="0" applyFont="1" applyBorder="1" applyAlignment="1">
      <alignment horizontal="center" vertical="top" wrapText="1"/>
    </xf>
    <xf numFmtId="0" fontId="115" fillId="0" borderId="127" xfId="0" applyFont="1" applyFill="1" applyBorder="1" applyAlignment="1">
      <alignment horizontal="center" vertical="top" wrapText="1"/>
    </xf>
    <xf numFmtId="0" fontId="115" fillId="0" borderId="133" xfId="0" applyFont="1" applyFill="1" applyBorder="1" applyAlignment="1">
      <alignment horizontal="center" vertical="top" wrapText="1"/>
    </xf>
    <xf numFmtId="0" fontId="115" fillId="0" borderId="130" xfId="0" applyFont="1" applyFill="1" applyBorder="1" applyAlignment="1">
      <alignment horizontal="center" vertical="top" wrapText="1"/>
    </xf>
    <xf numFmtId="0" fontId="104" fillId="0" borderId="117" xfId="0" applyNumberFormat="1" applyFont="1" applyFill="1" applyBorder="1" applyAlignment="1">
      <alignment horizontal="left" vertical="top" wrapText="1"/>
    </xf>
    <xf numFmtId="0" fontId="104" fillId="0" borderId="118" xfId="0" applyNumberFormat="1" applyFont="1" applyFill="1" applyBorder="1" applyAlignment="1">
      <alignment horizontal="left" vertical="top" wrapText="1"/>
    </xf>
    <xf numFmtId="0" fontId="121" fillId="0" borderId="128" xfId="0" applyFont="1" applyBorder="1" applyAlignment="1">
      <alignment horizontal="center" vertical="center"/>
    </xf>
    <xf numFmtId="0" fontId="120" fillId="0" borderId="128" xfId="0" applyFont="1" applyBorder="1" applyAlignment="1">
      <alignment horizontal="center" vertical="center" wrapText="1"/>
    </xf>
    <xf numFmtId="0" fontId="120" fillId="0" borderId="129" xfId="0" applyFont="1" applyBorder="1" applyAlignment="1">
      <alignment horizontal="center" vertical="center" wrapText="1"/>
    </xf>
    <xf numFmtId="0" fontId="104" fillId="76" borderId="131" xfId="0" applyFont="1" applyFill="1" applyBorder="1" applyAlignment="1">
      <alignment horizontal="center" vertical="center" wrapText="1"/>
    </xf>
    <xf numFmtId="0" fontId="104" fillId="76" borderId="130" xfId="0" applyFont="1" applyFill="1" applyBorder="1" applyAlignment="1">
      <alignment horizontal="center" vertical="center" wrapText="1"/>
    </xf>
    <xf numFmtId="0" fontId="105" fillId="0" borderId="131" xfId="0" applyFont="1" applyFill="1" applyBorder="1" applyAlignment="1">
      <alignment horizontal="left" vertical="center" wrapText="1"/>
    </xf>
    <xf numFmtId="0" fontId="105" fillId="0" borderId="130" xfId="0" applyFont="1" applyFill="1" applyBorder="1" applyAlignment="1">
      <alignment horizontal="left" vertical="center" wrapText="1"/>
    </xf>
    <xf numFmtId="0" fontId="105" fillId="0" borderId="131" xfId="13" applyFont="1" applyFill="1" applyBorder="1" applyAlignment="1" applyProtection="1">
      <alignment horizontal="left" vertical="top" wrapText="1"/>
      <protection locked="0"/>
    </xf>
    <xf numFmtId="0" fontId="105" fillId="0" borderId="130" xfId="13" applyFont="1" applyFill="1" applyBorder="1" applyAlignment="1" applyProtection="1">
      <alignment horizontal="left" vertical="top" wrapText="1"/>
      <protection locked="0"/>
    </xf>
    <xf numFmtId="0" fontId="105" fillId="0" borderId="131" xfId="0" applyNumberFormat="1" applyFont="1" applyFill="1" applyBorder="1" applyAlignment="1">
      <alignment horizontal="left" vertical="center" wrapText="1"/>
    </xf>
    <xf numFmtId="0" fontId="105" fillId="0" borderId="130" xfId="0" applyNumberFormat="1" applyFont="1" applyFill="1" applyBorder="1" applyAlignment="1">
      <alignment horizontal="left" vertical="center" wrapText="1"/>
    </xf>
    <xf numFmtId="0" fontId="105" fillId="0" borderId="131" xfId="0" applyNumberFormat="1" applyFont="1" applyFill="1" applyBorder="1" applyAlignment="1">
      <alignment horizontal="left" vertical="top" wrapText="1"/>
    </xf>
    <xf numFmtId="0" fontId="105" fillId="0" borderId="130" xfId="0" applyNumberFormat="1" applyFont="1" applyFill="1" applyBorder="1" applyAlignment="1">
      <alignment horizontal="left" vertical="top" wrapText="1"/>
    </xf>
    <xf numFmtId="49" fontId="105" fillId="0" borderId="0" xfId="0" applyNumberFormat="1" applyFont="1" applyFill="1" applyBorder="1" applyAlignment="1">
      <alignment horizontal="center" vertical="center"/>
    </xf>
    <xf numFmtId="0" fontId="105" fillId="0" borderId="128" xfId="0" applyFont="1" applyFill="1" applyBorder="1" applyAlignment="1">
      <alignment horizontal="left" vertical="top" wrapText="1"/>
    </xf>
    <xf numFmtId="0" fontId="105" fillId="0" borderId="131" xfId="0" applyFont="1" applyFill="1" applyBorder="1" applyAlignment="1">
      <alignment horizontal="left" vertical="top" wrapText="1"/>
    </xf>
    <xf numFmtId="0" fontId="105" fillId="0" borderId="128" xfId="0" applyFont="1" applyFill="1" applyBorder="1" applyAlignment="1">
      <alignment horizontal="left" vertical="center" wrapText="1"/>
    </xf>
    <xf numFmtId="0" fontId="104" fillId="76" borderId="128" xfId="0" applyFont="1" applyFill="1" applyBorder="1" applyAlignment="1">
      <alignment horizontal="center" vertical="center" wrapText="1"/>
    </xf>
    <xf numFmtId="0" fontId="105" fillId="0" borderId="128" xfId="0" applyNumberFormat="1" applyFont="1" applyFill="1" applyBorder="1" applyAlignment="1">
      <alignment horizontal="left" vertical="top" wrapText="1"/>
    </xf>
    <xf numFmtId="0" fontId="105" fillId="0" borderId="128" xfId="0" applyFont="1" applyBorder="1" applyAlignment="1">
      <alignment horizontal="center"/>
    </xf>
    <xf numFmtId="0" fontId="105" fillId="0" borderId="86"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4" fillId="0" borderId="128" xfId="0" applyFont="1" applyFill="1" applyBorder="1" applyAlignment="1">
      <alignment horizontal="center" vertical="center"/>
    </xf>
    <xf numFmtId="0" fontId="105" fillId="3" borderId="131" xfId="13" applyFont="1" applyFill="1" applyBorder="1" applyAlignment="1" applyProtection="1">
      <alignment horizontal="left" vertical="top" wrapText="1"/>
      <protection locked="0"/>
    </xf>
    <xf numFmtId="0" fontId="105" fillId="3" borderId="130" xfId="13" applyFont="1" applyFill="1" applyBorder="1" applyAlignment="1" applyProtection="1">
      <alignment horizontal="left" vertical="top" wrapText="1"/>
      <protection locked="0"/>
    </xf>
    <xf numFmtId="0" fontId="104" fillId="0" borderId="72" xfId="0" applyFont="1" applyFill="1" applyBorder="1" applyAlignment="1">
      <alignment horizontal="center" vertical="center"/>
    </xf>
    <xf numFmtId="0" fontId="104" fillId="76" borderId="6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70" xfId="0" applyFont="1" applyFill="1" applyBorder="1" applyAlignment="1">
      <alignment horizontal="center" vertical="center" wrapText="1"/>
    </xf>
    <xf numFmtId="0" fontId="105" fillId="77" borderId="86" xfId="0" applyFont="1" applyFill="1" applyBorder="1" applyAlignment="1">
      <alignment vertical="center" wrapText="1"/>
    </xf>
    <xf numFmtId="0" fontId="105" fillId="77" borderId="84" xfId="0" applyFont="1" applyFill="1" applyBorder="1" applyAlignment="1">
      <alignment vertical="center" wrapText="1"/>
    </xf>
    <xf numFmtId="0" fontId="105" fillId="0" borderId="86" xfId="0" applyFont="1" applyFill="1" applyBorder="1" applyAlignment="1">
      <alignment vertical="center" wrapText="1"/>
    </xf>
    <xf numFmtId="0" fontId="105" fillId="0" borderId="84" xfId="0" applyFont="1" applyFill="1" applyBorder="1" applyAlignment="1">
      <alignment vertical="center" wrapText="1"/>
    </xf>
    <xf numFmtId="0" fontId="104" fillId="76" borderId="74" xfId="0" applyFont="1" applyFill="1" applyBorder="1" applyAlignment="1">
      <alignment horizontal="center" vertical="center"/>
    </xf>
    <xf numFmtId="0" fontId="104" fillId="76" borderId="75" xfId="0" applyFont="1" applyFill="1" applyBorder="1" applyAlignment="1">
      <alignment horizontal="center" vertical="center"/>
    </xf>
    <xf numFmtId="0" fontId="104" fillId="76" borderId="76" xfId="0" applyFont="1" applyFill="1" applyBorder="1" applyAlignment="1">
      <alignment horizontal="center" vertical="center"/>
    </xf>
    <xf numFmtId="0" fontId="105" fillId="3" borderId="86" xfId="0" applyFont="1" applyFill="1" applyBorder="1" applyAlignment="1">
      <alignment horizontal="left" vertical="center" wrapText="1"/>
    </xf>
    <xf numFmtId="0" fontId="105" fillId="3" borderId="84" xfId="0" applyFont="1" applyFill="1" applyBorder="1" applyAlignment="1">
      <alignment horizontal="left" vertical="center" wrapText="1"/>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104" fillId="76" borderId="60" xfId="0" applyFont="1" applyFill="1" applyBorder="1" applyAlignment="1">
      <alignment horizontal="center" vertical="center" wrapText="1"/>
    </xf>
    <xf numFmtId="0" fontId="104" fillId="76" borderId="61" xfId="0" applyFont="1" applyFill="1" applyBorder="1" applyAlignment="1">
      <alignment horizontal="center" vertical="center" wrapText="1"/>
    </xf>
    <xf numFmtId="0" fontId="104" fillId="76" borderId="62" xfId="0" applyFont="1" applyFill="1" applyBorder="1" applyAlignment="1">
      <alignment horizontal="center" vertical="center" wrapText="1"/>
    </xf>
    <xf numFmtId="0" fontId="105" fillId="0" borderId="45" xfId="0" applyFont="1" applyFill="1" applyBorder="1" applyAlignment="1">
      <alignment horizontal="left" vertical="center" wrapText="1"/>
    </xf>
    <xf numFmtId="0" fontId="105" fillId="0" borderId="8" xfId="0" applyFont="1" applyFill="1" applyBorder="1" applyAlignment="1">
      <alignment horizontal="left" vertical="center" wrapText="1"/>
    </xf>
    <xf numFmtId="0" fontId="105" fillId="82" borderId="86" xfId="0" applyFont="1" applyFill="1" applyBorder="1" applyAlignment="1">
      <alignment vertical="center" wrapText="1"/>
    </xf>
    <xf numFmtId="0" fontId="105" fillId="82" borderId="84" xfId="0" applyFont="1" applyFill="1" applyBorder="1" applyAlignment="1">
      <alignment vertical="center" wrapText="1"/>
    </xf>
    <xf numFmtId="0" fontId="105" fillId="82" borderId="123" xfId="0" applyFont="1" applyFill="1" applyBorder="1" applyAlignment="1">
      <alignment horizontal="left" vertical="center" wrapText="1"/>
    </xf>
    <xf numFmtId="0" fontId="105" fillId="82" borderId="124" xfId="0" applyFont="1" applyFill="1" applyBorder="1" applyAlignment="1">
      <alignment horizontal="left" vertical="center" wrapText="1"/>
    </xf>
    <xf numFmtId="0" fontId="105" fillId="82" borderId="125" xfId="0" applyFont="1" applyFill="1" applyBorder="1" applyAlignment="1">
      <alignment horizontal="left" vertical="center" wrapText="1"/>
    </xf>
    <xf numFmtId="0" fontId="105" fillId="3" borderId="64" xfId="0" applyFont="1" applyFill="1" applyBorder="1" applyAlignment="1">
      <alignment horizontal="left" vertical="center" wrapText="1"/>
    </xf>
    <xf numFmtId="0" fontId="105" fillId="3" borderId="65" xfId="0" applyFont="1" applyFill="1" applyBorder="1" applyAlignment="1">
      <alignment horizontal="left" vertical="center" wrapText="1"/>
    </xf>
    <xf numFmtId="0" fontId="105" fillId="82" borderId="67" xfId="0" applyFont="1" applyFill="1" applyBorder="1" applyAlignment="1">
      <alignment horizontal="left" vertical="center" wrapText="1"/>
    </xf>
    <xf numFmtId="0" fontId="105" fillId="82" borderId="68" xfId="0" applyFont="1" applyFill="1" applyBorder="1" applyAlignment="1">
      <alignment horizontal="left" vertical="center" wrapText="1"/>
    </xf>
    <xf numFmtId="0" fontId="105" fillId="82" borderId="45" xfId="0" applyFont="1" applyFill="1" applyBorder="1" applyAlignment="1">
      <alignment vertical="center" wrapText="1"/>
    </xf>
    <xf numFmtId="0" fontId="105" fillId="82" borderId="8" xfId="0" applyFont="1" applyFill="1" applyBorder="1" applyAlignment="1">
      <alignment vertical="center" wrapText="1"/>
    </xf>
    <xf numFmtId="0" fontId="105" fillId="3" borderId="86" xfId="0" applyFont="1" applyFill="1" applyBorder="1" applyAlignment="1">
      <alignment vertical="center" wrapText="1"/>
    </xf>
    <xf numFmtId="0" fontId="105" fillId="3" borderId="84" xfId="0" applyFont="1" applyFill="1" applyBorder="1" applyAlignment="1">
      <alignment vertical="center" wrapText="1"/>
    </xf>
    <xf numFmtId="0" fontId="104" fillId="0" borderId="57" xfId="0" applyFont="1" applyFill="1" applyBorder="1" applyAlignment="1">
      <alignment horizontal="center" vertical="center"/>
    </xf>
    <xf numFmtId="0" fontId="104" fillId="0" borderId="58" xfId="0" applyFont="1" applyFill="1" applyBorder="1" applyAlignment="1">
      <alignment horizontal="center" vertical="center"/>
    </xf>
    <xf numFmtId="0" fontId="104" fillId="0" borderId="59" xfId="0" applyFont="1" applyFill="1" applyBorder="1" applyAlignment="1">
      <alignment horizontal="center" vertical="center"/>
    </xf>
    <xf numFmtId="0" fontId="105" fillId="0" borderId="85" xfId="0" applyFont="1" applyFill="1" applyBorder="1" applyAlignment="1">
      <alignment horizontal="left" vertical="center" wrapText="1"/>
    </xf>
    <xf numFmtId="0" fontId="125" fillId="3" borderId="86" xfId="0" applyFont="1" applyFill="1" applyBorder="1" applyAlignment="1">
      <alignment vertical="center" wrapText="1"/>
    </xf>
    <xf numFmtId="0" fontId="125" fillId="3" borderId="84" xfId="0" applyFont="1" applyFill="1" applyBorder="1" applyAlignment="1">
      <alignment vertical="center" wrapText="1"/>
    </xf>
    <xf numFmtId="0" fontId="105" fillId="0" borderId="86" xfId="0" applyFont="1" applyFill="1" applyBorder="1" applyAlignment="1">
      <alignment horizontal="left"/>
    </xf>
    <xf numFmtId="0" fontId="105" fillId="0" borderId="84" xfId="0" applyFont="1" applyFill="1" applyBorder="1" applyAlignment="1">
      <alignment horizontal="left"/>
    </xf>
  </cellXfs>
  <cellStyles count="2141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09" xfId="21415"/>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b_Report/03.%20NBG/09.%20IFRS%20NBG/2023-03/FSF-BBG-MM-2023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Header"/>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ROL"/>
      <sheetName val="A-D"/>
      <sheetName val="A-CP"/>
      <sheetName val="A-L"/>
      <sheetName val="A-G"/>
      <sheetName val="A-LD"/>
      <sheetName val="LCR"/>
      <sheetName val="FXD"/>
      <sheetName val="FX"/>
      <sheetName val="A"/>
      <sheetName val="A-CI"/>
      <sheetName val="A-LS"/>
      <sheetName val="SD"/>
      <sheetName val="Capital"/>
      <sheetName val="Capital Requirements"/>
      <sheetName val="op risk"/>
      <sheetName val="Risk Weighted Risk Exposures"/>
      <sheetName val="CR-RWA"/>
      <sheetName val="CICR Buffer"/>
      <sheetName val="HHI Buffer"/>
      <sheetName val="CRA Buffer"/>
      <sheetName val="CRM"/>
      <sheetName val="LR"/>
      <sheetName val="A-LD (2)"/>
    </sheetNames>
    <sheetDataSet>
      <sheetData sheetId="0"/>
      <sheetData sheetId="1"/>
      <sheetData sheetId="2"/>
      <sheetData sheetId="3">
        <row r="22">
          <cell r="S22">
            <v>16394122551.875502</v>
          </cell>
        </row>
        <row r="26">
          <cell r="S26">
            <v>13799566.972006777</v>
          </cell>
        </row>
        <row r="27">
          <cell r="S27">
            <v>17966333.982006777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2" customWidth="1"/>
    <col min="2" max="2" width="153" bestFit="1" customWidth="1"/>
    <col min="3" max="3" width="39.42578125" customWidth="1"/>
    <col min="7" max="7" width="25" customWidth="1"/>
  </cols>
  <sheetData>
    <row r="1" spans="1:3" ht="15.75">
      <c r="A1" s="7"/>
      <c r="B1" s="104" t="s">
        <v>159</v>
      </c>
      <c r="C1" s="41"/>
    </row>
    <row r="2" spans="1:3" s="101" customFormat="1" ht="15.75">
      <c r="A2" s="139">
        <v>1</v>
      </c>
      <c r="B2" s="102" t="s">
        <v>160</v>
      </c>
      <c r="C2" s="670" t="s">
        <v>991</v>
      </c>
    </row>
    <row r="3" spans="1:3" s="101" customFormat="1" ht="15.75">
      <c r="A3" s="139">
        <v>2</v>
      </c>
      <c r="B3" s="103" t="s">
        <v>161</v>
      </c>
      <c r="C3" s="645" t="s">
        <v>960</v>
      </c>
    </row>
    <row r="4" spans="1:3" s="101" customFormat="1" ht="15.75">
      <c r="A4" s="139">
        <v>3</v>
      </c>
      <c r="B4" s="103" t="s">
        <v>162</v>
      </c>
      <c r="C4" s="670" t="s">
        <v>992</v>
      </c>
    </row>
    <row r="5" spans="1:3" s="101" customFormat="1" ht="15.75">
      <c r="A5" s="140">
        <v>4</v>
      </c>
      <c r="B5" s="106" t="s">
        <v>163</v>
      </c>
      <c r="C5" s="670" t="s">
        <v>993</v>
      </c>
    </row>
    <row r="6" spans="1:3" s="105" customFormat="1" ht="65.25" customHeight="1">
      <c r="A6" s="781" t="s">
        <v>320</v>
      </c>
      <c r="B6" s="782"/>
      <c r="C6" s="782"/>
    </row>
    <row r="7" spans="1:3">
      <c r="A7" s="239" t="s">
        <v>250</v>
      </c>
      <c r="B7" s="240" t="s">
        <v>164</v>
      </c>
    </row>
    <row r="8" spans="1:3">
      <c r="A8" s="241">
        <v>1</v>
      </c>
      <c r="B8" s="237" t="s">
        <v>139</v>
      </c>
    </row>
    <row r="9" spans="1:3">
      <c r="A9" s="241">
        <v>2</v>
      </c>
      <c r="B9" s="237" t="s">
        <v>165</v>
      </c>
    </row>
    <row r="10" spans="1:3">
      <c r="A10" s="241">
        <v>3</v>
      </c>
      <c r="B10" s="237" t="s">
        <v>166</v>
      </c>
    </row>
    <row r="11" spans="1:3">
      <c r="A11" s="241">
        <v>4</v>
      </c>
      <c r="B11" s="237" t="s">
        <v>167</v>
      </c>
      <c r="C11" s="100"/>
    </row>
    <row r="12" spans="1:3">
      <c r="A12" s="241">
        <v>5</v>
      </c>
      <c r="B12" s="237" t="s">
        <v>107</v>
      </c>
    </row>
    <row r="13" spans="1:3">
      <c r="A13" s="241">
        <v>6</v>
      </c>
      <c r="B13" s="242" t="s">
        <v>91</v>
      </c>
    </row>
    <row r="14" spans="1:3">
      <c r="A14" s="241">
        <v>7</v>
      </c>
      <c r="B14" s="237" t="s">
        <v>168</v>
      </c>
    </row>
    <row r="15" spans="1:3">
      <c r="A15" s="241">
        <v>8</v>
      </c>
      <c r="B15" s="237" t="s">
        <v>171</v>
      </c>
    </row>
    <row r="16" spans="1:3">
      <c r="A16" s="241">
        <v>9</v>
      </c>
      <c r="B16" s="237" t="s">
        <v>85</v>
      </c>
    </row>
    <row r="17" spans="1:2">
      <c r="A17" s="243" t="s">
        <v>377</v>
      </c>
      <c r="B17" s="237" t="s">
        <v>357</v>
      </c>
    </row>
    <row r="18" spans="1:2">
      <c r="A18" s="241">
        <v>10</v>
      </c>
      <c r="B18" s="237" t="s">
        <v>172</v>
      </c>
    </row>
    <row r="19" spans="1:2">
      <c r="A19" s="241">
        <v>11</v>
      </c>
      <c r="B19" s="242" t="s">
        <v>155</v>
      </c>
    </row>
    <row r="20" spans="1:2">
      <c r="A20" s="241">
        <v>12</v>
      </c>
      <c r="B20" s="242" t="s">
        <v>152</v>
      </c>
    </row>
    <row r="21" spans="1:2">
      <c r="A21" s="241">
        <v>13</v>
      </c>
      <c r="B21" s="244" t="s">
        <v>296</v>
      </c>
    </row>
    <row r="22" spans="1:2">
      <c r="A22" s="241">
        <v>14</v>
      </c>
      <c r="B22" s="237" t="s">
        <v>350</v>
      </c>
    </row>
    <row r="23" spans="1:2">
      <c r="A23" s="245">
        <v>15</v>
      </c>
      <c r="B23" s="237" t="s">
        <v>74</v>
      </c>
    </row>
    <row r="24" spans="1:2">
      <c r="A24" s="245">
        <v>15.1</v>
      </c>
      <c r="B24" s="237" t="s">
        <v>386</v>
      </c>
    </row>
    <row r="25" spans="1:2">
      <c r="A25" s="245">
        <v>16</v>
      </c>
      <c r="B25" s="237" t="s">
        <v>452</v>
      </c>
    </row>
    <row r="26" spans="1:2">
      <c r="A26" s="245">
        <v>17</v>
      </c>
      <c r="B26" s="237" t="s">
        <v>676</v>
      </c>
    </row>
    <row r="27" spans="1:2">
      <c r="A27" s="245">
        <v>18</v>
      </c>
      <c r="B27" s="237" t="s">
        <v>936</v>
      </c>
    </row>
    <row r="28" spans="1:2">
      <c r="A28" s="245">
        <v>19</v>
      </c>
      <c r="B28" s="237" t="s">
        <v>937</v>
      </c>
    </row>
    <row r="29" spans="1:2">
      <c r="A29" s="245">
        <v>20</v>
      </c>
      <c r="B29" s="237" t="s">
        <v>938</v>
      </c>
    </row>
    <row r="30" spans="1:2">
      <c r="A30" s="245">
        <v>21</v>
      </c>
      <c r="B30" s="237" t="s">
        <v>545</v>
      </c>
    </row>
    <row r="31" spans="1:2">
      <c r="A31" s="245">
        <v>22</v>
      </c>
      <c r="B31" s="237" t="s">
        <v>939</v>
      </c>
    </row>
    <row r="32" spans="1:2" ht="25.5">
      <c r="A32" s="245">
        <v>23</v>
      </c>
      <c r="B32" s="530" t="s">
        <v>935</v>
      </c>
    </row>
    <row r="33" spans="1:2">
      <c r="A33" s="245">
        <v>24</v>
      </c>
      <c r="B33" s="237" t="s">
        <v>940</v>
      </c>
    </row>
    <row r="34" spans="1:2">
      <c r="A34" s="245">
        <v>25</v>
      </c>
      <c r="B34" s="237" t="s">
        <v>941</v>
      </c>
    </row>
    <row r="35" spans="1:2">
      <c r="A35" s="241">
        <v>26</v>
      </c>
      <c r="B35" s="237" t="s">
        <v>722</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zoomScaleNormal="100" workbookViewId="0">
      <pane xSplit="1" ySplit="5" topLeftCell="B18" activePane="bottomRight" state="frozen"/>
      <selection pane="topRight" activeCell="B1" sqref="B1"/>
      <selection pane="bottomLeft" activeCell="A5" sqref="A5"/>
      <selection pane="bottomRight" activeCell="B24" sqref="B24"/>
    </sheetView>
  </sheetViews>
  <sheetFormatPr defaultRowHeight="15"/>
  <cols>
    <col min="1" max="1" width="9.5703125" style="5" bestFit="1" customWidth="1"/>
    <col min="2" max="2" width="132.42578125" style="2" customWidth="1"/>
    <col min="3" max="3" width="18.42578125" style="2" customWidth="1"/>
    <col min="4" max="4" width="12.28515625" bestFit="1" customWidth="1"/>
  </cols>
  <sheetData>
    <row r="1" spans="1:6" ht="15.75">
      <c r="A1" s="15" t="s">
        <v>108</v>
      </c>
      <c r="B1" s="14" t="str">
        <f>Info!C2</f>
        <v>სს ”საქართველოს ბანკი”</v>
      </c>
      <c r="D1" s="2"/>
      <c r="E1" s="2"/>
      <c r="F1" s="2"/>
    </row>
    <row r="2" spans="1:6" s="19" customFormat="1" ht="15.75" customHeight="1">
      <c r="A2" s="19" t="s">
        <v>109</v>
      </c>
      <c r="B2" s="308">
        <f>'1. key ratios'!B2</f>
        <v>45016</v>
      </c>
    </row>
    <row r="3" spans="1:6" s="19" customFormat="1" ht="15.75" customHeight="1"/>
    <row r="4" spans="1:6" ht="15.75" thickBot="1">
      <c r="A4" s="5" t="s">
        <v>256</v>
      </c>
      <c r="B4" s="28" t="s">
        <v>85</v>
      </c>
    </row>
    <row r="5" spans="1:6">
      <c r="A5" s="74" t="s">
        <v>25</v>
      </c>
      <c r="B5" s="756"/>
      <c r="C5" s="75" t="s">
        <v>26</v>
      </c>
    </row>
    <row r="6" spans="1:6">
      <c r="A6" s="757">
        <v>1</v>
      </c>
      <c r="B6" s="744" t="s">
        <v>27</v>
      </c>
      <c r="C6" s="758">
        <f>SUM(C7:C11)</f>
        <v>4032302869.0087628</v>
      </c>
      <c r="D6" s="539"/>
    </row>
    <row r="7" spans="1:6">
      <c r="A7" s="757">
        <v>2</v>
      </c>
      <c r="B7" s="745" t="s">
        <v>28</v>
      </c>
      <c r="C7" s="537">
        <v>27993660.18</v>
      </c>
    </row>
    <row r="8" spans="1:6">
      <c r="A8" s="757">
        <v>3</v>
      </c>
      <c r="B8" s="745" t="s">
        <v>29</v>
      </c>
      <c r="C8" s="537">
        <v>182642927.07627702</v>
      </c>
    </row>
    <row r="9" spans="1:6">
      <c r="A9" s="757">
        <v>4</v>
      </c>
      <c r="B9" s="745" t="s">
        <v>30</v>
      </c>
      <c r="C9" s="537">
        <v>31265641.626700006</v>
      </c>
    </row>
    <row r="10" spans="1:6">
      <c r="A10" s="757">
        <v>5</v>
      </c>
      <c r="B10" s="745" t="s">
        <v>31</v>
      </c>
      <c r="C10" s="537">
        <v>0</v>
      </c>
    </row>
    <row r="11" spans="1:6">
      <c r="A11" s="757">
        <v>6</v>
      </c>
      <c r="B11" s="745" t="s">
        <v>32</v>
      </c>
      <c r="C11" s="537">
        <v>3790400640.1257858</v>
      </c>
    </row>
    <row r="12" spans="1:6" s="4" customFormat="1">
      <c r="A12" s="757">
        <v>7</v>
      </c>
      <c r="B12" s="744" t="s">
        <v>33</v>
      </c>
      <c r="C12" s="759">
        <f>SUM(C13:C28)</f>
        <v>212625227.77300003</v>
      </c>
      <c r="D12" s="539"/>
    </row>
    <row r="13" spans="1:6" s="4" customFormat="1">
      <c r="A13" s="757">
        <v>8</v>
      </c>
      <c r="B13" s="746" t="s">
        <v>34</v>
      </c>
      <c r="C13" s="537">
        <v>31265641.626700006</v>
      </c>
    </row>
    <row r="14" spans="1:6" s="4" customFormat="1" ht="25.5">
      <c r="A14" s="757">
        <v>9</v>
      </c>
      <c r="B14" s="746" t="s">
        <v>35</v>
      </c>
      <c r="C14" s="537">
        <v>0</v>
      </c>
    </row>
    <row r="15" spans="1:6" s="4" customFormat="1">
      <c r="A15" s="757">
        <v>10</v>
      </c>
      <c r="B15" s="747" t="s">
        <v>36</v>
      </c>
      <c r="C15" s="537">
        <v>159471238.15000001</v>
      </c>
    </row>
    <row r="16" spans="1:6" s="4" customFormat="1">
      <c r="A16" s="757">
        <v>11</v>
      </c>
      <c r="B16" s="748" t="s">
        <v>37</v>
      </c>
      <c r="C16" s="537">
        <v>0</v>
      </c>
    </row>
    <row r="17" spans="1:4" s="4" customFormat="1">
      <c r="A17" s="757">
        <v>12</v>
      </c>
      <c r="B17" s="747" t="s">
        <v>38</v>
      </c>
      <c r="C17" s="537">
        <v>10173</v>
      </c>
    </row>
    <row r="18" spans="1:4" s="4" customFormat="1">
      <c r="A18" s="757">
        <v>13</v>
      </c>
      <c r="B18" s="747" t="s">
        <v>39</v>
      </c>
      <c r="C18" s="537">
        <v>4435622.9763000002</v>
      </c>
    </row>
    <row r="19" spans="1:4" s="4" customFormat="1">
      <c r="A19" s="757">
        <v>14</v>
      </c>
      <c r="B19" s="747" t="s">
        <v>40</v>
      </c>
      <c r="C19" s="537">
        <v>0</v>
      </c>
    </row>
    <row r="20" spans="1:4" s="4" customFormat="1" ht="25.5">
      <c r="A20" s="757">
        <v>15</v>
      </c>
      <c r="B20" s="747" t="s">
        <v>41</v>
      </c>
      <c r="C20" s="537">
        <v>0</v>
      </c>
    </row>
    <row r="21" spans="1:4" s="4" customFormat="1" ht="25.5">
      <c r="A21" s="757">
        <v>16</v>
      </c>
      <c r="B21" s="746" t="s">
        <v>42</v>
      </c>
      <c r="C21" s="537">
        <v>0</v>
      </c>
    </row>
    <row r="22" spans="1:4" s="4" customFormat="1">
      <c r="A22" s="757">
        <v>17</v>
      </c>
      <c r="B22" s="749" t="s">
        <v>43</v>
      </c>
      <c r="C22" s="537">
        <v>9467557.6500000004</v>
      </c>
    </row>
    <row r="23" spans="1:4" s="4" customFormat="1">
      <c r="A23" s="757">
        <v>18</v>
      </c>
      <c r="B23" s="746" t="s">
        <v>725</v>
      </c>
      <c r="C23" s="537">
        <v>7974994.370000001</v>
      </c>
    </row>
    <row r="24" spans="1:4" s="4" customFormat="1" ht="25.5">
      <c r="A24" s="757">
        <v>19</v>
      </c>
      <c r="B24" s="746" t="s">
        <v>44</v>
      </c>
      <c r="C24" s="538">
        <v>0</v>
      </c>
    </row>
    <row r="25" spans="1:4" s="4" customFormat="1" ht="25.5">
      <c r="A25" s="757">
        <v>20</v>
      </c>
      <c r="B25" s="746" t="s">
        <v>45</v>
      </c>
      <c r="C25" s="538">
        <v>0</v>
      </c>
    </row>
    <row r="26" spans="1:4" s="4" customFormat="1" ht="25.5">
      <c r="A26" s="757">
        <v>21</v>
      </c>
      <c r="B26" s="750" t="s">
        <v>46</v>
      </c>
      <c r="C26" s="538">
        <v>0</v>
      </c>
    </row>
    <row r="27" spans="1:4" s="4" customFormat="1">
      <c r="A27" s="757">
        <v>22</v>
      </c>
      <c r="B27" s="750" t="s">
        <v>47</v>
      </c>
      <c r="C27" s="538">
        <v>0</v>
      </c>
    </row>
    <row r="28" spans="1:4" s="4" customFormat="1" ht="25.5">
      <c r="A28" s="757">
        <v>23</v>
      </c>
      <c r="B28" s="750" t="s">
        <v>48</v>
      </c>
      <c r="C28" s="538"/>
    </row>
    <row r="29" spans="1:4" s="4" customFormat="1">
      <c r="A29" s="757">
        <v>24</v>
      </c>
      <c r="B29" s="751" t="s">
        <v>22</v>
      </c>
      <c r="C29" s="759">
        <f>C6-C12</f>
        <v>3819677641.2357626</v>
      </c>
      <c r="D29" s="540"/>
    </row>
    <row r="30" spans="1:4" s="4" customFormat="1">
      <c r="A30" s="760"/>
      <c r="B30" s="752"/>
      <c r="C30" s="538"/>
    </row>
    <row r="31" spans="1:4" s="4" customFormat="1">
      <c r="A31" s="760">
        <v>25</v>
      </c>
      <c r="B31" s="751" t="s">
        <v>49</v>
      </c>
      <c r="C31" s="759">
        <f>C32+C35</f>
        <v>384060000</v>
      </c>
      <c r="D31" s="540"/>
    </row>
    <row r="32" spans="1:4" s="4" customFormat="1">
      <c r="A32" s="760">
        <v>26</v>
      </c>
      <c r="B32" s="745" t="s">
        <v>50</v>
      </c>
      <c r="C32" s="761">
        <f>C33+C34</f>
        <v>0</v>
      </c>
    </row>
    <row r="33" spans="1:4" s="4" customFormat="1">
      <c r="A33" s="760">
        <v>27</v>
      </c>
      <c r="B33" s="753" t="s">
        <v>51</v>
      </c>
      <c r="C33" s="538"/>
    </row>
    <row r="34" spans="1:4" s="4" customFormat="1">
      <c r="A34" s="760">
        <v>28</v>
      </c>
      <c r="B34" s="753" t="s">
        <v>52</v>
      </c>
      <c r="C34" s="538"/>
    </row>
    <row r="35" spans="1:4" s="4" customFormat="1">
      <c r="A35" s="760">
        <v>29</v>
      </c>
      <c r="B35" s="745" t="s">
        <v>53</v>
      </c>
      <c r="C35" s="537">
        <v>384060000</v>
      </c>
    </row>
    <row r="36" spans="1:4" s="4" customFormat="1">
      <c r="A36" s="760">
        <v>30</v>
      </c>
      <c r="B36" s="751" t="s">
        <v>54</v>
      </c>
      <c r="C36" s="759">
        <f>SUM(C37:C41)</f>
        <v>0</v>
      </c>
    </row>
    <row r="37" spans="1:4" s="4" customFormat="1">
      <c r="A37" s="760">
        <v>31</v>
      </c>
      <c r="B37" s="746" t="s">
        <v>55</v>
      </c>
      <c r="C37" s="538">
        <v>0</v>
      </c>
    </row>
    <row r="38" spans="1:4" s="4" customFormat="1">
      <c r="A38" s="760">
        <v>32</v>
      </c>
      <c r="B38" s="747" t="s">
        <v>56</v>
      </c>
      <c r="C38" s="538">
        <v>0</v>
      </c>
    </row>
    <row r="39" spans="1:4" s="4" customFormat="1" ht="25.5">
      <c r="A39" s="760">
        <v>33</v>
      </c>
      <c r="B39" s="746" t="s">
        <v>57</v>
      </c>
      <c r="C39" s="538">
        <v>0</v>
      </c>
    </row>
    <row r="40" spans="1:4" s="4" customFormat="1" ht="25.5">
      <c r="A40" s="760">
        <v>34</v>
      </c>
      <c r="B40" s="746" t="s">
        <v>45</v>
      </c>
      <c r="C40" s="538"/>
    </row>
    <row r="41" spans="1:4" s="4" customFormat="1" ht="25.5">
      <c r="A41" s="760">
        <v>35</v>
      </c>
      <c r="B41" s="750" t="s">
        <v>58</v>
      </c>
      <c r="C41" s="538"/>
    </row>
    <row r="42" spans="1:4" s="4" customFormat="1">
      <c r="A42" s="760">
        <v>36</v>
      </c>
      <c r="B42" s="751" t="s">
        <v>23</v>
      </c>
      <c r="C42" s="759">
        <f>C31-C36</f>
        <v>384060000</v>
      </c>
    </row>
    <row r="43" spans="1:4" s="4" customFormat="1">
      <c r="A43" s="760"/>
      <c r="B43" s="752"/>
      <c r="C43" s="538"/>
    </row>
    <row r="44" spans="1:4" s="4" customFormat="1">
      <c r="A44" s="760">
        <v>37</v>
      </c>
      <c r="B44" s="754" t="s">
        <v>59</v>
      </c>
      <c r="C44" s="759">
        <f>SUM(C45:C47)</f>
        <v>376378800</v>
      </c>
      <c r="D44" s="540"/>
    </row>
    <row r="45" spans="1:4" s="4" customFormat="1">
      <c r="A45" s="760">
        <v>38</v>
      </c>
      <c r="B45" s="745" t="s">
        <v>60</v>
      </c>
      <c r="C45" s="538">
        <v>376378800</v>
      </c>
    </row>
    <row r="46" spans="1:4" s="4" customFormat="1">
      <c r="A46" s="760">
        <v>39</v>
      </c>
      <c r="B46" s="745" t="s">
        <v>61</v>
      </c>
      <c r="C46" s="538"/>
    </row>
    <row r="47" spans="1:4" s="4" customFormat="1">
      <c r="A47" s="760">
        <v>40</v>
      </c>
      <c r="B47" s="755" t="s">
        <v>724</v>
      </c>
      <c r="C47" s="538"/>
    </row>
    <row r="48" spans="1:4" s="4" customFormat="1">
      <c r="A48" s="760">
        <v>41</v>
      </c>
      <c r="B48" s="754" t="s">
        <v>62</v>
      </c>
      <c r="C48" s="759">
        <f>SUM(C49:C52)</f>
        <v>0</v>
      </c>
    </row>
    <row r="49" spans="1:4" s="4" customFormat="1">
      <c r="A49" s="760">
        <v>42</v>
      </c>
      <c r="B49" s="746" t="s">
        <v>63</v>
      </c>
      <c r="C49" s="538"/>
    </row>
    <row r="50" spans="1:4" s="4" customFormat="1">
      <c r="A50" s="760">
        <v>43</v>
      </c>
      <c r="B50" s="747" t="s">
        <v>64</v>
      </c>
      <c r="C50" s="538">
        <v>0</v>
      </c>
    </row>
    <row r="51" spans="1:4" s="4" customFormat="1" ht="25.5">
      <c r="A51" s="760">
        <v>44</v>
      </c>
      <c r="B51" s="746" t="s">
        <v>65</v>
      </c>
      <c r="C51" s="538">
        <v>0</v>
      </c>
    </row>
    <row r="52" spans="1:4" s="4" customFormat="1" ht="25.5">
      <c r="A52" s="760">
        <v>45</v>
      </c>
      <c r="B52" s="746" t="s">
        <v>45</v>
      </c>
      <c r="C52" s="538"/>
    </row>
    <row r="53" spans="1:4" s="4" customFormat="1" ht="15.75" thickBot="1">
      <c r="A53" s="762">
        <v>46</v>
      </c>
      <c r="B53" s="763" t="s">
        <v>24</v>
      </c>
      <c r="C53" s="764">
        <f>C44-C48</f>
        <v>376378800</v>
      </c>
      <c r="D53" s="540"/>
    </row>
    <row r="56" spans="1:4">
      <c r="B56" s="2" t="s">
        <v>141</v>
      </c>
    </row>
  </sheetData>
  <dataValidations count="1">
    <dataValidation operator="lessThanOrEqual" allowBlank="1" showInputMessage="1" showErrorMessage="1" errorTitle="Should be negative number" error="Should be whole negative number or 0" sqref="C36:C53 C24:C34"/>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H17" sqref="H17"/>
    </sheetView>
  </sheetViews>
  <sheetFormatPr defaultColWidth="9.140625" defaultRowHeight="12.75"/>
  <cols>
    <col min="1" max="1" width="10.85546875" style="201" bestFit="1" customWidth="1"/>
    <col min="2" max="2" width="59" style="201" customWidth="1"/>
    <col min="3" max="3" width="16.7109375" style="201" bestFit="1" customWidth="1"/>
    <col min="4" max="4" width="22.140625" style="541" customWidth="1"/>
    <col min="5" max="16384" width="9.140625" style="201"/>
  </cols>
  <sheetData>
    <row r="1" spans="1:4" ht="15">
      <c r="A1" s="15" t="s">
        <v>108</v>
      </c>
      <c r="B1" s="14" t="str">
        <f>Info!C2</f>
        <v>სს ”საქართველოს ბანკი”</v>
      </c>
    </row>
    <row r="2" spans="1:4" s="19" customFormat="1" ht="15.75" customHeight="1">
      <c r="A2" s="19" t="s">
        <v>109</v>
      </c>
      <c r="B2" s="308">
        <f>'1. key ratios'!B2</f>
        <v>45016</v>
      </c>
      <c r="D2" s="542"/>
    </row>
    <row r="3" spans="1:4" s="19" customFormat="1" ht="15.75" customHeight="1">
      <c r="D3" s="542"/>
    </row>
    <row r="4" spans="1:4" ht="13.5" thickBot="1">
      <c r="A4" s="202" t="s">
        <v>356</v>
      </c>
      <c r="B4" s="225" t="s">
        <v>357</v>
      </c>
    </row>
    <row r="5" spans="1:4" s="226" customFormat="1">
      <c r="A5" s="808" t="s">
        <v>358</v>
      </c>
      <c r="B5" s="809"/>
      <c r="C5" s="217" t="s">
        <v>359</v>
      </c>
      <c r="D5" s="543" t="s">
        <v>360</v>
      </c>
    </row>
    <row r="6" spans="1:4" s="227" customFormat="1">
      <c r="A6" s="218">
        <v>1</v>
      </c>
      <c r="B6" s="219" t="s">
        <v>361</v>
      </c>
      <c r="C6" s="219"/>
      <c r="D6" s="544"/>
    </row>
    <row r="7" spans="1:4" s="227" customFormat="1">
      <c r="A7" s="220" t="s">
        <v>362</v>
      </c>
      <c r="B7" s="221" t="s">
        <v>363</v>
      </c>
      <c r="C7" s="269">
        <v>4.4999999999999998E-2</v>
      </c>
      <c r="D7" s="545">
        <f>C7*'5. RWA'!$C$13</f>
        <v>883325615.55238545</v>
      </c>
    </row>
    <row r="8" spans="1:4" s="227" customFormat="1">
      <c r="A8" s="220" t="s">
        <v>364</v>
      </c>
      <c r="B8" s="221" t="s">
        <v>365</v>
      </c>
      <c r="C8" s="270">
        <v>0.06</v>
      </c>
      <c r="D8" s="545">
        <f>C8*'5. RWA'!$C$13</f>
        <v>1177767487.4031806</v>
      </c>
    </row>
    <row r="9" spans="1:4" s="227" customFormat="1">
      <c r="A9" s="220" t="s">
        <v>366</v>
      </c>
      <c r="B9" s="221" t="s">
        <v>367</v>
      </c>
      <c r="C9" s="270">
        <v>0.08</v>
      </c>
      <c r="D9" s="545">
        <f>C9*'5. RWA'!$C$13</f>
        <v>1570356649.8709075</v>
      </c>
    </row>
    <row r="10" spans="1:4" s="227" customFormat="1">
      <c r="A10" s="218" t="s">
        <v>368</v>
      </c>
      <c r="B10" s="219" t="s">
        <v>369</v>
      </c>
      <c r="C10" s="271"/>
      <c r="D10" s="546"/>
    </row>
    <row r="11" spans="1:4" s="228" customFormat="1">
      <c r="A11" s="222" t="s">
        <v>370</v>
      </c>
      <c r="B11" s="223" t="s">
        <v>432</v>
      </c>
      <c r="C11" s="272">
        <v>2.5000000000000001E-2</v>
      </c>
      <c r="D11" s="547">
        <f>C11*'5. RWA'!$C$13</f>
        <v>490736453.08465862</v>
      </c>
    </row>
    <row r="12" spans="1:4" s="228" customFormat="1">
      <c r="A12" s="222" t="s">
        <v>371</v>
      </c>
      <c r="B12" s="223" t="s">
        <v>372</v>
      </c>
      <c r="C12" s="272">
        <v>0</v>
      </c>
      <c r="D12" s="547">
        <f>C12*'5. RWA'!$C$13</f>
        <v>0</v>
      </c>
    </row>
    <row r="13" spans="1:4" s="228" customFormat="1">
      <c r="A13" s="222" t="s">
        <v>373</v>
      </c>
      <c r="B13" s="223" t="s">
        <v>374</v>
      </c>
      <c r="C13" s="272">
        <v>2.5000000000000001E-2</v>
      </c>
      <c r="D13" s="547">
        <f>C13*'5. RWA'!$C$13</f>
        <v>490736453.08465862</v>
      </c>
    </row>
    <row r="14" spans="1:4" s="227" customFormat="1">
      <c r="A14" s="218" t="s">
        <v>375</v>
      </c>
      <c r="B14" s="219" t="s">
        <v>430</v>
      </c>
      <c r="C14" s="273"/>
      <c r="D14" s="546"/>
    </row>
    <row r="15" spans="1:4" s="227" customFormat="1">
      <c r="A15" s="238" t="s">
        <v>378</v>
      </c>
      <c r="B15" s="223" t="s">
        <v>431</v>
      </c>
      <c r="C15" s="272">
        <v>5.0451527076105576E-2</v>
      </c>
      <c r="D15" s="547">
        <f>C15*'5. RWA'!$C$13</f>
        <v>990336138.00130677</v>
      </c>
    </row>
    <row r="16" spans="1:4" s="227" customFormat="1">
      <c r="A16" s="238" t="s">
        <v>379</v>
      </c>
      <c r="B16" s="223" t="s">
        <v>381</v>
      </c>
      <c r="C16" s="272">
        <v>5.7618985778533777E-2</v>
      </c>
      <c r="D16" s="547">
        <f>C16*'5. RWA'!$C$13</f>
        <v>1131029468.4517221</v>
      </c>
    </row>
    <row r="17" spans="1:6" s="227" customFormat="1">
      <c r="A17" s="238" t="s">
        <v>380</v>
      </c>
      <c r="B17" s="223" t="s">
        <v>428</v>
      </c>
      <c r="C17" s="272">
        <v>6.7049852492255091E-2</v>
      </c>
      <c r="D17" s="547">
        <f>C17*'5. RWA'!$C$13</f>
        <v>1316152271.6759529</v>
      </c>
    </row>
    <row r="18" spans="1:6" s="226" customFormat="1">
      <c r="A18" s="810" t="s">
        <v>429</v>
      </c>
      <c r="B18" s="811"/>
      <c r="C18" s="274" t="s">
        <v>359</v>
      </c>
      <c r="D18" s="548" t="s">
        <v>360</v>
      </c>
    </row>
    <row r="19" spans="1:6" s="227" customFormat="1">
      <c r="A19" s="224">
        <v>4</v>
      </c>
      <c r="B19" s="223" t="s">
        <v>22</v>
      </c>
      <c r="C19" s="272">
        <f>C7+C11+C12+C13+C15</f>
        <v>0.14545152707610559</v>
      </c>
      <c r="D19" s="545">
        <f>C19*'5. RWA'!$C$13</f>
        <v>2855134659.7230096</v>
      </c>
      <c r="E19" s="550"/>
      <c r="F19" s="551"/>
    </row>
    <row r="20" spans="1:6" s="227" customFormat="1">
      <c r="A20" s="224">
        <v>5</v>
      </c>
      <c r="B20" s="223" t="s">
        <v>86</v>
      </c>
      <c r="C20" s="272">
        <f>C8+C11+C12+C13+C16</f>
        <v>0.16761898577853376</v>
      </c>
      <c r="D20" s="545">
        <f>C20*'5. RWA'!$C$13</f>
        <v>3290269862.02422</v>
      </c>
      <c r="E20" s="550"/>
      <c r="F20" s="551"/>
    </row>
    <row r="21" spans="1:6" s="227" customFormat="1" ht="13.5" thickBot="1">
      <c r="A21" s="229" t="s">
        <v>376</v>
      </c>
      <c r="B21" s="230" t="s">
        <v>85</v>
      </c>
      <c r="C21" s="275">
        <f>C9+C11+C12+C13+C17</f>
        <v>0.1970498524922551</v>
      </c>
      <c r="D21" s="549">
        <f>C21*'5. RWA'!$C$13</f>
        <v>3867981827.7161779</v>
      </c>
      <c r="E21" s="550"/>
      <c r="F21" s="551"/>
    </row>
    <row r="22" spans="1:6">
      <c r="F22" s="202"/>
    </row>
    <row r="23" spans="1:6" ht="63.75">
      <c r="B23" s="21" t="s">
        <v>433</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5"/>
  <sheetViews>
    <sheetView zoomScale="80" zoomScaleNormal="80" workbookViewId="0">
      <pane xSplit="1" ySplit="5" topLeftCell="B57" activePane="bottomRight" state="frozen"/>
      <selection pane="topRight" activeCell="B1" sqref="B1"/>
      <selection pane="bottomLeft" activeCell="A5" sqref="A5"/>
      <selection pane="bottomRight" activeCell="D71" sqref="D71"/>
    </sheetView>
  </sheetViews>
  <sheetFormatPr defaultRowHeight="15.75"/>
  <cols>
    <col min="1" max="1" width="10.7109375" style="36" customWidth="1"/>
    <col min="2" max="2" width="100.85546875" style="36" customWidth="1"/>
    <col min="3" max="3" width="51.28515625" style="681" customWidth="1"/>
    <col min="4" max="4" width="48" style="36" customWidth="1"/>
    <col min="5" max="5" width="15.85546875" bestFit="1" customWidth="1"/>
  </cols>
  <sheetData>
    <row r="1" spans="1:7">
      <c r="A1" s="15" t="s">
        <v>108</v>
      </c>
      <c r="B1" s="17" t="str">
        <f>Info!C2</f>
        <v>სს ”საქართველოს ბანკი”</v>
      </c>
      <c r="C1" s="680"/>
      <c r="E1" s="2"/>
      <c r="F1" s="2"/>
    </row>
    <row r="2" spans="1:7" s="19" customFormat="1" ht="15">
      <c r="A2" s="19" t="s">
        <v>109</v>
      </c>
      <c r="B2" s="710">
        <f>'1. key ratios'!B2</f>
        <v>45016</v>
      </c>
      <c r="C2" s="681"/>
    </row>
    <row r="3" spans="1:7" s="19" customFormat="1" ht="15">
      <c r="A3" s="24"/>
      <c r="C3" s="682"/>
    </row>
    <row r="4" spans="1:7" s="19" customFormat="1" thickBot="1">
      <c r="A4" s="19" t="s">
        <v>257</v>
      </c>
      <c r="B4" s="119" t="s">
        <v>172</v>
      </c>
      <c r="C4" s="683"/>
      <c r="D4" s="120" t="s">
        <v>87</v>
      </c>
    </row>
    <row r="5" spans="1:7" ht="25.5">
      <c r="A5" s="701" t="s">
        <v>25</v>
      </c>
      <c r="B5" s="702" t="s">
        <v>144</v>
      </c>
      <c r="C5" s="703" t="s">
        <v>857</v>
      </c>
      <c r="D5" s="704" t="s">
        <v>173</v>
      </c>
    </row>
    <row r="6" spans="1:7">
      <c r="A6" s="626">
        <v>1</v>
      </c>
      <c r="B6" s="606" t="s">
        <v>842</v>
      </c>
      <c r="C6" s="684">
        <f>SUM(C7:C9)</f>
        <v>4174042999.7279997</v>
      </c>
      <c r="D6" s="705"/>
      <c r="E6" s="6">
        <f>C6-'2. SOFP'!E7</f>
        <v>0</v>
      </c>
    </row>
    <row r="7" spans="1:7">
      <c r="A7" s="626">
        <v>1.1000000000000001</v>
      </c>
      <c r="B7" s="608" t="s">
        <v>96</v>
      </c>
      <c r="C7" s="685">
        <f>'2. SOFP'!E8</f>
        <v>740907086.68799996</v>
      </c>
      <c r="D7" s="705"/>
      <c r="E7" s="6">
        <f>C7-'2. SOFP'!E8</f>
        <v>0</v>
      </c>
    </row>
    <row r="8" spans="1:7">
      <c r="A8" s="626">
        <v>1.2</v>
      </c>
      <c r="B8" s="608" t="s">
        <v>97</v>
      </c>
      <c r="C8" s="685">
        <f>'2. SOFP'!E9</f>
        <v>2442890078.1999998</v>
      </c>
      <c r="D8" s="705"/>
      <c r="E8" s="6">
        <f>C8-'2. SOFP'!E9</f>
        <v>0</v>
      </c>
    </row>
    <row r="9" spans="1:7">
      <c r="A9" s="626">
        <v>1.3</v>
      </c>
      <c r="B9" s="608" t="s">
        <v>98</v>
      </c>
      <c r="C9" s="685">
        <f>'2. SOFP'!E10</f>
        <v>990245834.84000015</v>
      </c>
      <c r="D9" s="705"/>
      <c r="E9" s="6">
        <f>C9-'2. SOFP'!E10</f>
        <v>0</v>
      </c>
    </row>
    <row r="10" spans="1:7">
      <c r="A10" s="626">
        <v>2</v>
      </c>
      <c r="B10" s="609" t="s">
        <v>729</v>
      </c>
      <c r="C10" s="685">
        <f>'2. SOFP'!E11</f>
        <v>19264077.770000003</v>
      </c>
      <c r="D10" s="705"/>
      <c r="E10" s="6">
        <f>C10-'2. SOFP'!E11</f>
        <v>0</v>
      </c>
    </row>
    <row r="11" spans="1:7">
      <c r="A11" s="626">
        <v>2.1</v>
      </c>
      <c r="B11" s="610" t="s">
        <v>730</v>
      </c>
      <c r="C11" s="686">
        <f>'2. SOFP'!E12</f>
        <v>19264077.770000003</v>
      </c>
      <c r="D11" s="706"/>
      <c r="E11" s="6">
        <f>C11-'2. SOFP'!E12</f>
        <v>0</v>
      </c>
    </row>
    <row r="12" spans="1:7" ht="21">
      <c r="A12" s="626">
        <v>3</v>
      </c>
      <c r="B12" s="611" t="s">
        <v>731</v>
      </c>
      <c r="C12" s="687"/>
      <c r="D12" s="706"/>
      <c r="E12" s="6">
        <f>C12-'2. SOFP'!E13</f>
        <v>0</v>
      </c>
    </row>
    <row r="13" spans="1:7" ht="21">
      <c r="A13" s="626">
        <v>4</v>
      </c>
      <c r="B13" s="612" t="s">
        <v>732</v>
      </c>
      <c r="C13" s="688"/>
      <c r="D13" s="706"/>
      <c r="E13" s="6">
        <f>C13-'2. SOFP'!E14</f>
        <v>0</v>
      </c>
      <c r="G13" t="s">
        <v>995</v>
      </c>
    </row>
    <row r="14" spans="1:7">
      <c r="A14" s="626">
        <v>5</v>
      </c>
      <c r="B14" s="612" t="s">
        <v>733</v>
      </c>
      <c r="C14" s="688">
        <f>SUM(C15)+C17</f>
        <v>3855842339.2587996</v>
      </c>
      <c r="D14" s="706"/>
      <c r="E14" s="6">
        <f>C14-'2. SOFP'!E15</f>
        <v>0</v>
      </c>
    </row>
    <row r="15" spans="1:7">
      <c r="A15" s="626">
        <v>5.0999999999999996</v>
      </c>
      <c r="B15" s="614" t="s">
        <v>734</v>
      </c>
      <c r="C15" s="689">
        <f>'2. SOFP'!E16</f>
        <v>5020756.2563000005</v>
      </c>
      <c r="D15" s="706"/>
      <c r="E15" s="6">
        <f>C15-'2. SOFP'!E16</f>
        <v>0</v>
      </c>
    </row>
    <row r="16" spans="1:7" ht="25.5">
      <c r="A16" s="626"/>
      <c r="B16" s="39" t="s">
        <v>997</v>
      </c>
      <c r="C16" s="689">
        <f>'9. Capital'!C18</f>
        <v>4435622.9763000002</v>
      </c>
      <c r="D16" s="706" t="s">
        <v>994</v>
      </c>
      <c r="E16" s="6"/>
    </row>
    <row r="17" spans="1:5">
      <c r="A17" s="626">
        <v>5.2</v>
      </c>
      <c r="B17" s="614" t="s">
        <v>568</v>
      </c>
      <c r="C17" s="689">
        <f>'2. SOFP'!E17</f>
        <v>3850821583.0024996</v>
      </c>
      <c r="D17" s="706"/>
      <c r="E17" s="6">
        <f>C17-'2. SOFP'!E17</f>
        <v>0</v>
      </c>
    </row>
    <row r="18" spans="1:5">
      <c r="A18" s="626">
        <v>5.3</v>
      </c>
      <c r="B18" s="614" t="s">
        <v>735</v>
      </c>
      <c r="C18" s="689">
        <f>'2. SOFP'!E18</f>
        <v>0</v>
      </c>
      <c r="D18" s="706"/>
      <c r="E18" s="6">
        <f>C18-'2. SOFP'!E18</f>
        <v>0</v>
      </c>
    </row>
    <row r="19" spans="1:5">
      <c r="A19" s="626">
        <v>6</v>
      </c>
      <c r="B19" s="611" t="s">
        <v>736</v>
      </c>
      <c r="C19" s="687">
        <f>SUM(C20:C21)</f>
        <v>16831819288.718208</v>
      </c>
      <c r="D19" s="706"/>
      <c r="E19" s="6">
        <f>C19-'2. SOFP'!E19</f>
        <v>0</v>
      </c>
    </row>
    <row r="20" spans="1:5">
      <c r="A20" s="626">
        <v>6.1</v>
      </c>
      <c r="B20" s="614" t="s">
        <v>568</v>
      </c>
      <c r="C20" s="689">
        <f>'2. SOFP'!E20</f>
        <v>423897169.8707</v>
      </c>
      <c r="D20" s="706"/>
      <c r="E20" s="6">
        <f>C20-'2. SOFP'!E20</f>
        <v>0</v>
      </c>
    </row>
    <row r="21" spans="1:5">
      <c r="A21" s="626">
        <v>6.2</v>
      </c>
      <c r="B21" s="614" t="s">
        <v>735</v>
      </c>
      <c r="C21" s="689">
        <f>'2. SOFP'!E21</f>
        <v>16407922118.847507</v>
      </c>
      <c r="D21" s="706"/>
      <c r="E21" s="6">
        <f>C21-'2. SOFP'!E21</f>
        <v>0</v>
      </c>
    </row>
    <row r="22" spans="1:5">
      <c r="A22" s="626">
        <v>7</v>
      </c>
      <c r="B22" s="615" t="s">
        <v>737</v>
      </c>
      <c r="C22" s="690">
        <f>'2. SOFP'!E22</f>
        <v>157546642.32999998</v>
      </c>
      <c r="D22" s="706">
        <v>0</v>
      </c>
      <c r="E22" s="6">
        <f>C22-'2. SOFP'!E22</f>
        <v>0</v>
      </c>
    </row>
    <row r="23" spans="1:5" ht="21">
      <c r="A23" s="626"/>
      <c r="B23" s="615" t="s">
        <v>998</v>
      </c>
      <c r="C23" s="690">
        <f>'9. Capital'!C22</f>
        <v>9467557.6500000004</v>
      </c>
      <c r="D23" s="706" t="s">
        <v>990</v>
      </c>
      <c r="E23" s="6"/>
    </row>
    <row r="24" spans="1:5">
      <c r="A24" s="626"/>
      <c r="B24" s="615"/>
      <c r="C24" s="690"/>
      <c r="D24" s="706"/>
      <c r="E24" s="6"/>
    </row>
    <row r="25" spans="1:5">
      <c r="A25" s="626">
        <v>8</v>
      </c>
      <c r="B25" s="615" t="s">
        <v>738</v>
      </c>
      <c r="C25" s="690">
        <f>'2. SOFP'!E23</f>
        <v>30451310.469999995</v>
      </c>
      <c r="D25" s="706"/>
      <c r="E25" s="6">
        <f>C25-'2. SOFP'!E23</f>
        <v>0</v>
      </c>
    </row>
    <row r="26" spans="1:5">
      <c r="A26" s="626">
        <v>9</v>
      </c>
      <c r="B26" s="612" t="s">
        <v>739</v>
      </c>
      <c r="C26" s="688">
        <f>SUM(C27:C28)</f>
        <v>604632715.68999994</v>
      </c>
      <c r="D26" s="706"/>
      <c r="E26" s="6">
        <f>C26-'2. SOFP'!E24</f>
        <v>0</v>
      </c>
    </row>
    <row r="27" spans="1:5">
      <c r="A27" s="626">
        <v>9.1</v>
      </c>
      <c r="B27" s="616" t="s">
        <v>740</v>
      </c>
      <c r="C27" s="691">
        <f>'2. SOFP'!E25</f>
        <v>452259138.08999997</v>
      </c>
      <c r="D27" s="706"/>
      <c r="E27" s="6">
        <f>C27-'2. SOFP'!E25</f>
        <v>0</v>
      </c>
    </row>
    <row r="28" spans="1:5">
      <c r="A28" s="626">
        <v>9.1999999999999993</v>
      </c>
      <c r="B28" s="616" t="s">
        <v>741</v>
      </c>
      <c r="C28" s="691">
        <f>'2. SOFP'!E26</f>
        <v>152373577.59999999</v>
      </c>
      <c r="D28" s="706"/>
      <c r="E28" s="6">
        <f>C28-'2. SOFP'!E26</f>
        <v>0</v>
      </c>
    </row>
    <row r="29" spans="1:5">
      <c r="A29" s="626">
        <v>10</v>
      </c>
      <c r="B29" s="612" t="s">
        <v>36</v>
      </c>
      <c r="C29" s="688">
        <f>SUM(C30:C31)</f>
        <v>159471238.15000001</v>
      </c>
      <c r="D29" s="706"/>
      <c r="E29" s="6">
        <f>C29-'2. SOFP'!E27</f>
        <v>0</v>
      </c>
    </row>
    <row r="30" spans="1:5">
      <c r="A30" s="626">
        <v>10.1</v>
      </c>
      <c r="B30" s="616" t="s">
        <v>742</v>
      </c>
      <c r="C30" s="691">
        <f>'2. SOFP'!E28</f>
        <v>33331342.84</v>
      </c>
      <c r="D30" s="706" t="s">
        <v>996</v>
      </c>
      <c r="E30" s="6">
        <f>C30-'2. SOFP'!E28</f>
        <v>0</v>
      </c>
    </row>
    <row r="31" spans="1:5">
      <c r="A31" s="626">
        <v>10.199999999999999</v>
      </c>
      <c r="B31" s="616" t="s">
        <v>743</v>
      </c>
      <c r="C31" s="691">
        <f>'2. SOFP'!E29</f>
        <v>126139895.31</v>
      </c>
      <c r="D31" s="706" t="s">
        <v>996</v>
      </c>
      <c r="E31" s="6">
        <f>C31-'2. SOFP'!E29</f>
        <v>0</v>
      </c>
    </row>
    <row r="32" spans="1:5">
      <c r="A32" s="626">
        <v>11</v>
      </c>
      <c r="B32" s="612" t="s">
        <v>744</v>
      </c>
      <c r="C32" s="688">
        <f>SUM(C33:C34)</f>
        <v>0</v>
      </c>
      <c r="D32" s="706"/>
      <c r="E32" s="6">
        <f>C32-'2. SOFP'!E30</f>
        <v>0</v>
      </c>
    </row>
    <row r="33" spans="1:5">
      <c r="A33" s="626">
        <v>11.1</v>
      </c>
      <c r="B33" s="616" t="s">
        <v>745</v>
      </c>
      <c r="C33" s="691">
        <f>'2. SOFP'!E31</f>
        <v>0</v>
      </c>
      <c r="D33" s="706"/>
      <c r="E33" s="6">
        <f>C33-'2. SOFP'!E31</f>
        <v>0</v>
      </c>
    </row>
    <row r="34" spans="1:5">
      <c r="A34" s="626">
        <v>11.2</v>
      </c>
      <c r="B34" s="616" t="s">
        <v>746</v>
      </c>
      <c r="C34" s="691">
        <f>'2. SOFP'!E32</f>
        <v>0</v>
      </c>
      <c r="D34" s="706"/>
      <c r="E34" s="6">
        <f>C34-'2. SOFP'!E32</f>
        <v>0</v>
      </c>
    </row>
    <row r="35" spans="1:5">
      <c r="A35" s="626">
        <v>13</v>
      </c>
      <c r="B35" s="612" t="s">
        <v>99</v>
      </c>
      <c r="C35" s="691">
        <f>'2. SOFP'!E33</f>
        <v>371038326.58919162</v>
      </c>
      <c r="D35" s="706"/>
      <c r="E35" s="6">
        <f>C35-'2. SOFP'!E33</f>
        <v>0</v>
      </c>
    </row>
    <row r="36" spans="1:5">
      <c r="A36" s="626">
        <v>13.1</v>
      </c>
      <c r="B36" s="617" t="s">
        <v>747</v>
      </c>
      <c r="C36" s="692">
        <f>'2. SOFP'!E34</f>
        <v>146073969.61999995</v>
      </c>
      <c r="D36" s="706"/>
      <c r="E36" s="6">
        <f>C36-'2. SOFP'!E34</f>
        <v>0</v>
      </c>
    </row>
    <row r="37" spans="1:5">
      <c r="A37" s="626">
        <v>13.2</v>
      </c>
      <c r="B37" s="617" t="s">
        <v>748</v>
      </c>
      <c r="C37" s="692">
        <f>'2. SOFP'!E35</f>
        <v>0</v>
      </c>
      <c r="D37" s="706"/>
      <c r="E37" s="6">
        <f>C37-'2. SOFP'!E35</f>
        <v>0</v>
      </c>
    </row>
    <row r="38" spans="1:5">
      <c r="A38" s="626">
        <v>14</v>
      </c>
      <c r="B38" s="618" t="s">
        <v>749</v>
      </c>
      <c r="C38" s="693">
        <f>SUM(C6,C10,C12,C13,C14,C19,C22,C25,C26,C29,C32,C35)</f>
        <v>26204108938.704201</v>
      </c>
      <c r="D38" s="706"/>
      <c r="E38" s="6">
        <f>C38-'2. SOFP'!E36</f>
        <v>0</v>
      </c>
    </row>
    <row r="39" spans="1:5">
      <c r="A39" s="626"/>
      <c r="B39" s="619" t="s">
        <v>104</v>
      </c>
      <c r="C39" s="694"/>
      <c r="D39" s="706"/>
      <c r="E39" s="6">
        <f>C39-'2. SOFP'!E37</f>
        <v>0</v>
      </c>
    </row>
    <row r="40" spans="1:5">
      <c r="A40" s="626">
        <v>15</v>
      </c>
      <c r="B40" s="615" t="s">
        <v>750</v>
      </c>
      <c r="C40" s="686">
        <f>'2. SOFP'!E38</f>
        <v>28061320.780000001</v>
      </c>
      <c r="D40" s="706"/>
      <c r="E40" s="6">
        <f>C40-'2. SOFP'!E38</f>
        <v>0</v>
      </c>
    </row>
    <row r="41" spans="1:5">
      <c r="A41" s="626">
        <v>15.1</v>
      </c>
      <c r="B41" s="610" t="s">
        <v>730</v>
      </c>
      <c r="C41" s="686">
        <f>'2. SOFP'!E39</f>
        <v>28061320.780000001</v>
      </c>
      <c r="D41" s="706"/>
      <c r="E41" s="6">
        <f>C41-'2. SOFP'!E39</f>
        <v>0</v>
      </c>
    </row>
    <row r="42" spans="1:5" ht="21">
      <c r="A42" s="626">
        <v>16</v>
      </c>
      <c r="B42" s="615" t="s">
        <v>751</v>
      </c>
      <c r="C42" s="690"/>
      <c r="D42" s="706"/>
      <c r="E42" s="6">
        <f>C42-'2. SOFP'!E40</f>
        <v>0</v>
      </c>
    </row>
    <row r="43" spans="1:5">
      <c r="A43" s="626">
        <v>17</v>
      </c>
      <c r="B43" s="615" t="s">
        <v>752</v>
      </c>
      <c r="C43" s="690">
        <f>SUM(C44:C47)</f>
        <v>21031978696.394501</v>
      </c>
      <c r="D43" s="706"/>
      <c r="E43" s="6">
        <f>C43-'2. SOFP'!E41</f>
        <v>0</v>
      </c>
    </row>
    <row r="44" spans="1:5">
      <c r="A44" s="626">
        <v>17.100000000000001</v>
      </c>
      <c r="B44" s="620" t="s">
        <v>753</v>
      </c>
      <c r="C44" s="695">
        <f>'2. SOFP'!E42</f>
        <v>18098649912.908501</v>
      </c>
      <c r="D44" s="706"/>
      <c r="E44" s="6">
        <f>C44-'2. SOFP'!E42</f>
        <v>0</v>
      </c>
    </row>
    <row r="45" spans="1:5">
      <c r="A45" s="626">
        <v>17.2</v>
      </c>
      <c r="B45" s="608" t="s">
        <v>100</v>
      </c>
      <c r="C45" s="685">
        <f>'2. SOFP'!E43</f>
        <v>2537610168.6660004</v>
      </c>
      <c r="D45" s="706"/>
      <c r="E45" s="6">
        <f>C45-'2. SOFP'!E43</f>
        <v>0</v>
      </c>
    </row>
    <row r="46" spans="1:5">
      <c r="A46" s="626">
        <v>17.3</v>
      </c>
      <c r="B46" s="620" t="s">
        <v>754</v>
      </c>
      <c r="C46" s="695">
        <f>'2. SOFP'!E44</f>
        <v>301639997.35000002</v>
      </c>
      <c r="D46" s="706"/>
      <c r="E46" s="6">
        <f>C46-'2. SOFP'!E44</f>
        <v>0</v>
      </c>
    </row>
    <row r="47" spans="1:5">
      <c r="A47" s="626">
        <v>17.399999999999999</v>
      </c>
      <c r="B47" s="620" t="s">
        <v>755</v>
      </c>
      <c r="C47" s="695">
        <f>'2. SOFP'!E45</f>
        <v>94078617.469999999</v>
      </c>
      <c r="D47" s="706"/>
      <c r="E47" s="6">
        <f>C47-'2. SOFP'!E45</f>
        <v>0</v>
      </c>
    </row>
    <row r="48" spans="1:5">
      <c r="A48" s="626">
        <v>18</v>
      </c>
      <c r="B48" s="621" t="s">
        <v>756</v>
      </c>
      <c r="C48" s="696">
        <f>'2. SOFP'!E46</f>
        <v>3638471.9277000003</v>
      </c>
      <c r="D48" s="706"/>
      <c r="E48" s="6">
        <f>C48-'2. SOFP'!E46</f>
        <v>0</v>
      </c>
    </row>
    <row r="49" spans="1:5">
      <c r="A49" s="626">
        <v>19</v>
      </c>
      <c r="B49" s="621" t="s">
        <v>757</v>
      </c>
      <c r="C49" s="696">
        <f>SUM(C50:C51)</f>
        <v>121173352.10241669</v>
      </c>
      <c r="D49" s="706"/>
      <c r="E49" s="6">
        <f>C49-'2. SOFP'!E47</f>
        <v>0</v>
      </c>
    </row>
    <row r="50" spans="1:5">
      <c r="A50" s="626">
        <v>19.100000000000001</v>
      </c>
      <c r="B50" s="622" t="s">
        <v>758</v>
      </c>
      <c r="C50" s="697">
        <f>'2. SOFP'!E48</f>
        <v>98824776.113609806</v>
      </c>
      <c r="D50" s="706"/>
      <c r="E50" s="6">
        <f>C50-'2. SOFP'!E48</f>
        <v>0</v>
      </c>
    </row>
    <row r="51" spans="1:5">
      <c r="A51" s="626">
        <v>19.2</v>
      </c>
      <c r="B51" s="622" t="s">
        <v>759</v>
      </c>
      <c r="C51" s="697">
        <f>'2. SOFP'!E49</f>
        <v>22348575.988806896</v>
      </c>
      <c r="D51" s="706"/>
      <c r="E51" s="6">
        <f>C51-'2. SOFP'!E49</f>
        <v>0</v>
      </c>
    </row>
    <row r="52" spans="1:5">
      <c r="A52" s="626">
        <v>20</v>
      </c>
      <c r="B52" s="618" t="s">
        <v>101</v>
      </c>
      <c r="C52" s="697">
        <f>'2. SOFP'!E50</f>
        <v>784304769</v>
      </c>
      <c r="D52" s="706"/>
      <c r="E52" s="6">
        <f>C52-'2. SOFP'!E50</f>
        <v>0</v>
      </c>
    </row>
    <row r="53" spans="1:5" ht="21">
      <c r="A53" s="626"/>
      <c r="B53" s="618" t="str">
        <f>'9. Capital'!B35</f>
        <v>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v>
      </c>
      <c r="C53" s="697">
        <f>'9. Capital'!C35</f>
        <v>384060000</v>
      </c>
      <c r="D53" s="706" t="s">
        <v>999</v>
      </c>
      <c r="E53" s="6"/>
    </row>
    <row r="54" spans="1:5">
      <c r="A54" s="626"/>
      <c r="B54" s="618" t="str">
        <f>'9. Capital'!B45</f>
        <v>ინსტრუმენტები, რომლებიც აკმაყოფილებენ მეორადი კაპიტალის კრიტერიუმებს</v>
      </c>
      <c r="C54" s="697">
        <f>'9. Capital'!C45</f>
        <v>376378800</v>
      </c>
      <c r="D54" s="706" t="s">
        <v>1000</v>
      </c>
      <c r="E54" s="6"/>
    </row>
    <row r="55" spans="1:5">
      <c r="A55" s="626">
        <v>21</v>
      </c>
      <c r="B55" s="609" t="s">
        <v>89</v>
      </c>
      <c r="C55" s="697">
        <f>'2. SOFP'!E51</f>
        <v>201800952.35082144</v>
      </c>
      <c r="D55" s="706"/>
      <c r="E55" s="6">
        <f>C55-'2. SOFP'!E51</f>
        <v>0</v>
      </c>
    </row>
    <row r="56" spans="1:5">
      <c r="A56" s="626">
        <v>21.1</v>
      </c>
      <c r="B56" s="608" t="s">
        <v>760</v>
      </c>
      <c r="C56" s="697">
        <f>'2. SOFP'!E52</f>
        <v>2327414.75</v>
      </c>
      <c r="D56" s="706"/>
      <c r="E56" s="6">
        <f>C56-'2. SOFP'!E52</f>
        <v>0</v>
      </c>
    </row>
    <row r="57" spans="1:5">
      <c r="A57" s="626">
        <v>22</v>
      </c>
      <c r="B57" s="618" t="s">
        <v>761</v>
      </c>
      <c r="C57" s="693">
        <f>SUM(C40,C42,C43,C48,C49,C52,C55)</f>
        <v>22170957562.555439</v>
      </c>
      <c r="D57" s="706"/>
      <c r="E57" s="6">
        <f>C57-'2. SOFP'!E53</f>
        <v>0</v>
      </c>
    </row>
    <row r="58" spans="1:5">
      <c r="A58" s="626"/>
      <c r="B58" s="619" t="s">
        <v>762</v>
      </c>
      <c r="C58" s="694"/>
      <c r="D58" s="706"/>
      <c r="E58" s="6">
        <f>C58-'2. SOFP'!E54</f>
        <v>0</v>
      </c>
    </row>
    <row r="59" spans="1:5">
      <c r="A59" s="626">
        <v>23</v>
      </c>
      <c r="B59" s="618" t="s">
        <v>105</v>
      </c>
      <c r="C59" s="693">
        <f>'2. SOFP'!E55</f>
        <v>27993660.18</v>
      </c>
      <c r="D59" s="706" t="s">
        <v>1001</v>
      </c>
      <c r="E59" s="6">
        <f>C59-'2. SOFP'!E55</f>
        <v>0</v>
      </c>
    </row>
    <row r="60" spans="1:5">
      <c r="A60" s="626">
        <v>24</v>
      </c>
      <c r="B60" s="618" t="s">
        <v>763</v>
      </c>
      <c r="C60" s="693">
        <f>'2. SOFP'!E56</f>
        <v>0</v>
      </c>
      <c r="D60" s="706"/>
      <c r="E60" s="6">
        <f>C60-'2. SOFP'!E56</f>
        <v>0</v>
      </c>
    </row>
    <row r="61" spans="1:5">
      <c r="A61" s="626">
        <v>25</v>
      </c>
      <c r="B61" s="623" t="s">
        <v>102</v>
      </c>
      <c r="C61" s="698">
        <f>'2. SOFP'!E57</f>
        <v>182642927.07627702</v>
      </c>
      <c r="D61" s="706" t="s">
        <v>1003</v>
      </c>
      <c r="E61" s="6">
        <f>C61-'2. SOFP'!E57</f>
        <v>0</v>
      </c>
    </row>
    <row r="62" spans="1:5">
      <c r="A62" s="626">
        <v>26</v>
      </c>
      <c r="B62" s="621" t="s">
        <v>764</v>
      </c>
      <c r="C62" s="696">
        <f>'2. SOFP'!E58</f>
        <v>-10173</v>
      </c>
      <c r="D62" s="706" t="s">
        <v>1002</v>
      </c>
      <c r="E62" s="6">
        <f>C62-'2. SOFP'!E58</f>
        <v>0</v>
      </c>
    </row>
    <row r="63" spans="1:5">
      <c r="A63" s="626">
        <v>27</v>
      </c>
      <c r="B63" s="621" t="s">
        <v>765</v>
      </c>
      <c r="C63" s="696">
        <f>'2. SOFP'!E59</f>
        <v>0</v>
      </c>
      <c r="D63" s="706"/>
      <c r="E63" s="6">
        <f>C63-'2. SOFP'!E59</f>
        <v>0</v>
      </c>
    </row>
    <row r="64" spans="1:5">
      <c r="A64" s="626">
        <v>27.1</v>
      </c>
      <c r="B64" s="624" t="s">
        <v>766</v>
      </c>
      <c r="C64" s="696">
        <f>'2. SOFP'!E60</f>
        <v>0</v>
      </c>
      <c r="D64" s="706"/>
      <c r="E64" s="6">
        <f>C64-'2. SOFP'!E60</f>
        <v>0</v>
      </c>
    </row>
    <row r="65" spans="1:5">
      <c r="A65" s="626">
        <v>27.2</v>
      </c>
      <c r="B65" s="620" t="s">
        <v>767</v>
      </c>
      <c r="C65" s="696">
        <f>'2. SOFP'!E61</f>
        <v>0</v>
      </c>
      <c r="D65" s="706"/>
      <c r="E65" s="6">
        <f>C65-'2. SOFP'!E61</f>
        <v>0</v>
      </c>
    </row>
    <row r="66" spans="1:5">
      <c r="A66" s="626">
        <v>28</v>
      </c>
      <c r="B66" s="609" t="s">
        <v>768</v>
      </c>
      <c r="C66" s="696">
        <f>'2. SOFP'!E62</f>
        <v>0</v>
      </c>
      <c r="D66" s="706"/>
      <c r="E66" s="6">
        <f>C66-'2. SOFP'!E62</f>
        <v>0</v>
      </c>
    </row>
    <row r="67" spans="1:5">
      <c r="A67" s="626">
        <v>29</v>
      </c>
      <c r="B67" s="621" t="s">
        <v>769</v>
      </c>
      <c r="C67" s="696">
        <f>SUM(C68:C70)</f>
        <v>32124322.266700003</v>
      </c>
      <c r="D67" s="707"/>
      <c r="E67" s="6">
        <f>C67-'2. SOFP'!E63</f>
        <v>0</v>
      </c>
    </row>
    <row r="68" spans="1:5">
      <c r="A68" s="626">
        <v>29.1</v>
      </c>
      <c r="B68" s="614" t="s">
        <v>770</v>
      </c>
      <c r="C68" s="689">
        <f>'2. SOFP'!E64</f>
        <v>2358668.17</v>
      </c>
      <c r="D68" s="706" t="s">
        <v>1005</v>
      </c>
      <c r="E68" s="6">
        <f>C68-'2. SOFP'!E64</f>
        <v>0</v>
      </c>
    </row>
    <row r="69" spans="1:5" ht="21">
      <c r="A69" s="626">
        <v>29.2</v>
      </c>
      <c r="B69" s="624" t="s">
        <v>771</v>
      </c>
      <c r="C69" s="699">
        <f>'2. SOFP'!E65</f>
        <v>858680.64</v>
      </c>
      <c r="D69" s="706" t="s">
        <v>1005</v>
      </c>
      <c r="E69" s="6">
        <f>C69-'2. SOFP'!E65</f>
        <v>0</v>
      </c>
    </row>
    <row r="70" spans="1:5" ht="21">
      <c r="A70" s="626">
        <v>29.3</v>
      </c>
      <c r="B70" s="616" t="s">
        <v>772</v>
      </c>
      <c r="C70" s="691">
        <f>'2. SOFP'!E66</f>
        <v>28906973.456700005</v>
      </c>
      <c r="D70" s="706" t="s">
        <v>1005</v>
      </c>
      <c r="E70" s="6">
        <f>C70-'2. SOFP'!E66</f>
        <v>0</v>
      </c>
    </row>
    <row r="71" spans="1:5">
      <c r="A71" s="626">
        <v>30</v>
      </c>
      <c r="B71" s="612" t="s">
        <v>103</v>
      </c>
      <c r="C71" s="688">
        <f>'2. SOFP'!E67</f>
        <v>3790400640.1257858</v>
      </c>
      <c r="D71" s="657" t="s">
        <v>1004</v>
      </c>
      <c r="E71" s="6">
        <f>C71-'2. SOFP'!E67</f>
        <v>0</v>
      </c>
    </row>
    <row r="72" spans="1:5">
      <c r="A72" s="626">
        <v>31</v>
      </c>
      <c r="B72" s="625" t="s">
        <v>773</v>
      </c>
      <c r="C72" s="700">
        <f>SUM(C59,C60,C61,C62,C63,C66,C67,C71)</f>
        <v>4033151376.6487627</v>
      </c>
      <c r="D72" s="707"/>
      <c r="E72" s="6">
        <f>C72-'2. SOFP'!E68</f>
        <v>0</v>
      </c>
    </row>
    <row r="73" spans="1:5" ht="16.5" thickBot="1">
      <c r="A73" s="627">
        <v>32</v>
      </c>
      <c r="B73" s="628" t="s">
        <v>774</v>
      </c>
      <c r="C73" s="708">
        <f>SUM(C57,C72)</f>
        <v>26204108939.204201</v>
      </c>
      <c r="D73" s="709"/>
    </row>
    <row r="75" spans="1:5">
      <c r="C75" s="681">
        <f>C73-'2. SOFP'!E36</f>
        <v>0.50000381469726563</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4"/>
  <sheetViews>
    <sheetView workbookViewId="0">
      <pane xSplit="2" ySplit="7" topLeftCell="L8" activePane="bottomRight" state="frozen"/>
      <selection pane="topRight" activeCell="C1" sqref="C1"/>
      <selection pane="bottomLeft" activeCell="A8" sqref="A8"/>
      <selection pane="bottomRight" activeCell="P25" sqref="P25"/>
    </sheetView>
  </sheetViews>
  <sheetFormatPr defaultColWidth="9.140625" defaultRowHeight="12.75"/>
  <cols>
    <col min="1" max="1" width="10.5703125" style="2" bestFit="1" customWidth="1"/>
    <col min="2" max="2" width="97" style="2" bestFit="1" customWidth="1"/>
    <col min="3" max="3" width="16.42578125" style="2" customWidth="1"/>
    <col min="4" max="4" width="13.28515625" style="2" bestFit="1" customWidth="1"/>
    <col min="5" max="5" width="15.42578125" style="2" customWidth="1"/>
    <col min="6" max="6" width="13.28515625" style="2" bestFit="1" customWidth="1"/>
    <col min="7" max="7" width="17.7109375" style="2" customWidth="1"/>
    <col min="8" max="8" width="13.28515625" style="2" bestFit="1" customWidth="1"/>
    <col min="9" max="9" width="13.140625" style="2" customWidth="1"/>
    <col min="10" max="10" width="13.28515625" style="2" bestFit="1" customWidth="1"/>
    <col min="11" max="11" width="18.85546875" style="2" customWidth="1"/>
    <col min="12" max="12" width="13.28515625" style="2" bestFit="1" customWidth="1"/>
    <col min="13" max="13" width="12.7109375" style="2" bestFit="1" customWidth="1"/>
    <col min="14" max="14" width="13.28515625" style="2" bestFit="1" customWidth="1"/>
    <col min="15" max="15" width="14.85546875" style="2" customWidth="1"/>
    <col min="16" max="16" width="13.28515625" style="2" bestFit="1" customWidth="1"/>
    <col min="17" max="17" width="14.140625" style="2" customWidth="1"/>
    <col min="18" max="18" width="13.28515625" style="2" bestFit="1" customWidth="1"/>
    <col min="19" max="19" width="31.5703125" style="2" bestFit="1" customWidth="1"/>
    <col min="20" max="20" width="10.85546875" style="10" bestFit="1" customWidth="1"/>
    <col min="21" max="16384" width="9.140625" style="10"/>
  </cols>
  <sheetData>
    <row r="1" spans="1:20">
      <c r="A1" s="2" t="s">
        <v>108</v>
      </c>
      <c r="B1" s="201" t="str">
        <f>Info!C2</f>
        <v>სს ”საქართველოს ბანკი”</v>
      </c>
    </row>
    <row r="2" spans="1:20">
      <c r="A2" s="2" t="s">
        <v>109</v>
      </c>
      <c r="B2" s="308">
        <f>'1. key ratios'!B2</f>
        <v>45016</v>
      </c>
    </row>
    <row r="4" spans="1:20" ht="26.25" thickBot="1">
      <c r="A4" s="35" t="s">
        <v>258</v>
      </c>
      <c r="B4" s="171" t="s">
        <v>293</v>
      </c>
      <c r="E4" s="2">
        <v>0</v>
      </c>
    </row>
    <row r="5" spans="1:20">
      <c r="A5" s="71"/>
      <c r="B5" s="73"/>
      <c r="C5" s="65" t="s">
        <v>0</v>
      </c>
      <c r="D5" s="65" t="s">
        <v>1</v>
      </c>
      <c r="E5" s="65" t="s">
        <v>2</v>
      </c>
      <c r="F5" s="65" t="s">
        <v>3</v>
      </c>
      <c r="G5" s="65" t="s">
        <v>4</v>
      </c>
      <c r="H5" s="65" t="s">
        <v>5</v>
      </c>
      <c r="I5" s="65" t="s">
        <v>145</v>
      </c>
      <c r="J5" s="65" t="s">
        <v>146</v>
      </c>
      <c r="K5" s="65" t="s">
        <v>147</v>
      </c>
      <c r="L5" s="65" t="s">
        <v>148</v>
      </c>
      <c r="M5" s="65" t="s">
        <v>149</v>
      </c>
      <c r="N5" s="65" t="s">
        <v>150</v>
      </c>
      <c r="O5" s="65" t="s">
        <v>280</v>
      </c>
      <c r="P5" s="65" t="s">
        <v>281</v>
      </c>
      <c r="Q5" s="65" t="s">
        <v>282</v>
      </c>
      <c r="R5" s="163" t="s">
        <v>283</v>
      </c>
      <c r="S5" s="66" t="s">
        <v>284</v>
      </c>
    </row>
    <row r="6" spans="1:20" ht="46.5" customHeight="1">
      <c r="A6" s="77"/>
      <c r="B6" s="816" t="s">
        <v>285</v>
      </c>
      <c r="C6" s="814">
        <v>0</v>
      </c>
      <c r="D6" s="815"/>
      <c r="E6" s="814">
        <v>0.2</v>
      </c>
      <c r="F6" s="815"/>
      <c r="G6" s="814">
        <v>0.35</v>
      </c>
      <c r="H6" s="815"/>
      <c r="I6" s="814">
        <v>0.5</v>
      </c>
      <c r="J6" s="815"/>
      <c r="K6" s="814">
        <v>0.75</v>
      </c>
      <c r="L6" s="815"/>
      <c r="M6" s="814">
        <v>1</v>
      </c>
      <c r="N6" s="815"/>
      <c r="O6" s="814">
        <v>1.5</v>
      </c>
      <c r="P6" s="815"/>
      <c r="Q6" s="814">
        <v>2.5</v>
      </c>
      <c r="R6" s="815"/>
      <c r="S6" s="812" t="s">
        <v>156</v>
      </c>
    </row>
    <row r="7" spans="1:20">
      <c r="A7" s="77"/>
      <c r="B7" s="817"/>
      <c r="C7" s="170" t="s">
        <v>278</v>
      </c>
      <c r="D7" s="170" t="s">
        <v>279</v>
      </c>
      <c r="E7" s="170" t="s">
        <v>278</v>
      </c>
      <c r="F7" s="170" t="s">
        <v>279</v>
      </c>
      <c r="G7" s="170" t="s">
        <v>278</v>
      </c>
      <c r="H7" s="170" t="s">
        <v>279</v>
      </c>
      <c r="I7" s="170" t="s">
        <v>278</v>
      </c>
      <c r="J7" s="170" t="s">
        <v>279</v>
      </c>
      <c r="K7" s="170" t="s">
        <v>278</v>
      </c>
      <c r="L7" s="170" t="s">
        <v>279</v>
      </c>
      <c r="M7" s="170" t="s">
        <v>278</v>
      </c>
      <c r="N7" s="170" t="s">
        <v>279</v>
      </c>
      <c r="O7" s="170" t="s">
        <v>278</v>
      </c>
      <c r="P7" s="170" t="s">
        <v>279</v>
      </c>
      <c r="Q7" s="170" t="s">
        <v>278</v>
      </c>
      <c r="R7" s="170" t="s">
        <v>279</v>
      </c>
      <c r="S7" s="813"/>
    </row>
    <row r="8" spans="1:20" s="80" customFormat="1">
      <c r="A8" s="69">
        <v>1</v>
      </c>
      <c r="B8" s="98" t="s">
        <v>134</v>
      </c>
      <c r="C8" s="581">
        <v>3312343558.8199997</v>
      </c>
      <c r="D8" s="581"/>
      <c r="E8" s="581">
        <v>0</v>
      </c>
      <c r="F8" s="582"/>
      <c r="G8" s="581"/>
      <c r="H8" s="581"/>
      <c r="I8" s="581">
        <v>0</v>
      </c>
      <c r="J8" s="581"/>
      <c r="K8" s="581">
        <v>0.35</v>
      </c>
      <c r="L8" s="581"/>
      <c r="M8" s="581">
        <v>2211508714</v>
      </c>
      <c r="N8" s="581"/>
      <c r="O8" s="581">
        <v>0</v>
      </c>
      <c r="P8" s="581"/>
      <c r="Q8" s="581">
        <v>0</v>
      </c>
      <c r="R8" s="582"/>
      <c r="S8" s="176">
        <f>$C$6*SUM(C8:D8)+$E$6*SUM(E8:F8)+$G$6*SUM(G8:H8)+$I$6*SUM(I8:J8)+$K$6*SUM(K8:L8)+$M$6*SUM(M8:N8)+$O$6*SUM(O8:P8)+$Q$6*SUM(Q8:R8)</f>
        <v>2211508714.2624998</v>
      </c>
      <c r="T8" s="584"/>
    </row>
    <row r="9" spans="1:20" s="80" customFormat="1">
      <c r="A9" s="69">
        <v>2</v>
      </c>
      <c r="B9" s="98" t="s">
        <v>135</v>
      </c>
      <c r="C9" s="581">
        <v>0</v>
      </c>
      <c r="D9" s="581"/>
      <c r="E9" s="581">
        <v>0</v>
      </c>
      <c r="F9" s="581"/>
      <c r="G9" s="581"/>
      <c r="H9" s="581"/>
      <c r="I9" s="581">
        <v>0</v>
      </c>
      <c r="J9" s="581"/>
      <c r="K9" s="581">
        <v>0</v>
      </c>
      <c r="L9" s="581"/>
      <c r="M9" s="581">
        <v>0</v>
      </c>
      <c r="N9" s="581"/>
      <c r="O9" s="581">
        <v>0</v>
      </c>
      <c r="P9" s="581"/>
      <c r="Q9" s="581">
        <v>0</v>
      </c>
      <c r="R9" s="582"/>
      <c r="S9" s="176">
        <f t="shared" ref="S9:S21" si="0">$C$6*SUM(C9:D9)+$E$6*SUM(E9:F9)+$G$6*SUM(G9:H9)+$I$6*SUM(I9:J9)+$K$6*SUM(K9:L9)+$M$6*SUM(M9:N9)+$O$6*SUM(O9:P9)+$Q$6*SUM(Q9:R9)</f>
        <v>0</v>
      </c>
      <c r="T9" s="584"/>
    </row>
    <row r="10" spans="1:20" s="80" customFormat="1">
      <c r="A10" s="69">
        <v>3</v>
      </c>
      <c r="B10" s="98" t="s">
        <v>136</v>
      </c>
      <c r="C10" s="581">
        <v>0</v>
      </c>
      <c r="D10" s="581"/>
      <c r="E10" s="581">
        <v>0</v>
      </c>
      <c r="F10" s="581"/>
      <c r="G10" s="581"/>
      <c r="H10" s="581"/>
      <c r="I10" s="581">
        <v>0</v>
      </c>
      <c r="J10" s="581"/>
      <c r="K10" s="581">
        <v>0</v>
      </c>
      <c r="L10" s="581"/>
      <c r="M10" s="581">
        <v>0</v>
      </c>
      <c r="N10" s="581"/>
      <c r="O10" s="581">
        <v>0</v>
      </c>
      <c r="P10" s="581"/>
      <c r="Q10" s="581">
        <v>0</v>
      </c>
      <c r="R10" s="582"/>
      <c r="S10" s="176">
        <f t="shared" si="0"/>
        <v>0</v>
      </c>
      <c r="T10" s="584"/>
    </row>
    <row r="11" spans="1:20" s="80" customFormat="1">
      <c r="A11" s="69">
        <v>4</v>
      </c>
      <c r="B11" s="98" t="s">
        <v>137</v>
      </c>
      <c r="C11" s="581">
        <v>856983241.23000002</v>
      </c>
      <c r="D11" s="581"/>
      <c r="E11" s="581">
        <v>50042580.57</v>
      </c>
      <c r="F11" s="581"/>
      <c r="G11" s="581"/>
      <c r="H11" s="581"/>
      <c r="I11" s="581">
        <v>46852940.234099999</v>
      </c>
      <c r="J11" s="581"/>
      <c r="K11" s="581">
        <v>0</v>
      </c>
      <c r="L11" s="581"/>
      <c r="M11" s="581">
        <v>0</v>
      </c>
      <c r="N11" s="581"/>
      <c r="O11" s="581">
        <v>0</v>
      </c>
      <c r="P11" s="581"/>
      <c r="Q11" s="581">
        <v>0</v>
      </c>
      <c r="R11" s="582"/>
      <c r="S11" s="176">
        <f t="shared" si="0"/>
        <v>33434986.23105</v>
      </c>
      <c r="T11" s="584"/>
    </row>
    <row r="12" spans="1:20" s="80" customFormat="1">
      <c r="A12" s="69">
        <v>5</v>
      </c>
      <c r="B12" s="98" t="s">
        <v>946</v>
      </c>
      <c r="C12" s="581">
        <v>0</v>
      </c>
      <c r="D12" s="581"/>
      <c r="E12" s="581">
        <v>0</v>
      </c>
      <c r="F12" s="581"/>
      <c r="G12" s="581"/>
      <c r="H12" s="581"/>
      <c r="I12" s="581">
        <v>0</v>
      </c>
      <c r="J12" s="581"/>
      <c r="K12" s="581">
        <v>0</v>
      </c>
      <c r="L12" s="581"/>
      <c r="M12" s="581">
        <v>0</v>
      </c>
      <c r="N12" s="581"/>
      <c r="O12" s="581">
        <v>0</v>
      </c>
      <c r="P12" s="581"/>
      <c r="Q12" s="581">
        <v>0</v>
      </c>
      <c r="R12" s="582"/>
      <c r="S12" s="176">
        <f t="shared" si="0"/>
        <v>0</v>
      </c>
      <c r="T12" s="584"/>
    </row>
    <row r="13" spans="1:20" s="80" customFormat="1">
      <c r="A13" s="69">
        <v>6</v>
      </c>
      <c r="B13" s="98" t="s">
        <v>138</v>
      </c>
      <c r="C13" s="581">
        <v>0</v>
      </c>
      <c r="D13" s="581"/>
      <c r="E13" s="581">
        <v>1058615748.2634001</v>
      </c>
      <c r="F13" s="581"/>
      <c r="G13" s="581">
        <v>0</v>
      </c>
      <c r="H13" s="581"/>
      <c r="I13" s="581">
        <v>18434238.670000002</v>
      </c>
      <c r="J13" s="581"/>
      <c r="K13" s="581">
        <v>0</v>
      </c>
      <c r="L13" s="581"/>
      <c r="M13" s="581">
        <v>82814018.311499998</v>
      </c>
      <c r="N13" s="581"/>
      <c r="O13" s="581">
        <v>0</v>
      </c>
      <c r="P13" s="581"/>
      <c r="Q13" s="581">
        <v>0</v>
      </c>
      <c r="R13" s="582"/>
      <c r="S13" s="176">
        <f t="shared" si="0"/>
        <v>303754287.29918003</v>
      </c>
      <c r="T13" s="584"/>
    </row>
    <row r="14" spans="1:20" s="80" customFormat="1">
      <c r="A14" s="69">
        <v>7</v>
      </c>
      <c r="B14" s="98" t="s">
        <v>71</v>
      </c>
      <c r="C14" s="581"/>
      <c r="D14" s="581"/>
      <c r="E14" s="581">
        <v>0</v>
      </c>
      <c r="F14" s="581"/>
      <c r="G14" s="581">
        <v>0</v>
      </c>
      <c r="H14" s="581"/>
      <c r="I14" s="581">
        <v>0</v>
      </c>
      <c r="J14" s="581"/>
      <c r="K14" s="581">
        <v>0</v>
      </c>
      <c r="L14" s="581"/>
      <c r="M14" s="581">
        <v>6089228005.04</v>
      </c>
      <c r="N14" s="581">
        <v>936071307.35800004</v>
      </c>
      <c r="O14" s="581">
        <v>0</v>
      </c>
      <c r="P14" s="581"/>
      <c r="Q14" s="581">
        <v>0</v>
      </c>
      <c r="R14" s="582"/>
      <c r="S14" s="176">
        <f t="shared" si="0"/>
        <v>7025299312.3979998</v>
      </c>
      <c r="T14" s="584"/>
    </row>
    <row r="15" spans="1:20" s="80" customFormat="1">
      <c r="A15" s="69">
        <v>8</v>
      </c>
      <c r="B15" s="98" t="s">
        <v>72</v>
      </c>
      <c r="C15" s="581"/>
      <c r="D15" s="581"/>
      <c r="E15" s="581"/>
      <c r="F15" s="581"/>
      <c r="G15" s="581">
        <v>0</v>
      </c>
      <c r="H15" s="581"/>
      <c r="I15" s="581">
        <v>0</v>
      </c>
      <c r="J15" s="581"/>
      <c r="K15" s="581">
        <v>6133974050.1868</v>
      </c>
      <c r="L15" s="581">
        <v>111481387.3096</v>
      </c>
      <c r="M15" s="581">
        <v>0</v>
      </c>
      <c r="N15" s="581">
        <v>0</v>
      </c>
      <c r="O15" s="581"/>
      <c r="P15" s="581"/>
      <c r="Q15" s="581">
        <v>0</v>
      </c>
      <c r="R15" s="582"/>
      <c r="S15" s="176">
        <f t="shared" si="0"/>
        <v>4684091578.1223001</v>
      </c>
      <c r="T15" s="584"/>
    </row>
    <row r="16" spans="1:20" s="80" customFormat="1">
      <c r="A16" s="69">
        <v>9</v>
      </c>
      <c r="B16" s="98" t="s">
        <v>947</v>
      </c>
      <c r="C16" s="581"/>
      <c r="D16" s="581"/>
      <c r="E16" s="581"/>
      <c r="F16" s="581"/>
      <c r="G16" s="581">
        <v>3886910295.8817</v>
      </c>
      <c r="H16" s="581"/>
      <c r="I16" s="581">
        <v>0</v>
      </c>
      <c r="J16" s="581"/>
      <c r="K16" s="581">
        <v>0</v>
      </c>
      <c r="L16" s="581"/>
      <c r="M16" s="581">
        <v>0</v>
      </c>
      <c r="N16" s="581"/>
      <c r="O16" s="581">
        <v>0</v>
      </c>
      <c r="P16" s="581"/>
      <c r="Q16" s="581">
        <v>0</v>
      </c>
      <c r="R16" s="582"/>
      <c r="S16" s="176">
        <f t="shared" si="0"/>
        <v>1360418603.5585949</v>
      </c>
      <c r="T16" s="584"/>
    </row>
    <row r="17" spans="1:20" s="80" customFormat="1">
      <c r="A17" s="69">
        <v>10</v>
      </c>
      <c r="B17" s="98" t="s">
        <v>67</v>
      </c>
      <c r="C17" s="581"/>
      <c r="D17" s="581"/>
      <c r="E17" s="581"/>
      <c r="F17" s="581"/>
      <c r="G17" s="581">
        <v>0</v>
      </c>
      <c r="H17" s="581"/>
      <c r="I17" s="581">
        <v>27715677.810399983</v>
      </c>
      <c r="J17" s="581"/>
      <c r="K17" s="581">
        <v>0</v>
      </c>
      <c r="L17" s="581"/>
      <c r="M17" s="581">
        <v>145043528.93000001</v>
      </c>
      <c r="N17" s="581"/>
      <c r="O17" s="581">
        <v>2346163.0521</v>
      </c>
      <c r="P17" s="581"/>
      <c r="Q17" s="581">
        <v>0</v>
      </c>
      <c r="R17" s="582"/>
      <c r="S17" s="176">
        <f t="shared" si="0"/>
        <v>162420612.41335002</v>
      </c>
      <c r="T17" s="584"/>
    </row>
    <row r="18" spans="1:20" s="80" customFormat="1">
      <c r="A18" s="69">
        <v>11</v>
      </c>
      <c r="B18" s="98" t="s">
        <v>68</v>
      </c>
      <c r="C18" s="581"/>
      <c r="D18" s="581"/>
      <c r="E18" s="581"/>
      <c r="F18" s="581"/>
      <c r="G18" s="581">
        <v>0</v>
      </c>
      <c r="H18" s="581"/>
      <c r="I18" s="581">
        <v>0</v>
      </c>
      <c r="J18" s="581"/>
      <c r="K18" s="581">
        <v>0</v>
      </c>
      <c r="L18" s="581"/>
      <c r="M18" s="581">
        <v>91469138.388999999</v>
      </c>
      <c r="N18" s="581"/>
      <c r="O18" s="581">
        <v>111546592.76450001</v>
      </c>
      <c r="P18" s="581"/>
      <c r="Q18" s="581">
        <v>46041651.943259053</v>
      </c>
      <c r="R18" s="582"/>
      <c r="S18" s="176">
        <f t="shared" si="0"/>
        <v>373893157.39389765</v>
      </c>
      <c r="T18" s="584"/>
    </row>
    <row r="19" spans="1:20" s="80" customFormat="1">
      <c r="A19" s="69">
        <v>12</v>
      </c>
      <c r="B19" s="98" t="s">
        <v>69</v>
      </c>
      <c r="C19" s="581"/>
      <c r="D19" s="581"/>
      <c r="E19" s="581"/>
      <c r="F19" s="581"/>
      <c r="G19" s="581">
        <v>0</v>
      </c>
      <c r="H19" s="581"/>
      <c r="I19" s="581">
        <v>0</v>
      </c>
      <c r="J19" s="581"/>
      <c r="K19" s="581">
        <v>0</v>
      </c>
      <c r="L19" s="581"/>
      <c r="M19" s="581">
        <v>0</v>
      </c>
      <c r="N19" s="581"/>
      <c r="O19" s="581">
        <v>0</v>
      </c>
      <c r="P19" s="581"/>
      <c r="Q19" s="581">
        <v>0</v>
      </c>
      <c r="R19" s="582"/>
      <c r="S19" s="176">
        <f t="shared" si="0"/>
        <v>0</v>
      </c>
      <c r="T19" s="584"/>
    </row>
    <row r="20" spans="1:20" s="80" customFormat="1">
      <c r="A20" s="69">
        <v>13</v>
      </c>
      <c r="B20" s="98" t="s">
        <v>70</v>
      </c>
      <c r="C20" s="581"/>
      <c r="D20" s="581"/>
      <c r="E20" s="581"/>
      <c r="F20" s="581"/>
      <c r="G20" s="581">
        <v>0</v>
      </c>
      <c r="H20" s="581"/>
      <c r="I20" s="581">
        <v>0</v>
      </c>
      <c r="J20" s="581"/>
      <c r="K20" s="581">
        <v>0</v>
      </c>
      <c r="L20" s="581"/>
      <c r="M20" s="581">
        <v>0</v>
      </c>
      <c r="N20" s="581"/>
      <c r="O20" s="581">
        <v>0</v>
      </c>
      <c r="P20" s="581"/>
      <c r="Q20" s="581">
        <v>0</v>
      </c>
      <c r="R20" s="582"/>
      <c r="S20" s="176">
        <f t="shared" si="0"/>
        <v>0</v>
      </c>
      <c r="T20" s="584"/>
    </row>
    <row r="21" spans="1:20" s="80" customFormat="1">
      <c r="A21" s="69">
        <v>14</v>
      </c>
      <c r="B21" s="98" t="s">
        <v>154</v>
      </c>
      <c r="C21" s="581">
        <v>740907086.68800008</v>
      </c>
      <c r="D21" s="581"/>
      <c r="E21" s="581"/>
      <c r="F21" s="581"/>
      <c r="G21" s="581">
        <v>0</v>
      </c>
      <c r="H21" s="581"/>
      <c r="I21" s="581">
        <v>0</v>
      </c>
      <c r="J21" s="581"/>
      <c r="K21" s="581">
        <v>0</v>
      </c>
      <c r="L21" s="581"/>
      <c r="M21" s="581">
        <v>967042706.74804235</v>
      </c>
      <c r="N21" s="581"/>
      <c r="O21" s="581">
        <v>0</v>
      </c>
      <c r="P21" s="581"/>
      <c r="Q21" s="581">
        <v>148555914.72509998</v>
      </c>
      <c r="R21" s="582"/>
      <c r="S21" s="176">
        <f t="shared" si="0"/>
        <v>1338432493.5607924</v>
      </c>
      <c r="T21" s="584"/>
    </row>
    <row r="22" spans="1:20" ht="13.5" thickBot="1">
      <c r="A22" s="51"/>
      <c r="B22" s="82" t="s">
        <v>66</v>
      </c>
      <c r="C22" s="147">
        <f>SUM(C8:C21)</f>
        <v>4910233886.7379999</v>
      </c>
      <c r="D22" s="147">
        <f t="shared" ref="D22:S22" si="1">SUM(D8:D21)</f>
        <v>0</v>
      </c>
      <c r="E22" s="147">
        <f t="shared" si="1"/>
        <v>1108658328.8334</v>
      </c>
      <c r="F22" s="147">
        <f t="shared" si="1"/>
        <v>0</v>
      </c>
      <c r="G22" s="147">
        <f t="shared" si="1"/>
        <v>3886910295.8817</v>
      </c>
      <c r="H22" s="147">
        <f t="shared" si="1"/>
        <v>0</v>
      </c>
      <c r="I22" s="147">
        <f t="shared" si="1"/>
        <v>93002856.71449998</v>
      </c>
      <c r="J22" s="147">
        <f t="shared" si="1"/>
        <v>0</v>
      </c>
      <c r="K22" s="147">
        <f t="shared" si="1"/>
        <v>6133974050.5368004</v>
      </c>
      <c r="L22" s="147">
        <f t="shared" si="1"/>
        <v>111481387.3096</v>
      </c>
      <c r="M22" s="147">
        <f t="shared" si="1"/>
        <v>9587106111.4185429</v>
      </c>
      <c r="N22" s="147">
        <f t="shared" si="1"/>
        <v>936071307.35800004</v>
      </c>
      <c r="O22" s="147">
        <f t="shared" si="1"/>
        <v>113892755.81660001</v>
      </c>
      <c r="P22" s="147">
        <f t="shared" si="1"/>
        <v>0</v>
      </c>
      <c r="Q22" s="147">
        <f t="shared" si="1"/>
        <v>194597566.66835904</v>
      </c>
      <c r="R22" s="147">
        <f t="shared" si="1"/>
        <v>0</v>
      </c>
      <c r="S22" s="177">
        <f t="shared" si="1"/>
        <v>17493253745.239666</v>
      </c>
      <c r="T22" s="585"/>
    </row>
    <row r="24" spans="1:20">
      <c r="C24" s="583">
        <v>0</v>
      </c>
      <c r="E24" s="583">
        <v>0</v>
      </c>
      <c r="G24" s="583">
        <v>0</v>
      </c>
      <c r="I24" s="583">
        <v>0</v>
      </c>
      <c r="K24" s="583">
        <v>0.35000038146972656</v>
      </c>
      <c r="M24" s="583"/>
      <c r="O24" s="583"/>
      <c r="Q24" s="583"/>
      <c r="S24" s="53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P13" activePane="bottomRight" state="frozen"/>
      <selection pane="topRight" activeCell="C1" sqref="C1"/>
      <selection pane="bottomLeft" activeCell="A6" sqref="A6"/>
      <selection pane="bottomRight" activeCell="V13" sqref="V13"/>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108</v>
      </c>
      <c r="B1" s="201" t="str">
        <f>Info!C2</f>
        <v>სს ”საქართველოს ბანკი”</v>
      </c>
    </row>
    <row r="2" spans="1:22">
      <c r="A2" s="2" t="s">
        <v>109</v>
      </c>
      <c r="B2" s="308">
        <f>'1. key ratios'!B2</f>
        <v>45016</v>
      </c>
      <c r="E2" s="2">
        <v>0</v>
      </c>
    </row>
    <row r="3" spans="1:22" ht="15">
      <c r="M3" s="588" t="s">
        <v>957</v>
      </c>
      <c r="N3" s="588"/>
      <c r="O3" s="588" t="s">
        <v>958</v>
      </c>
      <c r="P3" s="588"/>
      <c r="Q3" s="588"/>
      <c r="R3" s="588" t="s">
        <v>959</v>
      </c>
    </row>
    <row r="4" spans="1:22" ht="27.75" thickBot="1">
      <c r="A4" s="2" t="s">
        <v>259</v>
      </c>
      <c r="B4" s="172" t="s">
        <v>294</v>
      </c>
      <c r="V4" s="120" t="s">
        <v>87</v>
      </c>
    </row>
    <row r="5" spans="1:22">
      <c r="A5" s="49"/>
      <c r="B5" s="50"/>
      <c r="C5" s="818" t="s">
        <v>116</v>
      </c>
      <c r="D5" s="819"/>
      <c r="E5" s="819"/>
      <c r="F5" s="819"/>
      <c r="G5" s="819"/>
      <c r="H5" s="819"/>
      <c r="I5" s="819"/>
      <c r="J5" s="819"/>
      <c r="K5" s="819"/>
      <c r="L5" s="820"/>
      <c r="M5" s="818" t="s">
        <v>117</v>
      </c>
      <c r="N5" s="819"/>
      <c r="O5" s="819"/>
      <c r="P5" s="819"/>
      <c r="Q5" s="819"/>
      <c r="R5" s="819"/>
      <c r="S5" s="820"/>
      <c r="T5" s="823" t="s">
        <v>292</v>
      </c>
      <c r="U5" s="823" t="s">
        <v>291</v>
      </c>
      <c r="V5" s="821" t="s">
        <v>118</v>
      </c>
    </row>
    <row r="6" spans="1:22" s="35" customFormat="1" ht="127.5">
      <c r="A6" s="67"/>
      <c r="B6" s="99"/>
      <c r="C6" s="47" t="s">
        <v>119</v>
      </c>
      <c r="D6" s="46" t="s">
        <v>120</v>
      </c>
      <c r="E6" s="43" t="s">
        <v>121</v>
      </c>
      <c r="F6" s="173" t="s">
        <v>286</v>
      </c>
      <c r="G6" s="46" t="s">
        <v>122</v>
      </c>
      <c r="H6" s="46" t="s">
        <v>123</v>
      </c>
      <c r="I6" s="46" t="s">
        <v>124</v>
      </c>
      <c r="J6" s="46" t="s">
        <v>153</v>
      </c>
      <c r="K6" s="46" t="s">
        <v>125</v>
      </c>
      <c r="L6" s="48" t="s">
        <v>126</v>
      </c>
      <c r="M6" s="47" t="s">
        <v>127</v>
      </c>
      <c r="N6" s="46" t="s">
        <v>128</v>
      </c>
      <c r="O6" s="46" t="s">
        <v>129</v>
      </c>
      <c r="P6" s="46" t="s">
        <v>130</v>
      </c>
      <c r="Q6" s="46" t="s">
        <v>131</v>
      </c>
      <c r="R6" s="46" t="s">
        <v>132</v>
      </c>
      <c r="S6" s="48" t="s">
        <v>133</v>
      </c>
      <c r="T6" s="824"/>
      <c r="U6" s="824"/>
      <c r="V6" s="822"/>
    </row>
    <row r="7" spans="1:22" s="80" customFormat="1">
      <c r="A7" s="81">
        <v>1</v>
      </c>
      <c r="B7" s="98" t="s">
        <v>134</v>
      </c>
      <c r="C7" s="148"/>
      <c r="D7" s="586">
        <v>0</v>
      </c>
      <c r="E7" s="586"/>
      <c r="F7" s="586"/>
      <c r="G7" s="586"/>
      <c r="H7" s="586"/>
      <c r="I7" s="586"/>
      <c r="J7" s="586"/>
      <c r="K7" s="586"/>
      <c r="L7" s="586"/>
      <c r="M7" s="586">
        <v>0</v>
      </c>
      <c r="N7" s="586"/>
      <c r="O7" s="586"/>
      <c r="P7" s="586"/>
      <c r="Q7" s="586"/>
      <c r="R7" s="586">
        <v>0</v>
      </c>
      <c r="S7" s="586"/>
      <c r="T7" s="167"/>
      <c r="U7" s="166"/>
      <c r="V7" s="149">
        <f>SUM(C7:S7)</f>
        <v>0</v>
      </c>
    </row>
    <row r="8" spans="1:22" s="80" customFormat="1">
      <c r="A8" s="81">
        <v>2</v>
      </c>
      <c r="B8" s="98" t="s">
        <v>135</v>
      </c>
      <c r="C8" s="148"/>
      <c r="D8" s="586">
        <v>0</v>
      </c>
      <c r="E8" s="586"/>
      <c r="F8" s="586"/>
      <c r="G8" s="586"/>
      <c r="H8" s="586"/>
      <c r="I8" s="586"/>
      <c r="J8" s="586"/>
      <c r="K8" s="586"/>
      <c r="L8" s="586"/>
      <c r="M8" s="586"/>
      <c r="N8" s="586"/>
      <c r="O8" s="586"/>
      <c r="P8" s="586"/>
      <c r="Q8" s="586"/>
      <c r="R8" s="586">
        <v>0</v>
      </c>
      <c r="S8" s="586"/>
      <c r="T8" s="166"/>
      <c r="U8" s="166"/>
      <c r="V8" s="149">
        <f t="shared" ref="V8:V20" si="0">SUM(C8:S8)</f>
        <v>0</v>
      </c>
    </row>
    <row r="9" spans="1:22" s="80" customFormat="1">
      <c r="A9" s="81">
        <v>3</v>
      </c>
      <c r="B9" s="98" t="s">
        <v>136</v>
      </c>
      <c r="C9" s="148"/>
      <c r="D9" s="586">
        <v>0</v>
      </c>
      <c r="E9" s="586"/>
      <c r="F9" s="586"/>
      <c r="G9" s="586"/>
      <c r="H9" s="586"/>
      <c r="I9" s="586"/>
      <c r="J9" s="586"/>
      <c r="K9" s="586"/>
      <c r="L9" s="586"/>
      <c r="M9" s="586"/>
      <c r="N9" s="586"/>
      <c r="O9" s="586"/>
      <c r="P9" s="586"/>
      <c r="Q9" s="586"/>
      <c r="R9" s="586">
        <v>0</v>
      </c>
      <c r="S9" s="586"/>
      <c r="T9" s="166"/>
      <c r="U9" s="166"/>
      <c r="V9" s="149">
        <f>SUM(C9:S9)</f>
        <v>0</v>
      </c>
    </row>
    <row r="10" spans="1:22" s="80" customFormat="1">
      <c r="A10" s="81">
        <v>4</v>
      </c>
      <c r="B10" s="98" t="s">
        <v>137</v>
      </c>
      <c r="C10" s="148"/>
      <c r="D10" s="586">
        <v>0</v>
      </c>
      <c r="E10" s="586"/>
      <c r="F10" s="586"/>
      <c r="G10" s="586"/>
      <c r="H10" s="586"/>
      <c r="I10" s="586"/>
      <c r="J10" s="586"/>
      <c r="K10" s="586"/>
      <c r="L10" s="586"/>
      <c r="M10" s="586"/>
      <c r="N10" s="586"/>
      <c r="O10" s="586"/>
      <c r="P10" s="586"/>
      <c r="Q10" s="586"/>
      <c r="R10" s="586">
        <v>0</v>
      </c>
      <c r="S10" s="586"/>
      <c r="T10" s="166"/>
      <c r="U10" s="166"/>
      <c r="V10" s="149">
        <f t="shared" si="0"/>
        <v>0</v>
      </c>
    </row>
    <row r="11" spans="1:22" s="80" customFormat="1">
      <c r="A11" s="81">
        <v>5</v>
      </c>
      <c r="B11" s="98" t="s">
        <v>946</v>
      </c>
      <c r="C11" s="148"/>
      <c r="D11" s="586">
        <v>0</v>
      </c>
      <c r="E11" s="586"/>
      <c r="F11" s="586"/>
      <c r="G11" s="586"/>
      <c r="H11" s="586"/>
      <c r="I11" s="586"/>
      <c r="J11" s="586"/>
      <c r="K11" s="586"/>
      <c r="L11" s="586"/>
      <c r="M11" s="586"/>
      <c r="N11" s="586"/>
      <c r="O11" s="586"/>
      <c r="P11" s="586"/>
      <c r="Q11" s="586"/>
      <c r="R11" s="586">
        <v>0</v>
      </c>
      <c r="S11" s="586"/>
      <c r="T11" s="166"/>
      <c r="U11" s="166"/>
      <c r="V11" s="149">
        <f t="shared" si="0"/>
        <v>0</v>
      </c>
    </row>
    <row r="12" spans="1:22" s="80" customFormat="1">
      <c r="A12" s="81">
        <v>6</v>
      </c>
      <c r="B12" s="98" t="s">
        <v>138</v>
      </c>
      <c r="C12" s="148"/>
      <c r="D12" s="586">
        <v>0</v>
      </c>
      <c r="E12" s="586"/>
      <c r="F12" s="586"/>
      <c r="G12" s="586"/>
      <c r="H12" s="586"/>
      <c r="I12" s="586"/>
      <c r="J12" s="586"/>
      <c r="K12" s="586"/>
      <c r="L12" s="586"/>
      <c r="M12" s="586"/>
      <c r="N12" s="586"/>
      <c r="O12" s="586"/>
      <c r="P12" s="586"/>
      <c r="Q12" s="586"/>
      <c r="R12" s="586">
        <v>0</v>
      </c>
      <c r="S12" s="586"/>
      <c r="T12" s="166"/>
      <c r="U12" s="166"/>
      <c r="V12" s="149">
        <f t="shared" si="0"/>
        <v>0</v>
      </c>
    </row>
    <row r="13" spans="1:22" s="80" customFormat="1">
      <c r="A13" s="81">
        <v>7</v>
      </c>
      <c r="B13" s="98" t="s">
        <v>71</v>
      </c>
      <c r="C13" s="148"/>
      <c r="D13" s="586">
        <v>92288115.87439999</v>
      </c>
      <c r="E13" s="586"/>
      <c r="F13" s="586"/>
      <c r="G13" s="586"/>
      <c r="H13" s="586"/>
      <c r="I13" s="586"/>
      <c r="J13" s="586"/>
      <c r="K13" s="586"/>
      <c r="L13" s="586"/>
      <c r="M13" s="586">
        <v>13948545.470699999</v>
      </c>
      <c r="N13" s="586"/>
      <c r="O13" s="586">
        <v>71218238.293500006</v>
      </c>
      <c r="P13" s="586"/>
      <c r="Q13" s="586"/>
      <c r="R13" s="586">
        <v>166308421.6864</v>
      </c>
      <c r="S13" s="586"/>
      <c r="T13" s="166"/>
      <c r="U13" s="166"/>
      <c r="V13" s="149">
        <f t="shared" si="0"/>
        <v>343763321.32499999</v>
      </c>
    </row>
    <row r="14" spans="1:22" s="80" customFormat="1">
      <c r="A14" s="81">
        <v>8</v>
      </c>
      <c r="B14" s="98" t="s">
        <v>72</v>
      </c>
      <c r="C14" s="148"/>
      <c r="D14" s="586">
        <v>60055882.632299997</v>
      </c>
      <c r="E14" s="586"/>
      <c r="F14" s="586"/>
      <c r="G14" s="586"/>
      <c r="H14" s="586"/>
      <c r="I14" s="586"/>
      <c r="J14" s="586">
        <v>0</v>
      </c>
      <c r="K14" s="586"/>
      <c r="L14" s="586"/>
      <c r="M14" s="586">
        <v>4420984.9371999996</v>
      </c>
      <c r="N14" s="586"/>
      <c r="O14" s="586">
        <v>1458794.0397000001</v>
      </c>
      <c r="P14" s="586"/>
      <c r="Q14" s="586"/>
      <c r="R14" s="586">
        <v>0</v>
      </c>
      <c r="S14" s="586"/>
      <c r="T14" s="166"/>
      <c r="U14" s="166"/>
      <c r="V14" s="149">
        <f t="shared" si="0"/>
        <v>65935661.609200001</v>
      </c>
    </row>
    <row r="15" spans="1:22" s="80" customFormat="1">
      <c r="A15" s="81">
        <v>9</v>
      </c>
      <c r="B15" s="98" t="s">
        <v>947</v>
      </c>
      <c r="C15" s="148"/>
      <c r="D15" s="586">
        <v>327790.73570000002</v>
      </c>
      <c r="E15" s="586"/>
      <c r="F15" s="586"/>
      <c r="G15" s="586"/>
      <c r="H15" s="586"/>
      <c r="I15" s="586"/>
      <c r="J15" s="586"/>
      <c r="K15" s="586"/>
      <c r="L15" s="586"/>
      <c r="M15" s="586">
        <v>910890</v>
      </c>
      <c r="N15" s="586"/>
      <c r="O15" s="586">
        <v>272222.91729999997</v>
      </c>
      <c r="P15" s="586"/>
      <c r="Q15" s="586"/>
      <c r="R15" s="586">
        <v>0</v>
      </c>
      <c r="S15" s="586"/>
      <c r="T15" s="166"/>
      <c r="U15" s="166"/>
      <c r="V15" s="149">
        <f t="shared" si="0"/>
        <v>1510903.6529999999</v>
      </c>
    </row>
    <row r="16" spans="1:22" s="80" customFormat="1">
      <c r="A16" s="81">
        <v>10</v>
      </c>
      <c r="B16" s="98" t="s">
        <v>67</v>
      </c>
      <c r="C16" s="148"/>
      <c r="D16" s="586">
        <v>2150728.2699000002</v>
      </c>
      <c r="E16" s="586"/>
      <c r="F16" s="586"/>
      <c r="G16" s="586"/>
      <c r="H16" s="586"/>
      <c r="I16" s="586"/>
      <c r="J16" s="586"/>
      <c r="K16" s="586"/>
      <c r="L16" s="586"/>
      <c r="M16" s="586">
        <v>915406</v>
      </c>
      <c r="N16" s="586"/>
      <c r="O16" s="586">
        <v>1235191.4571740786</v>
      </c>
      <c r="P16" s="586"/>
      <c r="Q16" s="586"/>
      <c r="R16" s="586">
        <v>0</v>
      </c>
      <c r="S16" s="586"/>
      <c r="T16" s="166"/>
      <c r="U16" s="166"/>
      <c r="V16" s="149">
        <f t="shared" si="0"/>
        <v>4301325.7270740792</v>
      </c>
    </row>
    <row r="17" spans="1:22" s="80" customFormat="1">
      <c r="A17" s="81">
        <v>11</v>
      </c>
      <c r="B17" s="98" t="s">
        <v>68</v>
      </c>
      <c r="C17" s="148"/>
      <c r="D17" s="586">
        <v>430101.05300000001</v>
      </c>
      <c r="E17" s="586"/>
      <c r="F17" s="586"/>
      <c r="G17" s="586"/>
      <c r="H17" s="586"/>
      <c r="I17" s="586">
        <v>0</v>
      </c>
      <c r="J17" s="586"/>
      <c r="K17" s="586"/>
      <c r="L17" s="586"/>
      <c r="M17" s="586">
        <v>189092.99919999999</v>
      </c>
      <c r="N17" s="586"/>
      <c r="O17" s="586">
        <v>-5.2200000000000003E-2</v>
      </c>
      <c r="P17" s="586"/>
      <c r="Q17" s="586"/>
      <c r="R17" s="586">
        <v>0</v>
      </c>
      <c r="S17" s="586"/>
      <c r="T17" s="166"/>
      <c r="U17" s="166"/>
      <c r="V17" s="149">
        <f t="shared" si="0"/>
        <v>619194</v>
      </c>
    </row>
    <row r="18" spans="1:22" s="80" customFormat="1">
      <c r="A18" s="81">
        <v>12</v>
      </c>
      <c r="B18" s="98" t="s">
        <v>69</v>
      </c>
      <c r="C18" s="148"/>
      <c r="D18" s="586">
        <v>0</v>
      </c>
      <c r="E18" s="586"/>
      <c r="F18" s="586"/>
      <c r="G18" s="586"/>
      <c r="H18" s="586"/>
      <c r="I18" s="586"/>
      <c r="J18" s="586"/>
      <c r="K18" s="586"/>
      <c r="L18" s="586"/>
      <c r="M18" s="586"/>
      <c r="N18" s="586"/>
      <c r="O18" s="586"/>
      <c r="P18" s="586"/>
      <c r="Q18" s="586"/>
      <c r="R18" s="586">
        <v>0</v>
      </c>
      <c r="S18" s="586"/>
      <c r="T18" s="166"/>
      <c r="U18" s="166"/>
      <c r="V18" s="149">
        <f t="shared" si="0"/>
        <v>0</v>
      </c>
    </row>
    <row r="19" spans="1:22" s="80" customFormat="1">
      <c r="A19" s="81">
        <v>13</v>
      </c>
      <c r="B19" s="98" t="s">
        <v>70</v>
      </c>
      <c r="C19" s="148"/>
      <c r="D19" s="586">
        <v>0</v>
      </c>
      <c r="E19" s="586"/>
      <c r="F19" s="586"/>
      <c r="G19" s="586"/>
      <c r="H19" s="586"/>
      <c r="I19" s="586"/>
      <c r="J19" s="586"/>
      <c r="K19" s="586"/>
      <c r="L19" s="586"/>
      <c r="M19" s="586"/>
      <c r="N19" s="586"/>
      <c r="O19" s="586"/>
      <c r="P19" s="586"/>
      <c r="Q19" s="586"/>
      <c r="R19" s="586">
        <v>0</v>
      </c>
      <c r="S19" s="586"/>
      <c r="T19" s="166"/>
      <c r="U19" s="166"/>
      <c r="V19" s="149">
        <f t="shared" si="0"/>
        <v>0</v>
      </c>
    </row>
    <row r="20" spans="1:22" s="80" customFormat="1">
      <c r="A20" s="81">
        <v>14</v>
      </c>
      <c r="B20" s="98" t="s">
        <v>154</v>
      </c>
      <c r="C20" s="148"/>
      <c r="D20" s="586">
        <v>0</v>
      </c>
      <c r="E20" s="586"/>
      <c r="F20" s="586"/>
      <c r="G20" s="586"/>
      <c r="H20" s="586"/>
      <c r="I20" s="586"/>
      <c r="J20" s="586"/>
      <c r="K20" s="586"/>
      <c r="L20" s="586"/>
      <c r="M20" s="586"/>
      <c r="N20" s="586"/>
      <c r="O20" s="586"/>
      <c r="P20" s="586"/>
      <c r="Q20" s="586"/>
      <c r="R20" s="586">
        <v>0</v>
      </c>
      <c r="S20" s="586"/>
      <c r="T20" s="166"/>
      <c r="U20" s="166"/>
      <c r="V20" s="149">
        <f t="shared" si="0"/>
        <v>0</v>
      </c>
    </row>
    <row r="21" spans="1:22" ht="13.5" thickBot="1">
      <c r="A21" s="51"/>
      <c r="B21" s="52" t="s">
        <v>66</v>
      </c>
      <c r="C21" s="150">
        <f>SUM(C7:C20)</f>
        <v>0</v>
      </c>
      <c r="D21" s="147">
        <f t="shared" ref="D21:V21" si="1">SUM(D7:D20)</f>
        <v>155252618.56529999</v>
      </c>
      <c r="E21" s="147">
        <f t="shared" si="1"/>
        <v>0</v>
      </c>
      <c r="F21" s="147">
        <f t="shared" si="1"/>
        <v>0</v>
      </c>
      <c r="G21" s="147">
        <f t="shared" si="1"/>
        <v>0</v>
      </c>
      <c r="H21" s="147">
        <f t="shared" si="1"/>
        <v>0</v>
      </c>
      <c r="I21" s="147">
        <f t="shared" si="1"/>
        <v>0</v>
      </c>
      <c r="J21" s="147">
        <f t="shared" si="1"/>
        <v>0</v>
      </c>
      <c r="K21" s="147">
        <f t="shared" si="1"/>
        <v>0</v>
      </c>
      <c r="L21" s="151">
        <f t="shared" si="1"/>
        <v>0</v>
      </c>
      <c r="M21" s="150">
        <f t="shared" si="1"/>
        <v>20384919.407099999</v>
      </c>
      <c r="N21" s="147">
        <f t="shared" si="1"/>
        <v>0</v>
      </c>
      <c r="O21" s="147">
        <f t="shared" si="1"/>
        <v>74184446.655474082</v>
      </c>
      <c r="P21" s="147">
        <f t="shared" si="1"/>
        <v>0</v>
      </c>
      <c r="Q21" s="147">
        <f t="shared" si="1"/>
        <v>0</v>
      </c>
      <c r="R21" s="147">
        <f t="shared" si="1"/>
        <v>166308421.6864</v>
      </c>
      <c r="S21" s="151">
        <f t="shared" si="1"/>
        <v>0</v>
      </c>
      <c r="T21" s="151">
        <f>SUM(T7:T20)</f>
        <v>0</v>
      </c>
      <c r="U21" s="151">
        <f t="shared" si="1"/>
        <v>0</v>
      </c>
      <c r="V21" s="152">
        <f t="shared" si="1"/>
        <v>416130406.31427407</v>
      </c>
    </row>
    <row r="23" spans="1:22">
      <c r="V23" s="583">
        <v>0</v>
      </c>
    </row>
    <row r="24" spans="1:22">
      <c r="A24" s="16"/>
      <c r="B24" s="16"/>
      <c r="C24" s="38"/>
      <c r="D24" s="587">
        <v>0</v>
      </c>
      <c r="E24" s="38"/>
    </row>
    <row r="25" spans="1:22">
      <c r="A25" s="44"/>
      <c r="B25" s="44"/>
      <c r="C25" s="16"/>
      <c r="D25" s="38"/>
      <c r="E25" s="38"/>
    </row>
    <row r="26" spans="1:22">
      <c r="A26" s="44"/>
      <c r="B26" s="45"/>
      <c r="C26" s="16"/>
      <c r="D26" s="38"/>
      <c r="E26" s="38"/>
    </row>
    <row r="27" spans="1:22">
      <c r="A27" s="44"/>
      <c r="B27" s="44"/>
      <c r="C27" s="16"/>
      <c r="D27" s="38"/>
      <c r="E27" s="38"/>
    </row>
    <row r="28" spans="1:22">
      <c r="A28" s="44"/>
      <c r="B28" s="45"/>
      <c r="C28" s="16"/>
      <c r="D28" s="38"/>
      <c r="E28" s="3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14" activePane="bottomRight" state="frozen"/>
      <selection activeCell="L18" sqref="L18"/>
      <selection pane="topRight" activeCell="L18" sqref="L18"/>
      <selection pane="bottomLeft" activeCell="L18" sqref="L18"/>
      <selection pane="bottomRight" activeCell="G24" sqref="G2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108</v>
      </c>
      <c r="B1" s="201" t="str">
        <f>Info!C2</f>
        <v>სს ”საქართველოს ბანკი”</v>
      </c>
    </row>
    <row r="2" spans="1:9">
      <c r="A2" s="2" t="s">
        <v>109</v>
      </c>
      <c r="B2" s="308">
        <f>'1. key ratios'!B2</f>
        <v>45016</v>
      </c>
    </row>
    <row r="4" spans="1:9" ht="13.5" thickBot="1">
      <c r="A4" s="2" t="s">
        <v>260</v>
      </c>
      <c r="B4" s="169" t="s">
        <v>295</v>
      </c>
    </row>
    <row r="5" spans="1:9">
      <c r="A5" s="49"/>
      <c r="B5" s="78"/>
      <c r="C5" s="83" t="s">
        <v>0</v>
      </c>
      <c r="D5" s="83" t="s">
        <v>1</v>
      </c>
      <c r="E5" s="83" t="s">
        <v>2</v>
      </c>
      <c r="F5" s="83" t="s">
        <v>3</v>
      </c>
      <c r="G5" s="164" t="s">
        <v>4</v>
      </c>
      <c r="H5" s="84" t="s">
        <v>5</v>
      </c>
      <c r="I5" s="22"/>
    </row>
    <row r="6" spans="1:9" ht="15" customHeight="1">
      <c r="A6" s="77"/>
      <c r="B6" s="20"/>
      <c r="C6" s="825" t="s">
        <v>287</v>
      </c>
      <c r="D6" s="829" t="s">
        <v>308</v>
      </c>
      <c r="E6" s="830"/>
      <c r="F6" s="825" t="s">
        <v>314</v>
      </c>
      <c r="G6" s="825" t="s">
        <v>315</v>
      </c>
      <c r="H6" s="827" t="s">
        <v>289</v>
      </c>
      <c r="I6" s="22"/>
    </row>
    <row r="7" spans="1:9" ht="63.75">
      <c r="A7" s="77"/>
      <c r="B7" s="20"/>
      <c r="C7" s="826"/>
      <c r="D7" s="168" t="s">
        <v>290</v>
      </c>
      <c r="E7" s="168" t="s">
        <v>288</v>
      </c>
      <c r="F7" s="826"/>
      <c r="G7" s="826"/>
      <c r="H7" s="828"/>
      <c r="I7" s="22"/>
    </row>
    <row r="8" spans="1:9">
      <c r="A8" s="40">
        <v>1</v>
      </c>
      <c r="B8" s="98" t="s">
        <v>134</v>
      </c>
      <c r="C8" s="153">
        <v>5523852272.8200006</v>
      </c>
      <c r="D8" s="154"/>
      <c r="E8" s="153"/>
      <c r="F8" s="153">
        <f>'11. CRWA'!S8</f>
        <v>2211508714.2624998</v>
      </c>
      <c r="G8" s="165">
        <f>'11. CRWA'!S8-'12. CRM'!V7</f>
        <v>2211508714.2624998</v>
      </c>
      <c r="H8" s="174">
        <f>G8/(C8+E8)</f>
        <v>0.40035623782775331</v>
      </c>
    </row>
    <row r="9" spans="1:9" ht="15" customHeight="1">
      <c r="A9" s="40">
        <v>2</v>
      </c>
      <c r="B9" s="98" t="s">
        <v>135</v>
      </c>
      <c r="C9" s="153">
        <v>0</v>
      </c>
      <c r="D9" s="154"/>
      <c r="E9" s="153"/>
      <c r="F9" s="153">
        <f>'11. CRWA'!S9</f>
        <v>0</v>
      </c>
      <c r="G9" s="165">
        <f>'11. CRWA'!S9-'12. CRM'!V8</f>
        <v>0</v>
      </c>
      <c r="H9" s="174" t="e">
        <f t="shared" ref="H9:H21" si="0">G9/(C9+E9)</f>
        <v>#DIV/0!</v>
      </c>
    </row>
    <row r="10" spans="1:9">
      <c r="A10" s="40">
        <v>3</v>
      </c>
      <c r="B10" s="98" t="s">
        <v>136</v>
      </c>
      <c r="C10" s="153">
        <v>0</v>
      </c>
      <c r="D10" s="154"/>
      <c r="E10" s="153"/>
      <c r="F10" s="153">
        <f>'11. CRWA'!S10</f>
        <v>0</v>
      </c>
      <c r="G10" s="165">
        <f>'11. CRWA'!S10-'12. CRM'!V9</f>
        <v>0</v>
      </c>
      <c r="H10" s="174" t="e">
        <f t="shared" si="0"/>
        <v>#DIV/0!</v>
      </c>
    </row>
    <row r="11" spans="1:9">
      <c r="A11" s="40">
        <v>4</v>
      </c>
      <c r="B11" s="98" t="s">
        <v>137</v>
      </c>
      <c r="C11" s="153">
        <v>953878762.03410006</v>
      </c>
      <c r="D11" s="154"/>
      <c r="E11" s="153"/>
      <c r="F11" s="153">
        <f>'11. CRWA'!S11</f>
        <v>33434986.23105</v>
      </c>
      <c r="G11" s="165">
        <f>'11. CRWA'!S11-'12. CRM'!V10</f>
        <v>33434986.23105</v>
      </c>
      <c r="H11" s="174">
        <f t="shared" si="0"/>
        <v>3.5051609870998195E-2</v>
      </c>
    </row>
    <row r="12" spans="1:9">
      <c r="A12" s="40">
        <v>5</v>
      </c>
      <c r="B12" s="98" t="s">
        <v>946</v>
      </c>
      <c r="C12" s="153">
        <v>0</v>
      </c>
      <c r="D12" s="154"/>
      <c r="E12" s="153"/>
      <c r="F12" s="153">
        <f>'11. CRWA'!S12</f>
        <v>0</v>
      </c>
      <c r="G12" s="165">
        <f>'11. CRWA'!S12-'12. CRM'!V11</f>
        <v>0</v>
      </c>
      <c r="H12" s="174" t="e">
        <f t="shared" si="0"/>
        <v>#DIV/0!</v>
      </c>
    </row>
    <row r="13" spans="1:9">
      <c r="A13" s="40">
        <v>6</v>
      </c>
      <c r="B13" s="98" t="s">
        <v>138</v>
      </c>
      <c r="C13" s="153">
        <v>1159864005.2449</v>
      </c>
      <c r="D13" s="154"/>
      <c r="E13" s="153"/>
      <c r="F13" s="153">
        <f>'11. CRWA'!S13</f>
        <v>303754287.29918003</v>
      </c>
      <c r="G13" s="165">
        <f>'11. CRWA'!S13-'12. CRM'!V12</f>
        <v>303754287.29918003</v>
      </c>
      <c r="H13" s="174">
        <f t="shared" si="0"/>
        <v>0.26188784713173652</v>
      </c>
    </row>
    <row r="14" spans="1:9">
      <c r="A14" s="40">
        <v>7</v>
      </c>
      <c r="B14" s="98" t="s">
        <v>71</v>
      </c>
      <c r="C14" s="153">
        <v>6089228005.04</v>
      </c>
      <c r="D14" s="154">
        <v>2269502309.9233999</v>
      </c>
      <c r="E14" s="153">
        <v>936071307.35800004</v>
      </c>
      <c r="F14" s="153">
        <f>'11. CRWA'!S14</f>
        <v>7025299312.3979998</v>
      </c>
      <c r="G14" s="165">
        <f>'11. CRWA'!S14-'12. CRM'!V13</f>
        <v>6681535991.073</v>
      </c>
      <c r="H14" s="174">
        <f>G14/(C14+E14)</f>
        <v>0.95106780422602943</v>
      </c>
    </row>
    <row r="15" spans="1:9">
      <c r="A15" s="40">
        <v>8</v>
      </c>
      <c r="B15" s="98" t="s">
        <v>72</v>
      </c>
      <c r="C15" s="153">
        <v>6133974050.1868</v>
      </c>
      <c r="D15" s="154">
        <v>222962774.61919999</v>
      </c>
      <c r="E15" s="153">
        <v>111481387.3096</v>
      </c>
      <c r="F15" s="153">
        <f>'11. CRWA'!S15</f>
        <v>4684091578.1223001</v>
      </c>
      <c r="G15" s="165">
        <f>'11. CRWA'!S15-'12. CRM'!V14</f>
        <v>4618155916.5130997</v>
      </c>
      <c r="H15" s="174">
        <f t="shared" si="0"/>
        <v>0.73944261755302321</v>
      </c>
    </row>
    <row r="16" spans="1:9">
      <c r="A16" s="40">
        <v>9</v>
      </c>
      <c r="B16" s="98" t="s">
        <v>947</v>
      </c>
      <c r="C16" s="153">
        <v>3886910295.8817</v>
      </c>
      <c r="D16" s="154"/>
      <c r="E16" s="153"/>
      <c r="F16" s="153">
        <f>'11. CRWA'!S16</f>
        <v>1360418603.5585949</v>
      </c>
      <c r="G16" s="165">
        <f>'11. CRWA'!S16-'12. CRM'!V15</f>
        <v>1358907699.9055948</v>
      </c>
      <c r="H16" s="174">
        <f t="shared" si="0"/>
        <v>0.34961128414653636</v>
      </c>
    </row>
    <row r="17" spans="1:8">
      <c r="A17" s="40">
        <v>10</v>
      </c>
      <c r="B17" s="98" t="s">
        <v>67</v>
      </c>
      <c r="C17" s="153">
        <v>175105369.79249999</v>
      </c>
      <c r="D17" s="154"/>
      <c r="E17" s="153"/>
      <c r="F17" s="153">
        <f>'11. CRWA'!S17</f>
        <v>162420612.41335002</v>
      </c>
      <c r="G17" s="165">
        <f>'11. CRWA'!S17-'12. CRM'!V16</f>
        <v>158119286.68627593</v>
      </c>
      <c r="H17" s="174">
        <f t="shared" si="0"/>
        <v>0.90299507589999906</v>
      </c>
    </row>
    <row r="18" spans="1:8">
      <c r="A18" s="40">
        <v>11</v>
      </c>
      <c r="B18" s="98" t="s">
        <v>68</v>
      </c>
      <c r="C18" s="153">
        <v>249057383.09675905</v>
      </c>
      <c r="D18" s="154"/>
      <c r="E18" s="153"/>
      <c r="F18" s="153">
        <f>'11. CRWA'!S18</f>
        <v>373893157.39389765</v>
      </c>
      <c r="G18" s="165">
        <f>'11. CRWA'!S18-'12. CRM'!V17</f>
        <v>373273963.39389765</v>
      </c>
      <c r="H18" s="174">
        <f t="shared" si="0"/>
        <v>1.4987468299579794</v>
      </c>
    </row>
    <row r="19" spans="1:8">
      <c r="A19" s="40">
        <v>12</v>
      </c>
      <c r="B19" s="98" t="s">
        <v>69</v>
      </c>
      <c r="C19" s="153">
        <v>0</v>
      </c>
      <c r="D19" s="154"/>
      <c r="E19" s="153"/>
      <c r="F19" s="153">
        <f>'11. CRWA'!S19</f>
        <v>0</v>
      </c>
      <c r="G19" s="165">
        <f>'11. CRWA'!S19-'12. CRM'!V18</f>
        <v>0</v>
      </c>
      <c r="H19" s="174" t="e">
        <f t="shared" si="0"/>
        <v>#DIV/0!</v>
      </c>
    </row>
    <row r="20" spans="1:8">
      <c r="A20" s="40">
        <v>13</v>
      </c>
      <c r="B20" s="98" t="s">
        <v>70</v>
      </c>
      <c r="C20" s="153">
        <v>0</v>
      </c>
      <c r="D20" s="154"/>
      <c r="E20" s="153"/>
      <c r="F20" s="153">
        <f>'11. CRWA'!S20</f>
        <v>0</v>
      </c>
      <c r="G20" s="165">
        <f>'11. CRWA'!S20-'12. CRM'!V19</f>
        <v>0</v>
      </c>
      <c r="H20" s="174" t="e">
        <f t="shared" si="0"/>
        <v>#DIV/0!</v>
      </c>
    </row>
    <row r="21" spans="1:8">
      <c r="A21" s="40">
        <v>14</v>
      </c>
      <c r="B21" s="98" t="s">
        <v>154</v>
      </c>
      <c r="C21" s="153">
        <v>2032238795.1074424</v>
      </c>
      <c r="D21" s="154"/>
      <c r="E21" s="153"/>
      <c r="F21" s="153">
        <f>'11. CRWA'!S21</f>
        <v>1338432493.5607924</v>
      </c>
      <c r="G21" s="165">
        <f>'11. CRWA'!S21-'12. CRM'!V20</f>
        <v>1338432493.5607924</v>
      </c>
      <c r="H21" s="174">
        <f t="shared" si="0"/>
        <v>0.65860001136826585</v>
      </c>
    </row>
    <row r="22" spans="1:8" ht="13.5" thickBot="1">
      <c r="A22" s="79"/>
      <c r="B22" s="85" t="s">
        <v>66</v>
      </c>
      <c r="C22" s="147">
        <f>SUM(C8:C21)</f>
        <v>26204108939.204197</v>
      </c>
      <c r="D22" s="147">
        <f t="shared" ref="D22:G22" si="1">SUM(D8:D21)</f>
        <v>2492465084.5425997</v>
      </c>
      <c r="E22" s="147">
        <f t="shared" si="1"/>
        <v>1047552694.6676</v>
      </c>
      <c r="F22" s="147">
        <f t="shared" si="1"/>
        <v>17493253745.239666</v>
      </c>
      <c r="G22" s="147">
        <f t="shared" si="1"/>
        <v>17077123338.92539</v>
      </c>
      <c r="H22" s="175">
        <f>G22/(C22+E22)</f>
        <v>0.62664521409218554</v>
      </c>
    </row>
    <row r="24" spans="1:8">
      <c r="G24" s="589"/>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L16" sqref="L16"/>
    </sheetView>
  </sheetViews>
  <sheetFormatPr defaultColWidth="9.140625" defaultRowHeight="12.75"/>
  <cols>
    <col min="1" max="1" width="10.5703125" style="201" bestFit="1" customWidth="1"/>
    <col min="2" max="2" width="104.140625" style="201" customWidth="1"/>
    <col min="3" max="11" width="12.7109375" style="201" customWidth="1"/>
    <col min="12" max="16384" width="9.140625" style="201"/>
  </cols>
  <sheetData>
    <row r="1" spans="1:11">
      <c r="A1" s="201" t="s">
        <v>108</v>
      </c>
      <c r="B1" s="201" t="str">
        <f>Info!C2</f>
        <v>სს ”საქართველოს ბანკი”</v>
      </c>
    </row>
    <row r="2" spans="1:11">
      <c r="A2" s="201" t="s">
        <v>109</v>
      </c>
      <c r="B2" s="308">
        <f>'1. key ratios'!B2</f>
        <v>45016</v>
      </c>
      <c r="C2" s="202"/>
      <c r="D2" s="202"/>
    </row>
    <row r="3" spans="1:11">
      <c r="B3" s="202"/>
      <c r="C3" s="202"/>
      <c r="D3" s="202"/>
    </row>
    <row r="4" spans="1:11" ht="13.5" thickBot="1">
      <c r="A4" s="201" t="s">
        <v>351</v>
      </c>
      <c r="B4" s="169" t="s">
        <v>350</v>
      </c>
      <c r="C4" s="202"/>
      <c r="D4" s="202"/>
    </row>
    <row r="5" spans="1:11" ht="30" customHeight="1">
      <c r="A5" s="834"/>
      <c r="B5" s="835"/>
      <c r="C5" s="832" t="s">
        <v>383</v>
      </c>
      <c r="D5" s="832"/>
      <c r="E5" s="832"/>
      <c r="F5" s="832" t="s">
        <v>384</v>
      </c>
      <c r="G5" s="832"/>
      <c r="H5" s="832"/>
      <c r="I5" s="832" t="s">
        <v>385</v>
      </c>
      <c r="J5" s="832"/>
      <c r="K5" s="833"/>
    </row>
    <row r="6" spans="1:11">
      <c r="A6" s="199"/>
      <c r="B6" s="200"/>
      <c r="C6" s="203" t="s">
        <v>26</v>
      </c>
      <c r="D6" s="203" t="s">
        <v>90</v>
      </c>
      <c r="E6" s="203" t="s">
        <v>66</v>
      </c>
      <c r="F6" s="203" t="s">
        <v>26</v>
      </c>
      <c r="G6" s="203" t="s">
        <v>90</v>
      </c>
      <c r="H6" s="203" t="s">
        <v>66</v>
      </c>
      <c r="I6" s="203" t="s">
        <v>26</v>
      </c>
      <c r="J6" s="203" t="s">
        <v>90</v>
      </c>
      <c r="K6" s="205" t="s">
        <v>66</v>
      </c>
    </row>
    <row r="7" spans="1:11">
      <c r="A7" s="206" t="s">
        <v>321</v>
      </c>
      <c r="B7" s="198"/>
      <c r="C7" s="658"/>
      <c r="D7" s="658"/>
      <c r="E7" s="658"/>
      <c r="F7" s="658"/>
      <c r="G7" s="658"/>
      <c r="H7" s="658"/>
      <c r="I7" s="658"/>
      <c r="J7" s="658"/>
      <c r="K7" s="659"/>
    </row>
    <row r="8" spans="1:11">
      <c r="A8" s="197">
        <v>1</v>
      </c>
      <c r="B8" s="182" t="s">
        <v>321</v>
      </c>
      <c r="C8" s="660"/>
      <c r="D8" s="660"/>
      <c r="E8" s="660"/>
      <c r="F8" s="661">
        <v>1844167717.473444</v>
      </c>
      <c r="G8" s="661">
        <v>5108009796.7223778</v>
      </c>
      <c r="H8" s="661">
        <v>6952177514.1958275</v>
      </c>
      <c r="I8" s="661">
        <v>1872195914.2786674</v>
      </c>
      <c r="J8" s="661">
        <v>4014509151.6467772</v>
      </c>
      <c r="K8" s="662">
        <v>5886705065.9254456</v>
      </c>
    </row>
    <row r="9" spans="1:11">
      <c r="A9" s="206" t="s">
        <v>322</v>
      </c>
      <c r="B9" s="198"/>
      <c r="C9" s="658"/>
      <c r="D9" s="658"/>
      <c r="E9" s="658"/>
      <c r="F9" s="658"/>
      <c r="G9" s="658"/>
      <c r="H9" s="658"/>
      <c r="I9" s="658"/>
      <c r="J9" s="658"/>
      <c r="K9" s="659"/>
    </row>
    <row r="10" spans="1:11">
      <c r="A10" s="207">
        <v>2</v>
      </c>
      <c r="B10" s="183" t="s">
        <v>323</v>
      </c>
      <c r="C10" s="663">
        <v>2711952356.4050446</v>
      </c>
      <c r="D10" s="664">
        <v>6903654038.4035997</v>
      </c>
      <c r="E10" s="664">
        <v>9500753117.7365551</v>
      </c>
      <c r="F10" s="664">
        <v>520561818.85966045</v>
      </c>
      <c r="G10" s="664">
        <v>1676739819.8741887</v>
      </c>
      <c r="H10" s="664">
        <v>2175226492.2027259</v>
      </c>
      <c r="I10" s="664">
        <v>154478441.84375781</v>
      </c>
      <c r="J10" s="664">
        <v>487365876.39740217</v>
      </c>
      <c r="K10" s="665">
        <v>635455389.29060018</v>
      </c>
    </row>
    <row r="11" spans="1:11">
      <c r="A11" s="207">
        <v>3</v>
      </c>
      <c r="B11" s="183" t="s">
        <v>324</v>
      </c>
      <c r="C11" s="663">
        <v>5715502162.6947441</v>
      </c>
      <c r="D11" s="664">
        <v>10021327942.072861</v>
      </c>
      <c r="E11" s="664">
        <v>15495289435.705534</v>
      </c>
      <c r="F11" s="664">
        <v>1823229360.3075948</v>
      </c>
      <c r="G11" s="664">
        <v>3273278533.8808851</v>
      </c>
      <c r="H11" s="664">
        <v>5096507894.1884794</v>
      </c>
      <c r="I11" s="664">
        <v>1399099017.2309966</v>
      </c>
      <c r="J11" s="664">
        <v>1925640786.7478027</v>
      </c>
      <c r="K11" s="665">
        <v>3324739803.9787989</v>
      </c>
    </row>
    <row r="12" spans="1:11">
      <c r="A12" s="207">
        <v>4</v>
      </c>
      <c r="B12" s="183" t="s">
        <v>325</v>
      </c>
      <c r="C12" s="663">
        <v>1735427050.0287774</v>
      </c>
      <c r="D12" s="664">
        <v>52969140.844888888</v>
      </c>
      <c r="E12" s="664">
        <v>1682457909.1838887</v>
      </c>
      <c r="F12" s="664">
        <v>0</v>
      </c>
      <c r="G12" s="664">
        <v>0</v>
      </c>
      <c r="H12" s="664">
        <v>0</v>
      </c>
      <c r="I12" s="664">
        <v>0</v>
      </c>
      <c r="J12" s="664">
        <v>0</v>
      </c>
      <c r="K12" s="665">
        <v>0</v>
      </c>
    </row>
    <row r="13" spans="1:11">
      <c r="A13" s="207">
        <v>5</v>
      </c>
      <c r="B13" s="183" t="s">
        <v>326</v>
      </c>
      <c r="C13" s="663">
        <v>1542155273.597856</v>
      </c>
      <c r="D13" s="664">
        <v>1000792939.4308889</v>
      </c>
      <c r="E13" s="664">
        <v>2474101231.0687451</v>
      </c>
      <c r="F13" s="664">
        <v>238652984.63295996</v>
      </c>
      <c r="G13" s="664">
        <v>155689536.45914674</v>
      </c>
      <c r="H13" s="664">
        <v>394342521.09210682</v>
      </c>
      <c r="I13" s="664">
        <v>95843922.435377777</v>
      </c>
      <c r="J13" s="664">
        <v>62600687.317420475</v>
      </c>
      <c r="K13" s="665">
        <v>158444609.75279817</v>
      </c>
    </row>
    <row r="14" spans="1:11">
      <c r="A14" s="207">
        <v>6</v>
      </c>
      <c r="B14" s="183" t="s">
        <v>341</v>
      </c>
      <c r="C14" s="663"/>
      <c r="D14" s="664"/>
      <c r="E14" s="664"/>
      <c r="F14" s="664"/>
      <c r="G14" s="664"/>
      <c r="H14" s="664"/>
      <c r="I14" s="664"/>
      <c r="J14" s="664"/>
      <c r="K14" s="665"/>
    </row>
    <row r="15" spans="1:11">
      <c r="A15" s="207">
        <v>7</v>
      </c>
      <c r="B15" s="183" t="s">
        <v>328</v>
      </c>
      <c r="C15" s="663">
        <v>224709991.53181776</v>
      </c>
      <c r="D15" s="664">
        <v>1541944770.923254</v>
      </c>
      <c r="E15" s="664">
        <v>1755239464.2379165</v>
      </c>
      <c r="F15" s="664">
        <v>184808534.08988893</v>
      </c>
      <c r="G15" s="664">
        <v>1333023126.0198457</v>
      </c>
      <c r="H15" s="664">
        <v>1517831660.1097348</v>
      </c>
      <c r="I15" s="664">
        <v>191957083.34699994</v>
      </c>
      <c r="J15" s="664">
        <v>1568990029.9994943</v>
      </c>
      <c r="K15" s="665">
        <v>1760947113.346494</v>
      </c>
    </row>
    <row r="16" spans="1:11">
      <c r="A16" s="207">
        <v>8</v>
      </c>
      <c r="B16" s="184" t="s">
        <v>329</v>
      </c>
      <c r="C16" s="663">
        <v>9217794477.8531952</v>
      </c>
      <c r="D16" s="664">
        <v>12617034793.271893</v>
      </c>
      <c r="E16" s="664">
        <v>21407088040.196083</v>
      </c>
      <c r="F16" s="664">
        <v>2246690879.0304437</v>
      </c>
      <c r="G16" s="664">
        <v>4761991196.3598776</v>
      </c>
      <c r="H16" s="664">
        <v>7008682075.3903208</v>
      </c>
      <c r="I16" s="664">
        <v>1686900023.0133743</v>
      </c>
      <c r="J16" s="664">
        <v>3557231504.0647173</v>
      </c>
      <c r="K16" s="665">
        <v>5244131527.0780907</v>
      </c>
    </row>
    <row r="17" spans="1:11">
      <c r="A17" s="206" t="s">
        <v>330</v>
      </c>
      <c r="B17" s="198"/>
      <c r="C17" s="658"/>
      <c r="D17" s="658"/>
      <c r="E17" s="658"/>
      <c r="F17" s="658"/>
      <c r="G17" s="658"/>
      <c r="H17" s="658"/>
      <c r="I17" s="658"/>
      <c r="J17" s="658"/>
      <c r="K17" s="659"/>
    </row>
    <row r="18" spans="1:11">
      <c r="A18" s="207">
        <v>9</v>
      </c>
      <c r="B18" s="183" t="s">
        <v>331</v>
      </c>
      <c r="C18" s="663"/>
      <c r="D18" s="664"/>
      <c r="E18" s="664"/>
      <c r="F18" s="664"/>
      <c r="G18" s="664"/>
      <c r="H18" s="664"/>
      <c r="I18" s="664"/>
      <c r="J18" s="664"/>
      <c r="K18" s="665"/>
    </row>
    <row r="19" spans="1:11">
      <c r="A19" s="207">
        <v>10</v>
      </c>
      <c r="B19" s="183" t="s">
        <v>332</v>
      </c>
      <c r="C19" s="663">
        <v>432001692.00580984</v>
      </c>
      <c r="D19" s="664">
        <v>240543938.99201888</v>
      </c>
      <c r="E19" s="664">
        <v>655999280.04525554</v>
      </c>
      <c r="F19" s="664">
        <v>212193175.73480594</v>
      </c>
      <c r="G19" s="664">
        <v>119757625.87082593</v>
      </c>
      <c r="H19" s="664">
        <v>331950801.60563111</v>
      </c>
      <c r="I19" s="664">
        <v>219227613.58052495</v>
      </c>
      <c r="J19" s="664">
        <v>1667294998.3113782</v>
      </c>
      <c r="K19" s="665">
        <v>1886522611.8919046</v>
      </c>
    </row>
    <row r="20" spans="1:11">
      <c r="A20" s="207">
        <v>11</v>
      </c>
      <c r="B20" s="183" t="s">
        <v>333</v>
      </c>
      <c r="C20" s="663">
        <v>410689063.60664886</v>
      </c>
      <c r="D20" s="664">
        <v>886094133.21423411</v>
      </c>
      <c r="E20" s="664">
        <v>1274579372.1311047</v>
      </c>
      <c r="F20" s="664">
        <v>387709101.76968884</v>
      </c>
      <c r="G20" s="664">
        <v>897972182.70630491</v>
      </c>
      <c r="H20" s="664">
        <v>1285681284.4759936</v>
      </c>
      <c r="I20" s="664">
        <v>387709101.76968884</v>
      </c>
      <c r="J20" s="664">
        <v>897972182.70630491</v>
      </c>
      <c r="K20" s="665">
        <v>1285681284.4759936</v>
      </c>
    </row>
    <row r="21" spans="1:11" ht="13.5" thickBot="1">
      <c r="A21" s="127">
        <v>12</v>
      </c>
      <c r="B21" s="208" t="s">
        <v>334</v>
      </c>
      <c r="C21" s="209">
        <v>842690755.61245871</v>
      </c>
      <c r="D21" s="210">
        <v>1126638072.2062531</v>
      </c>
      <c r="E21" s="209">
        <v>1930578652.1763601</v>
      </c>
      <c r="F21" s="210">
        <v>599902277.50449479</v>
      </c>
      <c r="G21" s="210">
        <v>1017729808.5771308</v>
      </c>
      <c r="H21" s="210">
        <v>1617632086.0816247</v>
      </c>
      <c r="I21" s="210">
        <v>606936715.35021377</v>
      </c>
      <c r="J21" s="210">
        <v>2565267181.017683</v>
      </c>
      <c r="K21" s="211">
        <v>3172203896.367898</v>
      </c>
    </row>
    <row r="22" spans="1:11" ht="38.25" customHeight="1" thickBot="1">
      <c r="A22" s="195"/>
      <c r="B22" s="196"/>
      <c r="C22" s="196"/>
      <c r="D22" s="196"/>
      <c r="E22" s="196"/>
      <c r="F22" s="831" t="s">
        <v>335</v>
      </c>
      <c r="G22" s="832"/>
      <c r="H22" s="832"/>
      <c r="I22" s="831" t="s">
        <v>336</v>
      </c>
      <c r="J22" s="832"/>
      <c r="K22" s="833"/>
    </row>
    <row r="23" spans="1:11">
      <c r="A23" s="188">
        <v>13</v>
      </c>
      <c r="B23" s="185" t="s">
        <v>321</v>
      </c>
      <c r="C23" s="194"/>
      <c r="D23" s="194"/>
      <c r="E23" s="194"/>
      <c r="F23" s="664">
        <v>1844167717.473444</v>
      </c>
      <c r="G23" s="664">
        <v>5108009796.7223778</v>
      </c>
      <c r="H23" s="664">
        <v>6952177514.1958275</v>
      </c>
      <c r="I23" s="664">
        <v>1872195914.2786674</v>
      </c>
      <c r="J23" s="664">
        <v>4014509151.6467772</v>
      </c>
      <c r="K23" s="664">
        <v>5886705065.9254456</v>
      </c>
    </row>
    <row r="24" spans="1:11" ht="13.5" thickBot="1">
      <c r="A24" s="189">
        <v>14</v>
      </c>
      <c r="B24" s="186" t="s">
        <v>337</v>
      </c>
      <c r="C24" s="212"/>
      <c r="D24" s="192"/>
      <c r="E24" s="193"/>
      <c r="F24" s="664">
        <v>1646788601.5259504</v>
      </c>
      <c r="G24" s="664">
        <v>3744261387.7827487</v>
      </c>
      <c r="H24" s="664">
        <v>5391049989.3087015</v>
      </c>
      <c r="I24" s="664">
        <v>1079963307.6631608</v>
      </c>
      <c r="J24" s="664">
        <v>1015410845.9516659</v>
      </c>
      <c r="K24" s="664">
        <v>2071927630.710196</v>
      </c>
    </row>
    <row r="25" spans="1:11" ht="13.5" thickBot="1">
      <c r="A25" s="190">
        <v>15</v>
      </c>
      <c r="B25" s="187" t="s">
        <v>338</v>
      </c>
      <c r="C25" s="191"/>
      <c r="D25" s="191"/>
      <c r="E25" s="191"/>
      <c r="F25" s="666">
        <v>1.1198569845362045</v>
      </c>
      <c r="G25" s="666">
        <v>1.3642236125366249</v>
      </c>
      <c r="H25" s="666">
        <v>1.2895776384902917</v>
      </c>
      <c r="I25" s="666">
        <v>1.7335736325428965</v>
      </c>
      <c r="J25" s="666">
        <v>3.9535811220179444</v>
      </c>
      <c r="K25" s="667">
        <v>2.8411731079177005</v>
      </c>
    </row>
    <row r="28" spans="1:11" ht="38.25">
      <c r="B28" s="21" t="s">
        <v>382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R27" sqref="R27"/>
    </sheetView>
  </sheetViews>
  <sheetFormatPr defaultColWidth="9.140625" defaultRowHeight="15"/>
  <cols>
    <col min="1" max="1" width="10.5703125" style="36" bestFit="1" customWidth="1"/>
    <col min="2" max="2" width="95" style="36" customWidth="1"/>
    <col min="3" max="3" width="18.7109375" style="36" customWidth="1"/>
    <col min="4" max="4" width="10" style="36" bestFit="1" customWidth="1"/>
    <col min="5" max="5" width="18.28515625" style="36" bestFit="1" customWidth="1"/>
    <col min="6" max="13" width="10.7109375" style="36" customWidth="1"/>
    <col min="14" max="14" width="31" style="36" bestFit="1" customWidth="1"/>
    <col min="15" max="16384" width="9.140625" style="10"/>
  </cols>
  <sheetData>
    <row r="1" spans="1:14">
      <c r="A1" s="5" t="s">
        <v>108</v>
      </c>
      <c r="B1" s="36" t="str">
        <f>Info!C2</f>
        <v>სს ”საქართველოს ბანკი”</v>
      </c>
    </row>
    <row r="2" spans="1:14" ht="14.25" customHeight="1">
      <c r="A2" s="36" t="s">
        <v>109</v>
      </c>
      <c r="B2" s="308">
        <f>'1. key ratios'!B2</f>
        <v>45016</v>
      </c>
    </row>
    <row r="3" spans="1:14" ht="14.25" customHeight="1"/>
    <row r="4" spans="1:14" ht="15.75" thickBot="1">
      <c r="A4" s="2" t="s">
        <v>261</v>
      </c>
      <c r="B4" s="42" t="s">
        <v>74</v>
      </c>
    </row>
    <row r="5" spans="1:14" s="23" customFormat="1" ht="12.75">
      <c r="A5" s="94"/>
      <c r="B5" s="95"/>
      <c r="C5" s="96" t="s">
        <v>0</v>
      </c>
      <c r="D5" s="96" t="s">
        <v>1</v>
      </c>
      <c r="E5" s="96" t="s">
        <v>2</v>
      </c>
      <c r="F5" s="96" t="s">
        <v>3</v>
      </c>
      <c r="G5" s="96" t="s">
        <v>4</v>
      </c>
      <c r="H5" s="96" t="s">
        <v>5</v>
      </c>
      <c r="I5" s="96" t="s">
        <v>145</v>
      </c>
      <c r="J5" s="96" t="s">
        <v>146</v>
      </c>
      <c r="K5" s="96" t="s">
        <v>147</v>
      </c>
      <c r="L5" s="96" t="s">
        <v>148</v>
      </c>
      <c r="M5" s="96" t="s">
        <v>149</v>
      </c>
      <c r="N5" s="97" t="s">
        <v>150</v>
      </c>
    </row>
    <row r="6" spans="1:14" ht="45">
      <c r="A6" s="86"/>
      <c r="B6" s="54"/>
      <c r="C6" s="55" t="s">
        <v>84</v>
      </c>
      <c r="D6" s="56" t="s">
        <v>73</v>
      </c>
      <c r="E6" s="57" t="s">
        <v>83</v>
      </c>
      <c r="F6" s="58">
        <v>0</v>
      </c>
      <c r="G6" s="58">
        <v>0.2</v>
      </c>
      <c r="H6" s="58">
        <v>0.35</v>
      </c>
      <c r="I6" s="58">
        <v>0.5</v>
      </c>
      <c r="J6" s="58">
        <v>0.75</v>
      </c>
      <c r="K6" s="58">
        <v>1</v>
      </c>
      <c r="L6" s="58">
        <v>1.5</v>
      </c>
      <c r="M6" s="58">
        <v>2.5</v>
      </c>
      <c r="N6" s="87" t="s">
        <v>74</v>
      </c>
    </row>
    <row r="7" spans="1:14">
      <c r="A7" s="88">
        <v>1</v>
      </c>
      <c r="B7" s="59" t="s">
        <v>75</v>
      </c>
      <c r="C7" s="155">
        <f>SUM(C8:C13)</f>
        <v>1451793462.3973</v>
      </c>
      <c r="D7" s="54"/>
      <c r="E7" s="158">
        <f t="shared" ref="E7:M7" si="0">SUM(E8:E13)</f>
        <v>29878522.914935</v>
      </c>
      <c r="F7" s="155">
        <f>SUM(F8:F13)</f>
        <v>0</v>
      </c>
      <c r="G7" s="155">
        <f t="shared" si="0"/>
        <v>23012642.091341998</v>
      </c>
      <c r="H7" s="155">
        <f t="shared" si="0"/>
        <v>0</v>
      </c>
      <c r="I7" s="155">
        <f t="shared" si="0"/>
        <v>2824896.3107639998</v>
      </c>
      <c r="J7" s="155">
        <f t="shared" si="0"/>
        <v>0</v>
      </c>
      <c r="K7" s="155">
        <f t="shared" si="0"/>
        <v>4040984.5128290001</v>
      </c>
      <c r="L7" s="155">
        <f t="shared" si="0"/>
        <v>0</v>
      </c>
      <c r="M7" s="155">
        <f t="shared" si="0"/>
        <v>0</v>
      </c>
      <c r="N7" s="89">
        <f>SUM(N8:N13)</f>
        <v>10055961.086479401</v>
      </c>
    </row>
    <row r="8" spans="1:14">
      <c r="A8" s="88">
        <v>1.1000000000000001</v>
      </c>
      <c r="B8" s="60" t="s">
        <v>76</v>
      </c>
      <c r="C8" s="156">
        <v>1430753305.5236001</v>
      </c>
      <c r="D8" s="61">
        <v>0.02</v>
      </c>
      <c r="E8" s="158">
        <f>C8*D8</f>
        <v>28615066.110472001</v>
      </c>
      <c r="F8" s="156">
        <v>0</v>
      </c>
      <c r="G8" s="156">
        <v>23012642.091341998</v>
      </c>
      <c r="H8" s="156">
        <v>0</v>
      </c>
      <c r="I8" s="156">
        <v>2824896.3107639998</v>
      </c>
      <c r="J8" s="156">
        <v>0</v>
      </c>
      <c r="K8" s="156">
        <v>2777527.7083660001</v>
      </c>
      <c r="L8" s="156">
        <v>0</v>
      </c>
      <c r="M8" s="156">
        <v>0</v>
      </c>
      <c r="N8" s="89">
        <f>SUMPRODUCT($F$6:$M$6,F8:M8)</f>
        <v>8792504.2820164002</v>
      </c>
    </row>
    <row r="9" spans="1:14">
      <c r="A9" s="88">
        <v>1.2</v>
      </c>
      <c r="B9" s="60" t="s">
        <v>77</v>
      </c>
      <c r="C9" s="156">
        <v>17054553.766100001</v>
      </c>
      <c r="D9" s="61">
        <v>0.05</v>
      </c>
      <c r="E9" s="158">
        <f>C9*D9</f>
        <v>852727.68830500008</v>
      </c>
      <c r="F9" s="156">
        <v>0</v>
      </c>
      <c r="G9" s="156">
        <v>0</v>
      </c>
      <c r="H9" s="156">
        <v>0</v>
      </c>
      <c r="I9" s="156">
        <v>0</v>
      </c>
      <c r="J9" s="156">
        <v>0</v>
      </c>
      <c r="K9" s="156">
        <v>852727.68830499996</v>
      </c>
      <c r="L9" s="156">
        <v>0</v>
      </c>
      <c r="M9" s="156">
        <v>0</v>
      </c>
      <c r="N9" s="89">
        <f t="shared" ref="N9:N12" si="1">SUMPRODUCT($F$6:$M$6,F9:M9)</f>
        <v>852727.68830499996</v>
      </c>
    </row>
    <row r="10" spans="1:14">
      <c r="A10" s="88">
        <v>1.3</v>
      </c>
      <c r="B10" s="60" t="s">
        <v>78</v>
      </c>
      <c r="C10" s="156">
        <v>2454255.3150999998</v>
      </c>
      <c r="D10" s="61">
        <v>0.08</v>
      </c>
      <c r="E10" s="158">
        <f>C10*D10</f>
        <v>196340.425208</v>
      </c>
      <c r="F10" s="156">
        <v>0</v>
      </c>
      <c r="G10" s="156">
        <v>0</v>
      </c>
      <c r="H10" s="156">
        <v>0</v>
      </c>
      <c r="I10" s="156">
        <v>0</v>
      </c>
      <c r="J10" s="156">
        <v>0</v>
      </c>
      <c r="K10" s="156">
        <v>196340.425208</v>
      </c>
      <c r="L10" s="156">
        <v>0</v>
      </c>
      <c r="M10" s="156">
        <v>0</v>
      </c>
      <c r="N10" s="89">
        <f>SUMPRODUCT($F$6:$M$6,F10:M10)</f>
        <v>196340.425208</v>
      </c>
    </row>
    <row r="11" spans="1:14">
      <c r="A11" s="88">
        <v>1.4</v>
      </c>
      <c r="B11" s="60" t="s">
        <v>79</v>
      </c>
      <c r="C11" s="156">
        <v>0</v>
      </c>
      <c r="D11" s="61">
        <v>0.11</v>
      </c>
      <c r="E11" s="158">
        <f>C11*D11</f>
        <v>0</v>
      </c>
      <c r="F11" s="156">
        <v>0</v>
      </c>
      <c r="G11" s="156">
        <v>0</v>
      </c>
      <c r="H11" s="156">
        <v>0</v>
      </c>
      <c r="I11" s="156">
        <v>0</v>
      </c>
      <c r="J11" s="156">
        <v>0</v>
      </c>
      <c r="K11" s="156">
        <v>0</v>
      </c>
      <c r="L11" s="156">
        <v>0</v>
      </c>
      <c r="M11" s="156">
        <v>0</v>
      </c>
      <c r="N11" s="89">
        <f t="shared" si="1"/>
        <v>0</v>
      </c>
    </row>
    <row r="12" spans="1:14">
      <c r="A12" s="88">
        <v>1.5</v>
      </c>
      <c r="B12" s="60" t="s">
        <v>80</v>
      </c>
      <c r="C12" s="156">
        <v>1531347.7925</v>
      </c>
      <c r="D12" s="61">
        <v>0.14000000000000001</v>
      </c>
      <c r="E12" s="158">
        <f>C12*D12</f>
        <v>214388.69095000002</v>
      </c>
      <c r="F12" s="156">
        <v>0</v>
      </c>
      <c r="G12" s="156">
        <v>0</v>
      </c>
      <c r="H12" s="156">
        <v>0</v>
      </c>
      <c r="I12" s="156">
        <v>0</v>
      </c>
      <c r="J12" s="156">
        <v>0</v>
      </c>
      <c r="K12" s="156">
        <v>214388.69095000002</v>
      </c>
      <c r="L12" s="156">
        <v>0</v>
      </c>
      <c r="M12" s="156">
        <v>0</v>
      </c>
      <c r="N12" s="89">
        <f t="shared" si="1"/>
        <v>214388.69095000002</v>
      </c>
    </row>
    <row r="13" spans="1:14">
      <c r="A13" s="88">
        <v>1.6</v>
      </c>
      <c r="B13" s="62" t="s">
        <v>81</v>
      </c>
      <c r="C13" s="156">
        <v>0</v>
      </c>
      <c r="D13" s="63"/>
      <c r="E13" s="156"/>
      <c r="F13" s="156">
        <v>0</v>
      </c>
      <c r="G13" s="156">
        <v>0</v>
      </c>
      <c r="H13" s="156">
        <v>0</v>
      </c>
      <c r="I13" s="156">
        <v>0</v>
      </c>
      <c r="J13" s="156">
        <v>0</v>
      </c>
      <c r="K13" s="156">
        <v>0</v>
      </c>
      <c r="L13" s="156">
        <v>0</v>
      </c>
      <c r="M13" s="156">
        <v>0</v>
      </c>
      <c r="N13" s="89">
        <f>SUMPRODUCT($F$6:$M$6,F13:M13)</f>
        <v>0</v>
      </c>
    </row>
    <row r="14" spans="1:14">
      <c r="A14" s="88">
        <v>2</v>
      </c>
      <c r="B14" s="64" t="s">
        <v>82</v>
      </c>
      <c r="C14" s="155">
        <f>SUM(C15:C20)</f>
        <v>0</v>
      </c>
      <c r="D14" s="54"/>
      <c r="E14" s="158">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89">
        <f>SUM(N15:N20)</f>
        <v>0</v>
      </c>
    </row>
    <row r="15" spans="1:14">
      <c r="A15" s="88">
        <v>2.1</v>
      </c>
      <c r="B15" s="62" t="s">
        <v>76</v>
      </c>
      <c r="C15" s="156"/>
      <c r="D15" s="61">
        <v>5.0000000000000001E-3</v>
      </c>
      <c r="E15" s="158">
        <f>C15*D15</f>
        <v>0</v>
      </c>
      <c r="F15" s="156"/>
      <c r="G15" s="156"/>
      <c r="H15" s="156"/>
      <c r="I15" s="156"/>
      <c r="J15" s="156"/>
      <c r="K15" s="156"/>
      <c r="L15" s="156"/>
      <c r="M15" s="156"/>
      <c r="N15" s="89">
        <f>SUMPRODUCT($F$6:$M$6,F15:M15)</f>
        <v>0</v>
      </c>
    </row>
    <row r="16" spans="1:14">
      <c r="A16" s="88">
        <v>2.2000000000000002</v>
      </c>
      <c r="B16" s="62" t="s">
        <v>77</v>
      </c>
      <c r="C16" s="156"/>
      <c r="D16" s="61">
        <v>0.01</v>
      </c>
      <c r="E16" s="158">
        <f>C16*D16</f>
        <v>0</v>
      </c>
      <c r="F16" s="156"/>
      <c r="G16" s="156"/>
      <c r="H16" s="156"/>
      <c r="I16" s="156"/>
      <c r="J16" s="156"/>
      <c r="K16" s="156"/>
      <c r="L16" s="156"/>
      <c r="M16" s="156"/>
      <c r="N16" s="89">
        <f t="shared" ref="N16:N20" si="3">SUMPRODUCT($F$6:$M$6,F16:M16)</f>
        <v>0</v>
      </c>
    </row>
    <row r="17" spans="1:14">
      <c r="A17" s="88">
        <v>2.2999999999999998</v>
      </c>
      <c r="B17" s="62" t="s">
        <v>78</v>
      </c>
      <c r="C17" s="156"/>
      <c r="D17" s="61">
        <v>0.02</v>
      </c>
      <c r="E17" s="158">
        <f>C17*D17</f>
        <v>0</v>
      </c>
      <c r="F17" s="156"/>
      <c r="G17" s="156"/>
      <c r="H17" s="156"/>
      <c r="I17" s="156"/>
      <c r="J17" s="156"/>
      <c r="K17" s="156"/>
      <c r="L17" s="156"/>
      <c r="M17" s="156"/>
      <c r="N17" s="89">
        <f t="shared" si="3"/>
        <v>0</v>
      </c>
    </row>
    <row r="18" spans="1:14">
      <c r="A18" s="88">
        <v>2.4</v>
      </c>
      <c r="B18" s="62" t="s">
        <v>79</v>
      </c>
      <c r="C18" s="156"/>
      <c r="D18" s="61">
        <v>0.03</v>
      </c>
      <c r="E18" s="158">
        <f>C18*D18</f>
        <v>0</v>
      </c>
      <c r="F18" s="156"/>
      <c r="G18" s="156"/>
      <c r="H18" s="156"/>
      <c r="I18" s="156"/>
      <c r="J18" s="156"/>
      <c r="K18" s="156"/>
      <c r="L18" s="156"/>
      <c r="M18" s="156"/>
      <c r="N18" s="89">
        <f t="shared" si="3"/>
        <v>0</v>
      </c>
    </row>
    <row r="19" spans="1:14">
      <c r="A19" s="88">
        <v>2.5</v>
      </c>
      <c r="B19" s="62" t="s">
        <v>80</v>
      </c>
      <c r="C19" s="156"/>
      <c r="D19" s="61">
        <v>0.04</v>
      </c>
      <c r="E19" s="158">
        <f>C19*D19</f>
        <v>0</v>
      </c>
      <c r="F19" s="156"/>
      <c r="G19" s="156"/>
      <c r="H19" s="156"/>
      <c r="I19" s="156"/>
      <c r="J19" s="156"/>
      <c r="K19" s="156"/>
      <c r="L19" s="156"/>
      <c r="M19" s="156"/>
      <c r="N19" s="89">
        <f t="shared" si="3"/>
        <v>0</v>
      </c>
    </row>
    <row r="20" spans="1:14">
      <c r="A20" s="88">
        <v>2.6</v>
      </c>
      <c r="B20" s="62" t="s">
        <v>81</v>
      </c>
      <c r="C20" s="156"/>
      <c r="D20" s="63"/>
      <c r="E20" s="159"/>
      <c r="F20" s="156"/>
      <c r="G20" s="156"/>
      <c r="H20" s="156"/>
      <c r="I20" s="156"/>
      <c r="J20" s="156"/>
      <c r="K20" s="156"/>
      <c r="L20" s="156"/>
      <c r="M20" s="156"/>
      <c r="N20" s="89">
        <f t="shared" si="3"/>
        <v>0</v>
      </c>
    </row>
    <row r="21" spans="1:14" ht="15.75" thickBot="1">
      <c r="A21" s="90">
        <v>3</v>
      </c>
      <c r="B21" s="91" t="s">
        <v>66</v>
      </c>
      <c r="C21" s="157">
        <f>C14+C7</f>
        <v>1451793462.3973</v>
      </c>
      <c r="D21" s="92"/>
      <c r="E21" s="160">
        <f>E14+E7</f>
        <v>29878522.914935</v>
      </c>
      <c r="F21" s="161">
        <f>F7+F14</f>
        <v>0</v>
      </c>
      <c r="G21" s="161">
        <f t="shared" ref="G21:L21" si="4">G7+G14</f>
        <v>23012642.091341998</v>
      </c>
      <c r="H21" s="161">
        <f t="shared" si="4"/>
        <v>0</v>
      </c>
      <c r="I21" s="161">
        <f t="shared" si="4"/>
        <v>2824896.3107639998</v>
      </c>
      <c r="J21" s="161">
        <f t="shared" si="4"/>
        <v>0</v>
      </c>
      <c r="K21" s="161">
        <f t="shared" si="4"/>
        <v>4040984.5128290001</v>
      </c>
      <c r="L21" s="161">
        <f t="shared" si="4"/>
        <v>0</v>
      </c>
      <c r="M21" s="161">
        <f>M7+M14</f>
        <v>0</v>
      </c>
      <c r="N21" s="93">
        <f>N14+N7</f>
        <v>10055961.086479401</v>
      </c>
    </row>
    <row r="22" spans="1:14">
      <c r="E22" s="162"/>
      <c r="F22" s="162"/>
      <c r="G22" s="162"/>
      <c r="H22" s="162"/>
      <c r="I22" s="162"/>
      <c r="J22" s="162"/>
      <c r="K22" s="162"/>
      <c r="L22" s="162"/>
      <c r="M22" s="162"/>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5" workbookViewId="0">
      <selection activeCell="G16" sqref="G16"/>
    </sheetView>
  </sheetViews>
  <sheetFormatPr defaultRowHeight="15"/>
  <cols>
    <col min="1" max="1" width="11.42578125" customWidth="1"/>
    <col min="2" max="2" width="76.85546875" style="4" customWidth="1"/>
    <col min="3" max="3" width="22.85546875" customWidth="1"/>
  </cols>
  <sheetData>
    <row r="1" spans="1:3">
      <c r="A1" s="201" t="s">
        <v>108</v>
      </c>
      <c r="B1" t="str">
        <f>Info!C2</f>
        <v>სს ”საქართველოს ბანკი”</v>
      </c>
    </row>
    <row r="2" spans="1:3">
      <c r="A2" s="201" t="s">
        <v>109</v>
      </c>
      <c r="B2" s="308">
        <f>'1. key ratios'!B2</f>
        <v>45016</v>
      </c>
    </row>
    <row r="3" spans="1:3">
      <c r="A3" s="201"/>
      <c r="B3"/>
    </row>
    <row r="4" spans="1:3">
      <c r="A4" s="201" t="s">
        <v>427</v>
      </c>
      <c r="B4" t="s">
        <v>386</v>
      </c>
    </row>
    <row r="5" spans="1:3">
      <c r="A5" s="247"/>
      <c r="B5" s="247" t="s">
        <v>387</v>
      </c>
      <c r="C5" s="259"/>
    </row>
    <row r="6" spans="1:3">
      <c r="A6" s="248">
        <v>1</v>
      </c>
      <c r="B6" s="260" t="s">
        <v>439</v>
      </c>
      <c r="C6" s="711">
        <v>26204108939.204197</v>
      </c>
    </row>
    <row r="7" spans="1:3">
      <c r="A7" s="248">
        <v>2</v>
      </c>
      <c r="B7" s="260" t="s">
        <v>388</v>
      </c>
      <c r="C7" s="711">
        <v>-212625227.77300003</v>
      </c>
    </row>
    <row r="8" spans="1:3">
      <c r="A8" s="249">
        <v>3</v>
      </c>
      <c r="B8" s="261" t="s">
        <v>389</v>
      </c>
      <c r="C8" s="711">
        <f>C6+C7</f>
        <v>25991483711.431198</v>
      </c>
    </row>
    <row r="9" spans="1:3">
      <c r="A9" s="250"/>
      <c r="B9" s="250" t="s">
        <v>390</v>
      </c>
      <c r="C9" s="712"/>
    </row>
    <row r="10" spans="1:3">
      <c r="A10" s="251">
        <v>4</v>
      </c>
      <c r="B10" s="263" t="s">
        <v>391</v>
      </c>
      <c r="C10" s="713"/>
    </row>
    <row r="11" spans="1:3">
      <c r="A11" s="251">
        <v>5</v>
      </c>
      <c r="B11" s="264" t="s">
        <v>392</v>
      </c>
      <c r="C11" s="713"/>
    </row>
    <row r="12" spans="1:3">
      <c r="A12" s="251" t="s">
        <v>393</v>
      </c>
      <c r="B12" s="260" t="s">
        <v>394</v>
      </c>
      <c r="C12" s="711">
        <v>29878522.914935</v>
      </c>
    </row>
    <row r="13" spans="1:3">
      <c r="A13" s="252">
        <v>6</v>
      </c>
      <c r="B13" s="265" t="s">
        <v>395</v>
      </c>
      <c r="C13" s="713"/>
    </row>
    <row r="14" spans="1:3">
      <c r="A14" s="252">
        <v>7</v>
      </c>
      <c r="B14" s="266" t="s">
        <v>396</v>
      </c>
      <c r="C14" s="713"/>
    </row>
    <row r="15" spans="1:3">
      <c r="A15" s="253">
        <v>8</v>
      </c>
      <c r="B15" s="260" t="s">
        <v>397</v>
      </c>
      <c r="C15" s="713"/>
    </row>
    <row r="16" spans="1:3" ht="24">
      <c r="A16" s="252">
        <v>9</v>
      </c>
      <c r="B16" s="266" t="s">
        <v>398</v>
      </c>
      <c r="C16" s="713"/>
    </row>
    <row r="17" spans="1:3">
      <c r="A17" s="252">
        <v>10</v>
      </c>
      <c r="B17" s="266" t="s">
        <v>399</v>
      </c>
      <c r="C17" s="713"/>
    </row>
    <row r="18" spans="1:3">
      <c r="A18" s="254">
        <v>11</v>
      </c>
      <c r="B18" s="267" t="s">
        <v>400</v>
      </c>
      <c r="C18" s="711">
        <f>SUM(C10:C17)</f>
        <v>29878522.914935</v>
      </c>
    </row>
    <row r="19" spans="1:3">
      <c r="A19" s="250"/>
      <c r="B19" s="250" t="s">
        <v>401</v>
      </c>
      <c r="C19" s="712"/>
    </row>
    <row r="20" spans="1:3">
      <c r="A20" s="252">
        <v>12</v>
      </c>
      <c r="B20" s="263" t="s">
        <v>402</v>
      </c>
      <c r="C20" s="713"/>
    </row>
    <row r="21" spans="1:3">
      <c r="A21" s="252">
        <v>13</v>
      </c>
      <c r="B21" s="263" t="s">
        <v>403</v>
      </c>
      <c r="C21" s="713"/>
    </row>
    <row r="22" spans="1:3">
      <c r="A22" s="252">
        <v>14</v>
      </c>
      <c r="B22" s="263" t="s">
        <v>404</v>
      </c>
      <c r="C22" s="713"/>
    </row>
    <row r="23" spans="1:3" ht="24">
      <c r="A23" s="252" t="s">
        <v>405</v>
      </c>
      <c r="B23" s="263" t="s">
        <v>406</v>
      </c>
      <c r="C23" s="713"/>
    </row>
    <row r="24" spans="1:3">
      <c r="A24" s="252">
        <v>15</v>
      </c>
      <c r="B24" s="263" t="s">
        <v>407</v>
      </c>
      <c r="C24" s="713"/>
    </row>
    <row r="25" spans="1:3">
      <c r="A25" s="252" t="s">
        <v>408</v>
      </c>
      <c r="B25" s="260" t="s">
        <v>409</v>
      </c>
      <c r="C25" s="713"/>
    </row>
    <row r="26" spans="1:3">
      <c r="A26" s="254">
        <v>16</v>
      </c>
      <c r="B26" s="267" t="s">
        <v>410</v>
      </c>
      <c r="C26" s="711">
        <f>SUM(C20:C25)</f>
        <v>0</v>
      </c>
    </row>
    <row r="27" spans="1:3">
      <c r="A27" s="250"/>
      <c r="B27" s="250" t="s">
        <v>411</v>
      </c>
      <c r="C27" s="712"/>
    </row>
    <row r="28" spans="1:3">
      <c r="A28" s="251">
        <v>17</v>
      </c>
      <c r="B28" s="260" t="s">
        <v>412</v>
      </c>
      <c r="C28" s="714">
        <v>2492465084.5426002</v>
      </c>
    </row>
    <row r="29" spans="1:3">
      <c r="A29" s="251">
        <v>18</v>
      </c>
      <c r="B29" s="260" t="s">
        <v>413</v>
      </c>
      <c r="C29" s="714">
        <v>-1398997915.1239901</v>
      </c>
    </row>
    <row r="30" spans="1:3">
      <c r="A30" s="254">
        <v>19</v>
      </c>
      <c r="B30" s="267" t="s">
        <v>414</v>
      </c>
      <c r="C30" s="711">
        <f>C28+C29</f>
        <v>1093467169.4186101</v>
      </c>
    </row>
    <row r="31" spans="1:3">
      <c r="A31" s="255"/>
      <c r="B31" s="250" t="s">
        <v>415</v>
      </c>
      <c r="C31" s="712"/>
    </row>
    <row r="32" spans="1:3">
      <c r="A32" s="251" t="s">
        <v>416</v>
      </c>
      <c r="B32" s="263" t="s">
        <v>417</v>
      </c>
      <c r="C32" s="715"/>
    </row>
    <row r="33" spans="1:3">
      <c r="A33" s="251" t="s">
        <v>418</v>
      </c>
      <c r="B33" s="264" t="s">
        <v>419</v>
      </c>
      <c r="C33" s="715"/>
    </row>
    <row r="34" spans="1:3">
      <c r="A34" s="250"/>
      <c r="B34" s="250" t="s">
        <v>420</v>
      </c>
      <c r="C34" s="712"/>
    </row>
    <row r="35" spans="1:3">
      <c r="A35" s="254">
        <v>20</v>
      </c>
      <c r="B35" s="267" t="s">
        <v>86</v>
      </c>
      <c r="C35" s="711">
        <v>4203737641.2357626</v>
      </c>
    </row>
    <row r="36" spans="1:3">
      <c r="A36" s="254">
        <v>21</v>
      </c>
      <c r="B36" s="267" t="s">
        <v>421</v>
      </c>
      <c r="C36" s="711">
        <v>27114829403.764744</v>
      </c>
    </row>
    <row r="37" spans="1:3">
      <c r="A37" s="256"/>
      <c r="B37" s="256" t="s">
        <v>386</v>
      </c>
      <c r="C37" s="716"/>
    </row>
    <row r="38" spans="1:3">
      <c r="A38" s="254">
        <v>22</v>
      </c>
      <c r="B38" s="267" t="s">
        <v>386</v>
      </c>
      <c r="C38" s="717">
        <f>IFERROR(C35/C36,0)</f>
        <v>0.1550346335814341</v>
      </c>
    </row>
    <row r="39" spans="1:3">
      <c r="A39" s="256"/>
      <c r="B39" s="256" t="s">
        <v>422</v>
      </c>
      <c r="C39" s="262"/>
    </row>
    <row r="40" spans="1:3">
      <c r="A40" s="257" t="s">
        <v>423</v>
      </c>
      <c r="B40" s="263" t="s">
        <v>424</v>
      </c>
      <c r="C40" s="268"/>
    </row>
    <row r="41" spans="1:3">
      <c r="A41" s="258" t="s">
        <v>425</v>
      </c>
      <c r="B41" s="264" t="s">
        <v>426</v>
      </c>
      <c r="C41" s="268"/>
    </row>
    <row r="43" spans="1:3">
      <c r="B43" s="277" t="s">
        <v>440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2"/>
  <sheetViews>
    <sheetView zoomScale="90" zoomScaleNormal="90" workbookViewId="0">
      <pane xSplit="2" ySplit="6" topLeftCell="C16" activePane="bottomRight" state="frozen"/>
      <selection pane="topRight" activeCell="C1" sqref="C1"/>
      <selection pane="bottomLeft" activeCell="A7" sqref="A7"/>
      <selection pane="bottomRight" activeCell="K13" sqref="K13"/>
    </sheetView>
  </sheetViews>
  <sheetFormatPr defaultRowHeight="15"/>
  <cols>
    <col min="1" max="1" width="9.85546875" style="201" bestFit="1" customWidth="1"/>
    <col min="2" max="2" width="82.5703125" style="21" customWidth="1"/>
    <col min="3" max="7" width="17.5703125" style="201" customWidth="1"/>
    <col min="8" max="8" width="16.140625" bestFit="1" customWidth="1"/>
    <col min="9" max="9" width="18.85546875" bestFit="1" customWidth="1"/>
  </cols>
  <sheetData>
    <row r="1" spans="1:7">
      <c r="A1" s="201" t="s">
        <v>108</v>
      </c>
      <c r="B1" s="201" t="str">
        <f>Info!C2</f>
        <v>სს ”საქართველოს ბანკი”</v>
      </c>
    </row>
    <row r="2" spans="1:7">
      <c r="A2" s="201" t="s">
        <v>109</v>
      </c>
      <c r="B2" s="308">
        <f>'1. key ratios'!B2</f>
        <v>45016</v>
      </c>
    </row>
    <row r="3" spans="1:7">
      <c r="B3" s="308"/>
    </row>
    <row r="4" spans="1:7" ht="15.75" thickBot="1">
      <c r="A4" s="201" t="s">
        <v>487</v>
      </c>
      <c r="B4" s="309" t="s">
        <v>452</v>
      </c>
    </row>
    <row r="5" spans="1:7">
      <c r="A5" s="310"/>
      <c r="B5" s="311"/>
      <c r="C5" s="836" t="s">
        <v>453</v>
      </c>
      <c r="D5" s="836"/>
      <c r="E5" s="836"/>
      <c r="F5" s="836"/>
      <c r="G5" s="837" t="s">
        <v>454</v>
      </c>
    </row>
    <row r="6" spans="1:7">
      <c r="A6" s="312"/>
      <c r="B6" s="313"/>
      <c r="C6" s="314" t="s">
        <v>455</v>
      </c>
      <c r="D6" s="315" t="s">
        <v>456</v>
      </c>
      <c r="E6" s="315" t="s">
        <v>457</v>
      </c>
      <c r="F6" s="315" t="s">
        <v>458</v>
      </c>
      <c r="G6" s="838"/>
    </row>
    <row r="7" spans="1:7">
      <c r="A7" s="316"/>
      <c r="B7" s="317" t="s">
        <v>459</v>
      </c>
      <c r="C7" s="318"/>
      <c r="D7" s="318"/>
      <c r="E7" s="318"/>
      <c r="F7" s="318"/>
      <c r="G7" s="319"/>
    </row>
    <row r="8" spans="1:7">
      <c r="A8" s="320">
        <v>1</v>
      </c>
      <c r="B8" s="321" t="s">
        <v>460</v>
      </c>
      <c r="C8" s="322">
        <f>SUM(C9:C10)</f>
        <v>4163342041.2357626</v>
      </c>
      <c r="D8" s="322">
        <f>SUM(D9:D10)</f>
        <v>0</v>
      </c>
      <c r="E8" s="322">
        <f>SUM(E9:E10)</f>
        <v>0</v>
      </c>
      <c r="F8" s="322">
        <f>SUM(F9:F10)</f>
        <v>2565540912.2347999</v>
      </c>
      <c r="G8" s="323">
        <f>SUM(G9:G10)</f>
        <v>6728882953.470562</v>
      </c>
    </row>
    <row r="9" spans="1:7">
      <c r="A9" s="320">
        <v>2</v>
      </c>
      <c r="B9" s="324" t="s">
        <v>85</v>
      </c>
      <c r="C9" s="322">
        <v>4163342041.2357626</v>
      </c>
      <c r="D9" s="322"/>
      <c r="E9" s="322"/>
      <c r="F9" s="322">
        <v>416774400</v>
      </c>
      <c r="G9" s="323">
        <v>4580116441.2357626</v>
      </c>
    </row>
    <row r="10" spans="1:7">
      <c r="A10" s="320">
        <v>3</v>
      </c>
      <c r="B10" s="324" t="s">
        <v>461</v>
      </c>
      <c r="C10" s="325"/>
      <c r="D10" s="325"/>
      <c r="E10" s="325"/>
      <c r="F10" s="322">
        <v>2148766512.2347999</v>
      </c>
      <c r="G10" s="323">
        <v>2148766512.2347999</v>
      </c>
    </row>
    <row r="11" spans="1:7" ht="26.25">
      <c r="A11" s="320">
        <v>4</v>
      </c>
      <c r="B11" s="321" t="s">
        <v>462</v>
      </c>
      <c r="C11" s="322">
        <f t="shared" ref="C11:F11" si="0">SUM(C12:C13)</f>
        <v>5036412840.552</v>
      </c>
      <c r="D11" s="322">
        <f t="shared" si="0"/>
        <v>3266943288.3199997</v>
      </c>
      <c r="E11" s="322">
        <f t="shared" si="0"/>
        <v>1194992278.5799999</v>
      </c>
      <c r="F11" s="322">
        <f t="shared" si="0"/>
        <v>460295007.88999999</v>
      </c>
      <c r="G11" s="323">
        <f>SUM(G12:G13)</f>
        <v>7888887649.8408995</v>
      </c>
    </row>
    <row r="12" spans="1:7">
      <c r="A12" s="320">
        <v>5</v>
      </c>
      <c r="B12" s="324" t="s">
        <v>463</v>
      </c>
      <c r="C12" s="322">
        <v>2598262918.6620002</v>
      </c>
      <c r="D12" s="326">
        <v>2541166165.04</v>
      </c>
      <c r="E12" s="322">
        <v>950121998.91999996</v>
      </c>
      <c r="F12" s="322">
        <v>376151011</v>
      </c>
      <c r="G12" s="323">
        <v>6142416988.9408998</v>
      </c>
    </row>
    <row r="13" spans="1:7">
      <c r="A13" s="320">
        <v>6</v>
      </c>
      <c r="B13" s="324" t="s">
        <v>464</v>
      </c>
      <c r="C13" s="322">
        <v>2438149921.8899999</v>
      </c>
      <c r="D13" s="326">
        <v>725777123.27999997</v>
      </c>
      <c r="E13" s="322">
        <v>244870279.66</v>
      </c>
      <c r="F13" s="322">
        <v>84143996.890000001</v>
      </c>
      <c r="G13" s="323">
        <v>1746470660.8999999</v>
      </c>
    </row>
    <row r="14" spans="1:7">
      <c r="A14" s="320">
        <v>7</v>
      </c>
      <c r="B14" s="321" t="s">
        <v>465</v>
      </c>
      <c r="C14" s="322">
        <f t="shared" ref="C14:F14" si="1">SUM(C15:C16)</f>
        <v>5583377590.8865013</v>
      </c>
      <c r="D14" s="322">
        <f t="shared" si="1"/>
        <v>2941850013.2017994</v>
      </c>
      <c r="E14" s="322">
        <f t="shared" si="1"/>
        <v>129161128.98</v>
      </c>
      <c r="F14" s="322">
        <f t="shared" si="1"/>
        <v>20061441</v>
      </c>
      <c r="G14" s="323">
        <f>SUM(G15:G16)</f>
        <v>2675089393.5532517</v>
      </c>
    </row>
    <row r="15" spans="1:7" ht="51.75">
      <c r="A15" s="320">
        <v>8</v>
      </c>
      <c r="B15" s="324" t="s">
        <v>466</v>
      </c>
      <c r="C15" s="322">
        <v>4901398827.5765018</v>
      </c>
      <c r="D15" s="326">
        <v>800341449.54999995</v>
      </c>
      <c r="E15" s="322">
        <v>90973525.280000001</v>
      </c>
      <c r="F15" s="322">
        <v>19277381</v>
      </c>
      <c r="G15" s="323">
        <v>2655995591.7032518</v>
      </c>
    </row>
    <row r="16" spans="1:7" ht="26.25">
      <c r="A16" s="320">
        <v>9</v>
      </c>
      <c r="B16" s="324" t="s">
        <v>467</v>
      </c>
      <c r="C16" s="322">
        <v>681978763.30999994</v>
      </c>
      <c r="D16" s="326">
        <v>2141508563.6517997</v>
      </c>
      <c r="E16" s="322">
        <v>38187603.700000003</v>
      </c>
      <c r="F16" s="322">
        <v>784060</v>
      </c>
      <c r="G16" s="323">
        <v>19093801.850000001</v>
      </c>
    </row>
    <row r="17" spans="1:9">
      <c r="A17" s="320">
        <v>10</v>
      </c>
      <c r="B17" s="321" t="s">
        <v>468</v>
      </c>
      <c r="C17" s="322"/>
      <c r="D17" s="326"/>
      <c r="E17" s="322"/>
      <c r="F17" s="322"/>
      <c r="G17" s="323"/>
    </row>
    <row r="18" spans="1:9">
      <c r="A18" s="320">
        <v>11</v>
      </c>
      <c r="B18" s="321" t="s">
        <v>89</v>
      </c>
      <c r="C18" s="322">
        <f>SUM(C19:C20)</f>
        <v>0</v>
      </c>
      <c r="D18" s="326">
        <f t="shared" ref="D18:G18" si="2">SUM(D19:D20)</f>
        <v>596122370.95321584</v>
      </c>
      <c r="E18" s="322">
        <f t="shared" si="2"/>
        <v>20047477.202200003</v>
      </c>
      <c r="F18" s="322">
        <f t="shared" si="2"/>
        <v>8850340.5337000005</v>
      </c>
      <c r="G18" s="323">
        <f t="shared" si="2"/>
        <v>0</v>
      </c>
    </row>
    <row r="19" spans="1:9">
      <c r="A19" s="320">
        <v>12</v>
      </c>
      <c r="B19" s="324" t="s">
        <v>469</v>
      </c>
      <c r="C19" s="325"/>
      <c r="D19" s="326">
        <v>27533397.329999998</v>
      </c>
      <c r="E19" s="322">
        <v>16903.419999999998</v>
      </c>
      <c r="F19" s="322">
        <v>511019.95</v>
      </c>
      <c r="G19" s="323">
        <v>0</v>
      </c>
    </row>
    <row r="20" spans="1:9" ht="26.25">
      <c r="A20" s="320">
        <v>13</v>
      </c>
      <c r="B20" s="324" t="s">
        <v>470</v>
      </c>
      <c r="C20" s="322"/>
      <c r="D20" s="322">
        <v>568588973.62321579</v>
      </c>
      <c r="E20" s="322">
        <v>20030573.782200001</v>
      </c>
      <c r="F20" s="322">
        <v>8339320.5837000003</v>
      </c>
      <c r="G20" s="323">
        <v>0</v>
      </c>
    </row>
    <row r="21" spans="1:9">
      <c r="A21" s="327">
        <v>14</v>
      </c>
      <c r="B21" s="328" t="s">
        <v>471</v>
      </c>
      <c r="C21" s="329">
        <f>SUM(C8,C11,C14,C17,C18)</f>
        <v>14783132472.674263</v>
      </c>
      <c r="D21" s="329">
        <f t="shared" ref="D21:F21" si="3">SUM(D8,D11,D14,D17,D18)</f>
        <v>6804915672.4750147</v>
      </c>
      <c r="E21" s="329">
        <f t="shared" si="3"/>
        <v>1344200884.7621999</v>
      </c>
      <c r="F21" s="329">
        <f t="shared" si="3"/>
        <v>3054747701.6584997</v>
      </c>
      <c r="G21" s="329">
        <f>SUM(G8,G11,G14,G17,G18)</f>
        <v>17292859996.864716</v>
      </c>
      <c r="H21" s="668"/>
      <c r="I21" s="669"/>
    </row>
    <row r="22" spans="1:9">
      <c r="A22" s="330"/>
      <c r="B22" s="347" t="s">
        <v>472</v>
      </c>
      <c r="C22" s="331"/>
      <c r="D22" s="332"/>
      <c r="E22" s="331"/>
      <c r="F22" s="331"/>
      <c r="G22" s="333"/>
    </row>
    <row r="23" spans="1:9">
      <c r="A23" s="320">
        <v>15</v>
      </c>
      <c r="B23" s="321" t="s">
        <v>321</v>
      </c>
      <c r="C23" s="334">
        <v>4101970529.7079992</v>
      </c>
      <c r="D23" s="335">
        <v>4646038469.5080004</v>
      </c>
      <c r="E23" s="334"/>
      <c r="F23" s="334"/>
      <c r="G23" s="323">
        <v>286195199.22040004</v>
      </c>
    </row>
    <row r="24" spans="1:9">
      <c r="A24" s="320">
        <v>16</v>
      </c>
      <c r="B24" s="321" t="s">
        <v>473</v>
      </c>
      <c r="C24" s="322">
        <f>SUM(C25:C27,C29,C31)</f>
        <v>0</v>
      </c>
      <c r="D24" s="326">
        <f t="shared" ref="D24:G24" si="4">SUM(D25:D27,D29,D31)</f>
        <v>2409297478.9344993</v>
      </c>
      <c r="E24" s="322">
        <f t="shared" si="4"/>
        <v>1944814202.8990128</v>
      </c>
      <c r="F24" s="322">
        <f t="shared" si="4"/>
        <v>10289527522.281126</v>
      </c>
      <c r="G24" s="323">
        <f t="shared" si="4"/>
        <v>10368321307.51963</v>
      </c>
    </row>
    <row r="25" spans="1:9" ht="26.25">
      <c r="A25" s="320">
        <v>17</v>
      </c>
      <c r="B25" s="324" t="s">
        <v>474</v>
      </c>
      <c r="C25" s="322">
        <v>0</v>
      </c>
      <c r="D25" s="326">
        <v>118415794.26299995</v>
      </c>
      <c r="E25" s="322">
        <v>18207147.230000004</v>
      </c>
      <c r="F25" s="322">
        <v>31434906.289999999</v>
      </c>
      <c r="G25" s="323">
        <v>47533066.503449999</v>
      </c>
    </row>
    <row r="26" spans="1:9" ht="26.25">
      <c r="A26" s="320">
        <v>18</v>
      </c>
      <c r="B26" s="324" t="s">
        <v>475</v>
      </c>
      <c r="C26" s="322">
        <v>0</v>
      </c>
      <c r="D26" s="326">
        <v>1958348941.8176446</v>
      </c>
      <c r="E26" s="322">
        <v>1653139646.7514522</v>
      </c>
      <c r="F26" s="322">
        <v>5940084625.1108294</v>
      </c>
      <c r="G26" s="323">
        <v>6854816225.6287489</v>
      </c>
    </row>
    <row r="27" spans="1:9">
      <c r="A27" s="320">
        <v>19</v>
      </c>
      <c r="B27" s="324" t="s">
        <v>476</v>
      </c>
      <c r="C27" s="322"/>
      <c r="D27" s="326"/>
      <c r="E27" s="322"/>
      <c r="F27" s="322"/>
      <c r="G27" s="323"/>
    </row>
    <row r="28" spans="1:9">
      <c r="A28" s="320">
        <v>20</v>
      </c>
      <c r="B28" s="336" t="s">
        <v>477</v>
      </c>
      <c r="C28" s="322"/>
      <c r="D28" s="326"/>
      <c r="E28" s="322"/>
      <c r="F28" s="322"/>
      <c r="G28" s="323"/>
    </row>
    <row r="29" spans="1:9">
      <c r="A29" s="320">
        <v>21</v>
      </c>
      <c r="B29" s="324" t="s">
        <v>478</v>
      </c>
      <c r="C29" s="322">
        <v>0</v>
      </c>
      <c r="D29" s="326">
        <v>311028128.61325473</v>
      </c>
      <c r="E29" s="322">
        <v>269464911.68016052</v>
      </c>
      <c r="F29" s="322">
        <v>3944935234.8613977</v>
      </c>
      <c r="G29" s="323">
        <v>3136106617.0323672</v>
      </c>
    </row>
    <row r="30" spans="1:9">
      <c r="A30" s="320">
        <v>22</v>
      </c>
      <c r="B30" s="336" t="s">
        <v>477</v>
      </c>
      <c r="C30" s="322"/>
      <c r="D30" s="326">
        <v>202439276.36869174</v>
      </c>
      <c r="E30" s="322">
        <v>182422748.30681008</v>
      </c>
      <c r="F30" s="322">
        <v>2536674263.7326441</v>
      </c>
      <c r="G30" s="323">
        <v>1841269283.7639687</v>
      </c>
    </row>
    <row r="31" spans="1:9" ht="26.25">
      <c r="A31" s="320">
        <v>23</v>
      </c>
      <c r="B31" s="324" t="s">
        <v>479</v>
      </c>
      <c r="C31" s="322"/>
      <c r="D31" s="326">
        <v>21504614.240600001</v>
      </c>
      <c r="E31" s="322">
        <v>4002497.2374</v>
      </c>
      <c r="F31" s="322">
        <v>373072756.01889998</v>
      </c>
      <c r="G31" s="323">
        <v>329865398.35506499</v>
      </c>
    </row>
    <row r="32" spans="1:9">
      <c r="A32" s="320">
        <v>24</v>
      </c>
      <c r="B32" s="321" t="s">
        <v>480</v>
      </c>
      <c r="C32" s="322"/>
      <c r="D32" s="326"/>
      <c r="E32" s="322"/>
      <c r="F32" s="322"/>
      <c r="G32" s="323"/>
    </row>
    <row r="33" spans="1:9">
      <c r="A33" s="320">
        <v>25</v>
      </c>
      <c r="B33" s="321" t="s">
        <v>99</v>
      </c>
      <c r="C33" s="322">
        <f>SUM(C34:C35)</f>
        <v>914467794.94369996</v>
      </c>
      <c r="D33" s="322">
        <f>SUM(D34:D35)</f>
        <v>448768423.25625157</v>
      </c>
      <c r="E33" s="322">
        <f>SUM(E34:E35)</f>
        <v>178409592.9925999</v>
      </c>
      <c r="F33" s="322">
        <f>SUM(F34:F35)</f>
        <v>1088133224.550797</v>
      </c>
      <c r="G33" s="323">
        <f>SUM(G34:G35)</f>
        <v>2382941117.5284662</v>
      </c>
    </row>
    <row r="34" spans="1:9">
      <c r="A34" s="320">
        <v>26</v>
      </c>
      <c r="B34" s="324" t="s">
        <v>481</v>
      </c>
      <c r="C34" s="325"/>
      <c r="D34" s="326">
        <v>11451630.119999999</v>
      </c>
      <c r="E34" s="322">
        <v>7252381.8500000006</v>
      </c>
      <c r="F34" s="322">
        <v>560095.51</v>
      </c>
      <c r="G34" s="323">
        <v>19264107.48</v>
      </c>
    </row>
    <row r="35" spans="1:9">
      <c r="A35" s="320">
        <v>27</v>
      </c>
      <c r="B35" s="324" t="s">
        <v>482</v>
      </c>
      <c r="C35" s="322">
        <v>914467794.94369996</v>
      </c>
      <c r="D35" s="326">
        <v>437316793.13625157</v>
      </c>
      <c r="E35" s="322">
        <v>171157211.14259991</v>
      </c>
      <c r="F35" s="322">
        <v>1087573129.040797</v>
      </c>
      <c r="G35" s="323">
        <v>2363677010.0484662</v>
      </c>
    </row>
    <row r="36" spans="1:9">
      <c r="A36" s="320">
        <v>28</v>
      </c>
      <c r="B36" s="321" t="s">
        <v>483</v>
      </c>
      <c r="C36" s="322">
        <v>727166082.09060001</v>
      </c>
      <c r="D36" s="326">
        <v>484528373.54210001</v>
      </c>
      <c r="E36" s="322">
        <v>528491695.04689997</v>
      </c>
      <c r="F36" s="322">
        <v>752278933.86300004</v>
      </c>
      <c r="G36" s="323">
        <v>250502151.04287499</v>
      </c>
    </row>
    <row r="37" spans="1:9">
      <c r="A37" s="327">
        <v>29</v>
      </c>
      <c r="B37" s="328" t="s">
        <v>484</v>
      </c>
      <c r="C37" s="329">
        <f>SUM(C23:C24,C32:C33,C36)</f>
        <v>5743604406.7422991</v>
      </c>
      <c r="D37" s="329">
        <f>SUM(D23:D24,D32:D33,D36)</f>
        <v>7988632745.2408504</v>
      </c>
      <c r="E37" s="329">
        <f>SUM(E23:E24,E32:E33,E36)</f>
        <v>2651715490.9385128</v>
      </c>
      <c r="F37" s="329">
        <f>SUM(F23:F24,F32:F33,F36)</f>
        <v>12129939680.694923</v>
      </c>
      <c r="G37" s="329">
        <f>SUM(G23:G24,G32:G33,G36)</f>
        <v>13287959775.311373</v>
      </c>
      <c r="H37" s="668"/>
      <c r="I37" s="669"/>
    </row>
    <row r="38" spans="1:9">
      <c r="A38" s="316"/>
      <c r="B38" s="337"/>
      <c r="C38" s="338"/>
      <c r="D38" s="338"/>
      <c r="E38" s="338"/>
      <c r="F38" s="338"/>
      <c r="G38" s="339"/>
    </row>
    <row r="39" spans="1:9" ht="15.75" thickBot="1">
      <c r="A39" s="340">
        <v>30</v>
      </c>
      <c r="B39" s="341" t="s">
        <v>452</v>
      </c>
      <c r="C39" s="212"/>
      <c r="D39" s="192"/>
      <c r="E39" s="192"/>
      <c r="F39" s="342"/>
      <c r="G39" s="343">
        <f>IFERROR(G21/G37,0)</f>
        <v>1.3013931626278947</v>
      </c>
    </row>
    <row r="42" spans="1:9" ht="39">
      <c r="B42" s="21" t="s">
        <v>485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70" zoomScaleNormal="70" workbookViewId="0">
      <pane xSplit="1" ySplit="5" topLeftCell="B6" activePane="bottomRight" state="frozen"/>
      <selection pane="topRight" activeCell="B1" sqref="B1"/>
      <selection pane="bottomLeft" activeCell="A6" sqref="A6"/>
      <selection pane="bottomRight" activeCell="B6" sqref="B6"/>
    </sheetView>
  </sheetViews>
  <sheetFormatPr defaultRowHeight="30.75" customHeight="1"/>
  <cols>
    <col min="1" max="1" width="9.5703125" style="17" bestFit="1" customWidth="1"/>
    <col min="2" max="2" width="88.42578125" style="14" customWidth="1"/>
    <col min="3" max="3" width="23.140625" style="14" customWidth="1"/>
    <col min="4" max="4" width="17.7109375" style="2" customWidth="1"/>
    <col min="5" max="5" width="18.140625" style="2" customWidth="1"/>
    <col min="6" max="6" width="19.7109375" style="2" customWidth="1"/>
    <col min="7" max="7" width="17.5703125" style="2" customWidth="1"/>
    <col min="8" max="8" width="21.85546875" customWidth="1"/>
    <col min="9" max="9" width="17.7109375" style="201" customWidth="1"/>
    <col min="10" max="10" width="18.140625" style="201" customWidth="1"/>
    <col min="11" max="11" width="19.7109375" style="201" customWidth="1"/>
    <col min="12" max="12" width="17.5703125" style="201" customWidth="1"/>
  </cols>
  <sheetData>
    <row r="1" spans="1:12" ht="30.75" customHeight="1">
      <c r="A1" s="15" t="s">
        <v>108</v>
      </c>
      <c r="B1" s="276" t="str">
        <f>Info!C2</f>
        <v>სს ”საქართველოს ბანკი”</v>
      </c>
      <c r="D1" s="14"/>
      <c r="E1" s="14"/>
      <c r="F1" s="14"/>
      <c r="G1" s="14"/>
      <c r="H1" s="14"/>
      <c r="I1" s="14"/>
      <c r="J1" s="14"/>
      <c r="K1" s="14"/>
      <c r="L1" s="14"/>
    </row>
    <row r="2" spans="1:12" ht="30.75" customHeight="1">
      <c r="A2" s="15" t="s">
        <v>109</v>
      </c>
      <c r="B2" s="308">
        <v>45016</v>
      </c>
      <c r="D2" s="14"/>
      <c r="E2" s="14"/>
      <c r="F2" s="14"/>
      <c r="G2" s="14"/>
      <c r="H2" s="14"/>
      <c r="I2" s="14"/>
      <c r="J2" s="14"/>
      <c r="K2" s="14"/>
      <c r="L2" s="14"/>
    </row>
    <row r="3" spans="1:12" ht="30.75" customHeight="1" thickBot="1">
      <c r="A3" s="15"/>
      <c r="D3" s="14"/>
      <c r="E3" s="14"/>
      <c r="F3" s="14"/>
      <c r="G3" s="14"/>
      <c r="H3" s="14"/>
      <c r="I3" s="14"/>
      <c r="J3" s="14"/>
      <c r="K3" s="14"/>
      <c r="L3" s="14"/>
    </row>
    <row r="4" spans="1:12" ht="30.75" customHeight="1" thickBot="1">
      <c r="A4" s="37" t="s">
        <v>251</v>
      </c>
      <c r="B4" s="121" t="s">
        <v>139</v>
      </c>
      <c r="D4" s="14"/>
      <c r="E4" s="14"/>
      <c r="F4" s="14"/>
      <c r="G4" s="14"/>
      <c r="H4" s="1"/>
      <c r="I4" s="14" t="s">
        <v>934</v>
      </c>
      <c r="J4" s="558"/>
      <c r="K4" s="558"/>
      <c r="L4" s="559"/>
    </row>
    <row r="5" spans="1:12" ht="30.75" customHeight="1">
      <c r="A5" s="178" t="s">
        <v>25</v>
      </c>
      <c r="B5" s="179"/>
      <c r="C5" s="297" t="str">
        <f>INT((MONTH($B$2))/3)&amp;"Q"&amp;"-"&amp;YEAR($B$2)</f>
        <v>1Q-2023</v>
      </c>
      <c r="D5" s="297" t="str">
        <f>IF(INT(MONTH($B$2))=3, "4"&amp;"Q"&amp;"-"&amp;YEAR($B$2)-1, IF(INT(MONTH($B$2))=6, "1"&amp;"Q"&amp;"-"&amp;YEAR($B$2), IF(INT(MONTH($B$2))=9, "2"&amp;"Q"&amp;"-"&amp;YEAR($B$2),IF(INT(MONTH($B$2))=12, "3"&amp;"Q"&amp;"-"&amp;YEAR($B$2), 0))))</f>
        <v>4Q-2022</v>
      </c>
      <c r="E5" s="297" t="str">
        <f>IF(INT(MONTH($B$2))=3, "3"&amp;"Q"&amp;"-"&amp;YEAR($B$2)-1, IF(INT(MONTH($B$2))=6, "4"&amp;"Q"&amp;"-"&amp;YEAR($B$2)-1, IF(INT(MONTH($B$2))=9, "1"&amp;"Q"&amp;"-"&amp;YEAR($B$2),IF(INT(MONTH($B$2))=12, "2"&amp;"Q"&amp;"-"&amp;YEAR($B$2), 0))))</f>
        <v>3Q-2022</v>
      </c>
      <c r="F5" s="297" t="str">
        <f>IF(INT(MONTH($B$2))=3, "2"&amp;"Q"&amp;"-"&amp;YEAR($B$2)-1, IF(INT(MONTH($B$2))=6, "3"&amp;"Q"&amp;"-"&amp;YEAR($B$2)-1, IF(INT(MONTH($B$2))=9, "4"&amp;"Q"&amp;"-"&amp;YEAR($B$2)-1,IF(INT(MONTH($B$2))=12, "1"&amp;"Q"&amp;"-"&amp;YEAR($B$2), 0))))</f>
        <v>2Q-2022</v>
      </c>
      <c r="G5" s="298" t="str">
        <f>IF(INT(MONTH($B$2))=3, "1"&amp;"Q"&amp;"-"&amp;YEAR($B$2)-1, IF(INT(MONTH($B$2))=6, "2"&amp;"Q"&amp;"-"&amp;YEAR($B$2)-1, IF(INT(MONTH($B$2))=9, "3"&amp;"Q"&amp;"-"&amp;YEAR($B$2)-1,IF(INT(MONTH($B$2))=12, "4"&amp;"Q"&amp;"-"&amp;YEAR($B$2)-1, 0))))</f>
        <v>1Q-2022</v>
      </c>
      <c r="I5" s="297" t="str">
        <f>D5</f>
        <v>4Q-2022</v>
      </c>
      <c r="J5" s="297" t="str">
        <f t="shared" ref="J5:L5" si="0">E5</f>
        <v>3Q-2022</v>
      </c>
      <c r="K5" s="297" t="str">
        <f t="shared" si="0"/>
        <v>2Q-2022</v>
      </c>
      <c r="L5" s="298" t="str">
        <f t="shared" si="0"/>
        <v>1Q-2022</v>
      </c>
    </row>
    <row r="6" spans="1:12" ht="30.75" customHeight="1">
      <c r="A6" s="299"/>
      <c r="B6" s="300" t="s">
        <v>106</v>
      </c>
      <c r="C6" s="180"/>
      <c r="D6" s="180"/>
      <c r="E6" s="180"/>
      <c r="F6" s="180"/>
      <c r="G6" s="181"/>
      <c r="I6" s="180"/>
      <c r="J6" s="180"/>
      <c r="K6" s="180"/>
      <c r="L6" s="181"/>
    </row>
    <row r="7" spans="1:12" ht="30.75" customHeight="1">
      <c r="A7" s="299"/>
      <c r="B7" s="301" t="s">
        <v>110</v>
      </c>
      <c r="C7" s="180"/>
      <c r="D7" s="180"/>
      <c r="E7" s="180"/>
      <c r="F7" s="180"/>
      <c r="G7" s="181"/>
      <c r="I7" s="180"/>
      <c r="J7" s="180"/>
      <c r="K7" s="180"/>
      <c r="L7" s="181"/>
    </row>
    <row r="8" spans="1:12" ht="30.75" customHeight="1">
      <c r="A8" s="281">
        <v>1</v>
      </c>
      <c r="B8" s="282" t="s">
        <v>22</v>
      </c>
      <c r="C8" s="552">
        <v>3819677641.2357626</v>
      </c>
      <c r="D8" s="552">
        <v>3557672511.5713964</v>
      </c>
      <c r="E8" s="552">
        <v>3446489628.4953346</v>
      </c>
      <c r="F8" s="552">
        <v>3174531656.4303207</v>
      </c>
      <c r="G8" s="552">
        <v>3066487243.2941051</v>
      </c>
      <c r="I8" s="552">
        <v>2982748457.1136999</v>
      </c>
      <c r="J8" s="552">
        <v>2877676706.3160996</v>
      </c>
      <c r="K8" s="552">
        <v>2593577741.0823002</v>
      </c>
      <c r="L8" s="552">
        <v>2514520836.8166003</v>
      </c>
    </row>
    <row r="9" spans="1:12" ht="30.75" customHeight="1">
      <c r="A9" s="281">
        <v>2</v>
      </c>
      <c r="B9" s="282" t="s">
        <v>86</v>
      </c>
      <c r="C9" s="552">
        <v>4203737641.2357626</v>
      </c>
      <c r="D9" s="552">
        <v>3962972511.5713964</v>
      </c>
      <c r="E9" s="552">
        <v>3871769628.4953346</v>
      </c>
      <c r="F9" s="552">
        <v>3613866656.4303207</v>
      </c>
      <c r="G9" s="552">
        <v>3381647243.2941051</v>
      </c>
      <c r="I9" s="552">
        <v>3388048457.1136999</v>
      </c>
      <c r="J9" s="552">
        <v>3302956706.3160996</v>
      </c>
      <c r="K9" s="552">
        <v>3032912741.0823002</v>
      </c>
      <c r="L9" s="552">
        <v>2824650836.8166003</v>
      </c>
    </row>
    <row r="10" spans="1:12" ht="30.75" customHeight="1">
      <c r="A10" s="281">
        <v>3</v>
      </c>
      <c r="B10" s="282" t="s">
        <v>85</v>
      </c>
      <c r="C10" s="552">
        <v>4580116441.2357626</v>
      </c>
      <c r="D10" s="552">
        <v>4360166511.5713959</v>
      </c>
      <c r="E10" s="552">
        <v>4288544028.4953346</v>
      </c>
      <c r="F10" s="552">
        <v>4044414956.4303207</v>
      </c>
      <c r="G10" s="552">
        <v>3951707147.7610517</v>
      </c>
      <c r="I10" s="552">
        <v>4006280547.7389746</v>
      </c>
      <c r="J10" s="552">
        <v>3936572930.3212585</v>
      </c>
      <c r="K10" s="552">
        <v>3668109512.6808996</v>
      </c>
      <c r="L10" s="552">
        <v>3614845661.5376267</v>
      </c>
    </row>
    <row r="11" spans="1:12" ht="30.75" customHeight="1">
      <c r="A11" s="281">
        <v>4</v>
      </c>
      <c r="B11" s="282" t="s">
        <v>444</v>
      </c>
      <c r="C11" s="552">
        <v>2855134659.7230096</v>
      </c>
      <c r="D11" s="552">
        <v>2914110647.4147873</v>
      </c>
      <c r="E11" s="552">
        <v>2721215891.1107802</v>
      </c>
      <c r="F11" s="552">
        <v>2596407349.7076807</v>
      </c>
      <c r="G11" s="552">
        <v>2582835466.2786393</v>
      </c>
      <c r="I11" s="552">
        <v>2353590996.5320168</v>
      </c>
      <c r="J11" s="552">
        <v>2254945392.0050201</v>
      </c>
      <c r="K11" s="552">
        <v>2170810718.8780918</v>
      </c>
      <c r="L11" s="552">
        <v>2165524560.7191391</v>
      </c>
    </row>
    <row r="12" spans="1:12" ht="30.75" customHeight="1">
      <c r="A12" s="281">
        <v>5</v>
      </c>
      <c r="B12" s="282" t="s">
        <v>445</v>
      </c>
      <c r="C12" s="552">
        <v>3290269862.0242205</v>
      </c>
      <c r="D12" s="552">
        <v>3358592822.0696516</v>
      </c>
      <c r="E12" s="552">
        <v>3153413560.9406104</v>
      </c>
      <c r="F12" s="552">
        <v>3016954431.6163802</v>
      </c>
      <c r="G12" s="552">
        <v>3005961866.6369934</v>
      </c>
      <c r="I12" s="552">
        <v>2801374929.8888588</v>
      </c>
      <c r="J12" s="552">
        <v>2684299782.806345</v>
      </c>
      <c r="K12" s="552">
        <v>2587672385.437727</v>
      </c>
      <c r="L12" s="552">
        <v>2582484303.9510574</v>
      </c>
    </row>
    <row r="13" spans="1:12" ht="30.75" customHeight="1">
      <c r="A13" s="281">
        <v>6</v>
      </c>
      <c r="B13" s="282" t="s">
        <v>446</v>
      </c>
      <c r="C13" s="552">
        <v>3867981827.7161779</v>
      </c>
      <c r="D13" s="552">
        <v>4045687486.3451557</v>
      </c>
      <c r="E13" s="552">
        <v>3821246948.731493</v>
      </c>
      <c r="F13" s="552">
        <v>3664544485.1957335</v>
      </c>
      <c r="G13" s="552">
        <v>3658523581.0553098</v>
      </c>
      <c r="I13" s="552">
        <v>3494089019.8147717</v>
      </c>
      <c r="J13" s="552">
        <v>3347960875.882175</v>
      </c>
      <c r="K13" s="552">
        <v>3229808487.8750329</v>
      </c>
      <c r="L13" s="552">
        <v>3225579975.0055032</v>
      </c>
    </row>
    <row r="14" spans="1:12" ht="30.75" customHeight="1">
      <c r="A14" s="299"/>
      <c r="B14" s="300" t="s">
        <v>448</v>
      </c>
      <c r="C14" s="180"/>
      <c r="D14" s="180"/>
      <c r="E14" s="180"/>
      <c r="F14" s="180"/>
      <c r="G14" s="180"/>
      <c r="I14" s="180"/>
      <c r="J14" s="180"/>
      <c r="K14" s="180"/>
      <c r="L14" s="180"/>
    </row>
    <row r="15" spans="1:12" ht="30.75" customHeight="1">
      <c r="A15" s="281">
        <v>7</v>
      </c>
      <c r="B15" s="282" t="s">
        <v>447</v>
      </c>
      <c r="C15" s="553">
        <v>19629458123.386345</v>
      </c>
      <c r="D15" s="553">
        <v>20067386138.757961</v>
      </c>
      <c r="E15" s="553">
        <v>19487517345.256264</v>
      </c>
      <c r="F15" s="553">
        <v>18604557827.221214</v>
      </c>
      <c r="G15" s="553">
        <v>18648451612.393517</v>
      </c>
      <c r="I15" s="553">
        <v>20279423868.18718</v>
      </c>
      <c r="J15" s="553">
        <v>19410174618.021389</v>
      </c>
      <c r="K15" s="553">
        <v>18482318517.519821</v>
      </c>
      <c r="L15" s="553">
        <v>18371887831.583778</v>
      </c>
    </row>
    <row r="16" spans="1:12" ht="30.75" customHeight="1">
      <c r="A16" s="299"/>
      <c r="B16" s="300" t="s">
        <v>451</v>
      </c>
      <c r="C16" s="180"/>
      <c r="D16" s="180"/>
      <c r="E16" s="180"/>
      <c r="F16" s="180"/>
      <c r="G16" s="180"/>
      <c r="I16" s="180"/>
      <c r="J16" s="180"/>
      <c r="K16" s="180"/>
      <c r="L16" s="180"/>
    </row>
    <row r="17" spans="1:12" s="3" customFormat="1" ht="30.75" customHeight="1">
      <c r="A17" s="281"/>
      <c r="B17" s="301" t="s">
        <v>434</v>
      </c>
      <c r="C17" s="180"/>
      <c r="D17" s="180"/>
      <c r="E17" s="180"/>
      <c r="F17" s="180"/>
      <c r="G17" s="180"/>
      <c r="I17" s="180"/>
      <c r="J17" s="180"/>
      <c r="K17" s="180"/>
      <c r="L17" s="180"/>
    </row>
    <row r="18" spans="1:12" ht="30.75" customHeight="1">
      <c r="A18" s="280">
        <v>8</v>
      </c>
      <c r="B18" s="302" t="s">
        <v>442</v>
      </c>
      <c r="C18" s="554">
        <v>0.19458905168070004</v>
      </c>
      <c r="D18" s="554">
        <v>0.17728629363941631</v>
      </c>
      <c r="E18" s="554">
        <v>0.17685626996166826</v>
      </c>
      <c r="F18" s="554">
        <v>0.17063193255716685</v>
      </c>
      <c r="G18" s="554">
        <v>0.16443656058051265</v>
      </c>
      <c r="I18" s="554">
        <v>0.14708250473490073</v>
      </c>
      <c r="J18" s="554">
        <v>0.14825609573055148</v>
      </c>
      <c r="K18" s="554">
        <v>0.14032751024303511</v>
      </c>
      <c r="L18" s="554">
        <v>0.13686785265985549</v>
      </c>
    </row>
    <row r="19" spans="1:12" ht="30.75" customHeight="1">
      <c r="A19" s="280">
        <v>9</v>
      </c>
      <c r="B19" s="302" t="s">
        <v>441</v>
      </c>
      <c r="C19" s="555">
        <v>0.21415454338128012</v>
      </c>
      <c r="D19" s="555">
        <v>0.1974832439147293</v>
      </c>
      <c r="E19" s="555">
        <v>0.19867947055030166</v>
      </c>
      <c r="F19" s="555">
        <v>0.19424630727545164</v>
      </c>
      <c r="G19" s="555">
        <v>0.181336623199682</v>
      </c>
      <c r="I19" s="555">
        <v>0.16706827960870294</v>
      </c>
      <c r="J19" s="555">
        <v>0.17016625410723854</v>
      </c>
      <c r="K19" s="555">
        <v>0.16409806692852585</v>
      </c>
      <c r="L19" s="555">
        <v>0.15374853486535231</v>
      </c>
    </row>
    <row r="20" spans="1:12" ht="30.75" customHeight="1">
      <c r="A20" s="280">
        <v>10</v>
      </c>
      <c r="B20" s="302" t="s">
        <v>443</v>
      </c>
      <c r="C20" s="554">
        <v>0.23332872524784862</v>
      </c>
      <c r="D20" s="554">
        <v>0.21727625518453603</v>
      </c>
      <c r="E20" s="554">
        <v>0.22006620712716238</v>
      </c>
      <c r="F20" s="554">
        <v>0.21738839449937072</v>
      </c>
      <c r="G20" s="554">
        <v>0.21190537584014743</v>
      </c>
      <c r="I20" s="554">
        <v>0.19755396276438225</v>
      </c>
      <c r="J20" s="554">
        <v>0.20280976383727867</v>
      </c>
      <c r="K20" s="554">
        <v>0.19846587478750638</v>
      </c>
      <c r="L20" s="554">
        <v>0.19675961962511085</v>
      </c>
    </row>
    <row r="21" spans="1:12" ht="30.75" customHeight="1">
      <c r="A21" s="280">
        <v>11</v>
      </c>
      <c r="B21" s="282" t="s">
        <v>444</v>
      </c>
      <c r="C21" s="554">
        <v>0.14545152707610559</v>
      </c>
      <c r="D21" s="554">
        <v>0.14521625423784024</v>
      </c>
      <c r="E21" s="554">
        <v>0.13963892079732723</v>
      </c>
      <c r="F21" s="554">
        <v>0.1395575951774975</v>
      </c>
      <c r="G21" s="554">
        <v>0.13850133619469623</v>
      </c>
      <c r="I21" s="554">
        <v>0.1160580799449708</v>
      </c>
      <c r="J21" s="554">
        <v>0.11617336970845253</v>
      </c>
      <c r="K21" s="554">
        <v>0.11745337668649794</v>
      </c>
      <c r="L21" s="554">
        <v>0.11787164065939415</v>
      </c>
    </row>
    <row r="22" spans="1:12" ht="30.75" customHeight="1">
      <c r="A22" s="280">
        <v>12</v>
      </c>
      <c r="B22" s="282" t="s">
        <v>445</v>
      </c>
      <c r="C22" s="554">
        <v>0.16761898577853379</v>
      </c>
      <c r="D22" s="554">
        <v>0.16736573457281997</v>
      </c>
      <c r="E22" s="554">
        <v>0.16181710092015533</v>
      </c>
      <c r="F22" s="554">
        <v>0.16216211423214427</v>
      </c>
      <c r="G22" s="554">
        <v>0.16119096261264235</v>
      </c>
      <c r="I22" s="554">
        <v>0.13813878284202358</v>
      </c>
      <c r="J22" s="554">
        <v>0.13829343813909356</v>
      </c>
      <c r="K22" s="554">
        <v>0.14000799645265349</v>
      </c>
      <c r="L22" s="554">
        <v>0.14056717130133001</v>
      </c>
    </row>
    <row r="23" spans="1:12" ht="30.75" customHeight="1">
      <c r="A23" s="280">
        <v>13</v>
      </c>
      <c r="B23" s="282" t="s">
        <v>446</v>
      </c>
      <c r="C23" s="554">
        <v>0.1970498524922551</v>
      </c>
      <c r="D23" s="554">
        <v>0.20160510483880872</v>
      </c>
      <c r="E23" s="554">
        <v>0.19608690430039194</v>
      </c>
      <c r="F23" s="554">
        <v>0.19697025423705389</v>
      </c>
      <c r="G23" s="554">
        <v>0.19618377209526086</v>
      </c>
      <c r="I23" s="554">
        <v>0.17229725274868549</v>
      </c>
      <c r="J23" s="554">
        <v>0.17248484064505831</v>
      </c>
      <c r="K23" s="554">
        <v>0.17475126212187189</v>
      </c>
      <c r="L23" s="554">
        <v>0.17557150384188019</v>
      </c>
    </row>
    <row r="24" spans="1:12" ht="30.75" customHeight="1">
      <c r="A24" s="299"/>
      <c r="B24" s="300" t="s">
        <v>6</v>
      </c>
      <c r="C24" s="180"/>
      <c r="D24" s="180"/>
      <c r="E24" s="180"/>
      <c r="F24" s="180"/>
      <c r="G24" s="180"/>
      <c r="I24" s="180"/>
      <c r="J24" s="180"/>
      <c r="K24" s="180"/>
      <c r="L24" s="180"/>
    </row>
    <row r="25" spans="1:12" ht="30.75" customHeight="1">
      <c r="A25" s="303">
        <v>14</v>
      </c>
      <c r="B25" s="304" t="s">
        <v>7</v>
      </c>
      <c r="C25" s="556">
        <v>9.2768633717890223E-2</v>
      </c>
      <c r="D25" s="556">
        <v>8.8114790879296287E-2</v>
      </c>
      <c r="E25" s="556">
        <v>8.7680168716091453E-2</v>
      </c>
      <c r="F25" s="556">
        <v>8.7725836976243809E-2</v>
      </c>
      <c r="G25" s="556">
        <v>8.6519868287722609E-2</v>
      </c>
      <c r="I25" s="556">
        <v>8.8767534418935784E-2</v>
      </c>
      <c r="J25" s="556">
        <v>8.8127316583087964E-2</v>
      </c>
      <c r="K25" s="556">
        <v>8.83330405426236E-2</v>
      </c>
      <c r="L25" s="556">
        <v>8.7949386421149467E-2</v>
      </c>
    </row>
    <row r="26" spans="1:12" ht="30.75" customHeight="1">
      <c r="A26" s="303">
        <v>15</v>
      </c>
      <c r="B26" s="304" t="s">
        <v>8</v>
      </c>
      <c r="C26" s="556">
        <v>3.861247605381958E-2</v>
      </c>
      <c r="D26" s="556">
        <v>4.1973210181174024E-2</v>
      </c>
      <c r="E26" s="556">
        <v>4.2657799545441015E-2</v>
      </c>
      <c r="F26" s="556">
        <v>4.2699415326267122E-2</v>
      </c>
      <c r="G26" s="556">
        <v>4.1426815545544546E-2</v>
      </c>
      <c r="I26" s="556">
        <v>4.2714003128115741E-2</v>
      </c>
      <c r="J26" s="556">
        <v>4.3246190057616408E-2</v>
      </c>
      <c r="K26" s="556">
        <v>4.3415470221104348E-2</v>
      </c>
      <c r="L26" s="556">
        <v>4.2388544781760296E-2</v>
      </c>
    </row>
    <row r="27" spans="1:12" ht="30.75" customHeight="1">
      <c r="A27" s="303">
        <v>16</v>
      </c>
      <c r="B27" s="304" t="s">
        <v>9</v>
      </c>
      <c r="C27" s="556">
        <v>5.7088555461420276E-2</v>
      </c>
      <c r="D27" s="556">
        <v>5.2087845896672279E-2</v>
      </c>
      <c r="E27" s="556">
        <v>5.0243739736473385E-2</v>
      </c>
      <c r="F27" s="556">
        <v>4.8241386486971939E-2</v>
      </c>
      <c r="G27" s="556">
        <v>4.386830797875476E-2</v>
      </c>
      <c r="I27" s="556">
        <v>4.9921691511836966E-2</v>
      </c>
      <c r="J27" s="556">
        <v>4.8715422466855673E-2</v>
      </c>
      <c r="K27" s="556">
        <v>4.6221228412970529E-2</v>
      </c>
      <c r="L27" s="556">
        <v>4.4034677117811678E-2</v>
      </c>
    </row>
    <row r="28" spans="1:12" ht="30.75" customHeight="1">
      <c r="A28" s="303">
        <v>17</v>
      </c>
      <c r="B28" s="304" t="s">
        <v>140</v>
      </c>
      <c r="C28" s="556">
        <v>5.4156157664070642E-2</v>
      </c>
      <c r="D28" s="556">
        <v>4.614158069812227E-2</v>
      </c>
      <c r="E28" s="556">
        <v>4.5022369170650431E-2</v>
      </c>
      <c r="F28" s="556">
        <v>4.5026421649976688E-2</v>
      </c>
      <c r="G28" s="556">
        <v>1.503101758072602E-2</v>
      </c>
      <c r="I28" s="556">
        <v>4.605353129082005E-2</v>
      </c>
      <c r="J28" s="556">
        <v>4.4881126525471562E-2</v>
      </c>
      <c r="K28" s="556">
        <v>4.4917570321519253E-2</v>
      </c>
      <c r="L28" s="556">
        <v>4.5560841639389164E-2</v>
      </c>
    </row>
    <row r="29" spans="1:12" ht="30.75" customHeight="1">
      <c r="A29" s="303">
        <v>18</v>
      </c>
      <c r="B29" s="304" t="s">
        <v>10</v>
      </c>
      <c r="C29" s="556">
        <v>4.2890222353269288E-2</v>
      </c>
      <c r="D29" s="556">
        <v>3.9388602337700328E-2</v>
      </c>
      <c r="E29" s="556">
        <v>4.0543324273692713E-2</v>
      </c>
      <c r="F29" s="556">
        <v>3.9243862343490671E-2</v>
      </c>
      <c r="G29" s="556">
        <v>1.2234067274784089E-2</v>
      </c>
      <c r="I29" s="556">
        <v>3.5783648087918236E-2</v>
      </c>
      <c r="J29" s="556">
        <v>3.6645790239328672E-2</v>
      </c>
      <c r="K29" s="556">
        <v>3.199767405055625E-2</v>
      </c>
      <c r="L29" s="556">
        <v>2.8065278314140046E-2</v>
      </c>
    </row>
    <row r="30" spans="1:12" ht="30.75" customHeight="1">
      <c r="A30" s="303">
        <v>19</v>
      </c>
      <c r="B30" s="304" t="s">
        <v>11</v>
      </c>
      <c r="C30" s="556">
        <v>0.28951508462138309</v>
      </c>
      <c r="D30" s="556">
        <v>0.28544320613548568</v>
      </c>
      <c r="E30" s="556">
        <v>0.29442621296971527</v>
      </c>
      <c r="F30" s="556">
        <v>0.28519937210086355</v>
      </c>
      <c r="G30" s="556">
        <v>0.26795721152910645</v>
      </c>
      <c r="I30" s="556">
        <v>0.3099131705906864</v>
      </c>
      <c r="J30" s="556">
        <v>0.31927712643315065</v>
      </c>
      <c r="K30" s="556">
        <v>0.27839520275475316</v>
      </c>
      <c r="L30" s="556">
        <v>0.24323123414107117</v>
      </c>
    </row>
    <row r="31" spans="1:12" ht="30.75" customHeight="1">
      <c r="A31" s="299"/>
      <c r="B31" s="300" t="s">
        <v>12</v>
      </c>
      <c r="C31" s="180"/>
      <c r="D31" s="180"/>
      <c r="E31" s="180"/>
      <c r="F31" s="180"/>
      <c r="G31" s="180"/>
      <c r="I31" s="180"/>
      <c r="J31" s="180"/>
      <c r="K31" s="180"/>
      <c r="L31" s="180"/>
    </row>
    <row r="32" spans="1:12" ht="30.75" customHeight="1">
      <c r="A32" s="303">
        <v>20</v>
      </c>
      <c r="B32" s="304" t="s">
        <v>13</v>
      </c>
      <c r="C32" s="556">
        <v>2.9565552885403388E-2</v>
      </c>
      <c r="D32" s="556">
        <v>3.4341868541323976E-2</v>
      </c>
      <c r="E32" s="556">
        <v>3.5571119016606062E-2</v>
      </c>
      <c r="F32" s="556">
        <v>3.9585014447193471E-2</v>
      </c>
      <c r="G32" s="556">
        <v>4.3310280995271698E-2</v>
      </c>
      <c r="I32" s="556">
        <v>4.160824196181083E-2</v>
      </c>
      <c r="J32" s="556">
        <v>4.4602926850789516E-2</v>
      </c>
      <c r="K32" s="556">
        <v>4.5553531912209469E-2</v>
      </c>
      <c r="L32" s="556">
        <v>4.3518702522826483E-2</v>
      </c>
    </row>
    <row r="33" spans="1:12" ht="30.75" customHeight="1">
      <c r="A33" s="303">
        <v>21</v>
      </c>
      <c r="B33" s="304" t="s">
        <v>955</v>
      </c>
      <c r="C33" s="556">
        <v>1.7318520868615354E-2</v>
      </c>
      <c r="D33" s="556">
        <v>1.8249052034021183E-2</v>
      </c>
      <c r="E33" s="556">
        <v>2.1762402888897973E-2</v>
      </c>
      <c r="F33" s="556">
        <v>2.3919354308285234E-2</v>
      </c>
      <c r="G33" s="556">
        <v>2.5211838955547527E-2</v>
      </c>
      <c r="I33" s="556">
        <v>3.8135547399584725E-2</v>
      </c>
      <c r="J33" s="556">
        <v>3.9929241242363619E-2</v>
      </c>
      <c r="K33" s="556">
        <v>4.0332929476186809E-2</v>
      </c>
      <c r="L33" s="556">
        <v>3.9968751339777668E-2</v>
      </c>
    </row>
    <row r="34" spans="1:12" ht="30.75" customHeight="1">
      <c r="A34" s="303">
        <v>22</v>
      </c>
      <c r="B34" s="304" t="s">
        <v>14</v>
      </c>
      <c r="C34" s="556">
        <v>0.44381708047734547</v>
      </c>
      <c r="D34" s="560">
        <v>0.4539183591186205</v>
      </c>
      <c r="E34" s="560">
        <v>0.45409414557386008</v>
      </c>
      <c r="F34" s="560">
        <v>0.49355471880644641</v>
      </c>
      <c r="G34" s="560">
        <v>0.51060374643911766</v>
      </c>
      <c r="I34" s="560">
        <v>0.45452891981612425</v>
      </c>
      <c r="J34" s="560">
        <v>0.45492457412430276</v>
      </c>
      <c r="K34" s="560">
        <v>0.49429722744714422</v>
      </c>
      <c r="L34" s="560">
        <v>0.51134457463359051</v>
      </c>
    </row>
    <row r="35" spans="1:12" ht="30.75" customHeight="1">
      <c r="A35" s="303">
        <v>23</v>
      </c>
      <c r="B35" s="304" t="s">
        <v>15</v>
      </c>
      <c r="C35" s="556">
        <v>0.48443837898142</v>
      </c>
      <c r="D35" s="560">
        <v>0.50365280888491037</v>
      </c>
      <c r="E35" s="560">
        <v>0.49128173894090266</v>
      </c>
      <c r="F35" s="560">
        <v>0.48851643748859597</v>
      </c>
      <c r="G35" s="560">
        <v>0.48189312746910495</v>
      </c>
      <c r="I35" s="560">
        <v>0.50488933534922864</v>
      </c>
      <c r="J35" s="560">
        <v>0.50391885545381898</v>
      </c>
      <c r="K35" s="560">
        <v>0.49574313661947955</v>
      </c>
      <c r="L35" s="560">
        <v>0.48697520984349563</v>
      </c>
    </row>
    <row r="36" spans="1:12" ht="30.75" customHeight="1">
      <c r="A36" s="303">
        <v>24</v>
      </c>
      <c r="B36" s="304" t="s">
        <v>16</v>
      </c>
      <c r="C36" s="556">
        <v>8.0734668738815935E-3</v>
      </c>
      <c r="D36" s="556">
        <v>5.8608812799010784E-2</v>
      </c>
      <c r="E36" s="556">
        <v>1.7869017785920243E-2</v>
      </c>
      <c r="F36" s="556">
        <v>2.7681629828161913E-2</v>
      </c>
      <c r="G36" s="556">
        <v>1.3771741570187181E-2</v>
      </c>
      <c r="I36" s="556">
        <v>6.0565284854615729E-2</v>
      </c>
      <c r="J36" s="556">
        <v>1.7964794408540805E-2</v>
      </c>
      <c r="K36" s="556">
        <v>2.6811795128602406E-2</v>
      </c>
      <c r="L36" s="556">
        <v>1.3372622469747766E-2</v>
      </c>
    </row>
    <row r="37" spans="1:12" ht="30.75" customHeight="1">
      <c r="A37" s="299"/>
      <c r="B37" s="300" t="s">
        <v>17</v>
      </c>
      <c r="C37" s="180"/>
      <c r="D37" s="180"/>
      <c r="E37" s="180"/>
      <c r="F37" s="180"/>
      <c r="G37" s="180"/>
      <c r="I37" s="180"/>
      <c r="J37" s="180"/>
      <c r="K37" s="180"/>
      <c r="L37" s="180"/>
    </row>
    <row r="38" spans="1:12" ht="30.75" customHeight="1">
      <c r="A38" s="303">
        <v>25</v>
      </c>
      <c r="B38" s="304" t="s">
        <v>18</v>
      </c>
      <c r="C38" s="556">
        <v>0.24676003258559462</v>
      </c>
      <c r="D38" s="556">
        <v>0.22100453014507843</v>
      </c>
      <c r="E38" s="556">
        <v>0.25407867579901061</v>
      </c>
      <c r="F38" s="556">
        <v>0</v>
      </c>
      <c r="G38" s="556">
        <v>0.1874593178825977</v>
      </c>
      <c r="I38" s="556">
        <v>0.22531195922271671</v>
      </c>
      <c r="J38" s="556">
        <v>0.25183080274406877</v>
      </c>
      <c r="K38" s="556">
        <v>0.21305710129624422</v>
      </c>
      <c r="L38" s="556">
        <v>0.21479051101261998</v>
      </c>
    </row>
    <row r="39" spans="1:12" ht="30.75" customHeight="1">
      <c r="A39" s="303">
        <v>26</v>
      </c>
      <c r="B39" s="304" t="s">
        <v>19</v>
      </c>
      <c r="C39" s="556">
        <v>0.55011265662741282</v>
      </c>
      <c r="D39" s="641">
        <v>0.55655054270938875</v>
      </c>
      <c r="E39" s="641">
        <v>0.55854953743888169</v>
      </c>
      <c r="F39" s="641">
        <v>0.54498363037350672</v>
      </c>
      <c r="G39" s="641">
        <v>0.55373261990559086</v>
      </c>
      <c r="I39" s="641">
        <v>0.56278921149536698</v>
      </c>
      <c r="J39" s="641">
        <v>0.57587201089748929</v>
      </c>
      <c r="K39" s="641">
        <v>0.55707665093337222</v>
      </c>
      <c r="L39" s="641">
        <v>0.56396344166790036</v>
      </c>
    </row>
    <row r="40" spans="1:12" ht="30.75" customHeight="1">
      <c r="A40" s="303">
        <v>27</v>
      </c>
      <c r="B40" s="304" t="s">
        <v>20</v>
      </c>
      <c r="C40" s="556">
        <v>0.38906478334319772</v>
      </c>
      <c r="D40" s="556">
        <v>0.38096756107627328</v>
      </c>
      <c r="E40" s="556">
        <v>0.36621481930388761</v>
      </c>
      <c r="F40" s="556">
        <v>0.31634750604901091</v>
      </c>
      <c r="G40" s="556">
        <v>0.31780664215675247</v>
      </c>
      <c r="I40" s="556">
        <v>0.38921943366681128</v>
      </c>
      <c r="J40" s="556">
        <v>0.36004173453853894</v>
      </c>
      <c r="K40" s="556">
        <v>0.31412241754669701</v>
      </c>
      <c r="L40" s="556">
        <v>0.321706082801612</v>
      </c>
    </row>
    <row r="41" spans="1:12" ht="30.75" customHeight="1">
      <c r="A41" s="307"/>
      <c r="B41" s="300" t="s">
        <v>355</v>
      </c>
      <c r="C41" s="180"/>
      <c r="D41" s="180"/>
      <c r="E41" s="180"/>
      <c r="F41" s="180"/>
      <c r="G41" s="180"/>
      <c r="I41" s="180"/>
      <c r="J41" s="180"/>
      <c r="K41" s="180"/>
      <c r="L41" s="180"/>
    </row>
    <row r="42" spans="1:12" ht="30.75" customHeight="1">
      <c r="A42" s="303">
        <v>28</v>
      </c>
      <c r="B42" s="346" t="s">
        <v>339</v>
      </c>
      <c r="C42" s="305">
        <f>'14. LCR'!H23</f>
        <v>6952177514.1958275</v>
      </c>
      <c r="D42" s="305"/>
      <c r="E42" s="305"/>
      <c r="F42" s="305"/>
      <c r="G42" s="305"/>
      <c r="I42" s="305">
        <v>6988272509.9606028</v>
      </c>
      <c r="J42" s="305">
        <v>6500381168.1167784</v>
      </c>
      <c r="K42" s="305">
        <v>5407438274.1761627</v>
      </c>
      <c r="L42" s="305">
        <v>5173079898.7963657</v>
      </c>
    </row>
    <row r="43" spans="1:12" ht="30.75" customHeight="1">
      <c r="A43" s="303">
        <v>29</v>
      </c>
      <c r="B43" s="304" t="s">
        <v>340</v>
      </c>
      <c r="C43" s="305">
        <f>'14. LCR'!H24</f>
        <v>5391049989.3087015</v>
      </c>
      <c r="D43" s="306"/>
      <c r="E43" s="306"/>
      <c r="F43" s="306"/>
      <c r="G43" s="306"/>
      <c r="I43" s="306">
        <v>5540173711.2260056</v>
      </c>
      <c r="J43" s="306">
        <v>5028896009.5991259</v>
      </c>
      <c r="K43" s="306">
        <v>4689703803.699708</v>
      </c>
      <c r="L43" s="306">
        <v>4229353783.7224617</v>
      </c>
    </row>
    <row r="44" spans="1:12" ht="30.75" customHeight="1">
      <c r="A44" s="344">
        <v>30</v>
      </c>
      <c r="B44" s="345" t="s">
        <v>338</v>
      </c>
      <c r="C44" s="671">
        <f>C42/C43</f>
        <v>1.2895776384902917</v>
      </c>
      <c r="D44" s="305"/>
      <c r="E44" s="305"/>
      <c r="F44" s="305"/>
      <c r="G44" s="305"/>
      <c r="I44" s="641">
        <v>1.2613814790320252</v>
      </c>
      <c r="J44" s="641">
        <v>1.2926060025319455</v>
      </c>
      <c r="K44" s="641">
        <v>1.1530447338508316</v>
      </c>
      <c r="L44" s="641">
        <v>1.22313718911528</v>
      </c>
    </row>
    <row r="45" spans="1:12" ht="30.75" customHeight="1">
      <c r="A45" s="344"/>
      <c r="B45" s="300" t="s">
        <v>452</v>
      </c>
      <c r="C45" s="180"/>
      <c r="D45" s="180"/>
      <c r="E45" s="180"/>
      <c r="F45" s="180"/>
      <c r="G45" s="180"/>
      <c r="I45" s="180"/>
      <c r="J45" s="180"/>
      <c r="K45" s="180"/>
      <c r="L45" s="180"/>
    </row>
    <row r="46" spans="1:12" ht="30.75" customHeight="1">
      <c r="A46" s="344">
        <v>31</v>
      </c>
      <c r="B46" s="345" t="s">
        <v>459</v>
      </c>
      <c r="C46" s="552">
        <v>17292859996.864712</v>
      </c>
      <c r="D46" s="552">
        <v>17279930786.49155</v>
      </c>
      <c r="E46" s="552">
        <v>17279930786.49155</v>
      </c>
      <c r="F46" s="552">
        <v>16346198371.36577</v>
      </c>
      <c r="G46" s="552">
        <v>16054922852.60811</v>
      </c>
      <c r="I46" s="552">
        <v>16753276419.491652</v>
      </c>
      <c r="J46" s="552">
        <v>16295389551.729456</v>
      </c>
      <c r="K46" s="552">
        <v>15765244456.107754</v>
      </c>
      <c r="L46" s="552">
        <v>15513112083.226355</v>
      </c>
    </row>
    <row r="47" spans="1:12" ht="30.75" customHeight="1">
      <c r="A47" s="344">
        <v>32</v>
      </c>
      <c r="B47" s="345" t="s">
        <v>472</v>
      </c>
      <c r="C47" s="552">
        <v>13287959775.311371</v>
      </c>
      <c r="D47" s="552">
        <v>13224505886.799133</v>
      </c>
      <c r="E47" s="552">
        <v>13224505886.799133</v>
      </c>
      <c r="F47" s="552">
        <v>12572889322.019644</v>
      </c>
      <c r="G47" s="552">
        <v>12128973544.659698</v>
      </c>
      <c r="I47" s="552">
        <v>12699282366.869549</v>
      </c>
      <c r="J47" s="552">
        <v>12445006872.860361</v>
      </c>
      <c r="K47" s="552">
        <v>12072438513.572359</v>
      </c>
      <c r="L47" s="552">
        <v>11866274429.414101</v>
      </c>
    </row>
    <row r="48" spans="1:12" ht="30.75" customHeight="1" thickBot="1">
      <c r="A48" s="70">
        <v>33</v>
      </c>
      <c r="B48" s="141" t="s">
        <v>486</v>
      </c>
      <c r="C48" s="642">
        <f>C46/C47</f>
        <v>1.3013931626278945</v>
      </c>
      <c r="D48" s="642">
        <f>D46/D47</f>
        <v>1.3066598430524798</v>
      </c>
      <c r="E48" s="643">
        <f>E46/E47</f>
        <v>1.3066598430524798</v>
      </c>
      <c r="F48" s="642">
        <f>IFERROR(F46/F47,0)</f>
        <v>1.3001147113207867</v>
      </c>
      <c r="G48" s="642">
        <f>G46/G47</f>
        <v>1.3236835576805244</v>
      </c>
      <c r="I48" s="642">
        <v>1.319230168721844</v>
      </c>
      <c r="J48" s="642">
        <v>1.3093917679761091</v>
      </c>
      <c r="K48" s="643">
        <v>1.3058873266062845</v>
      </c>
      <c r="L48" s="642">
        <v>1.3073279381414338</v>
      </c>
    </row>
    <row r="49" spans="1:7" ht="30.75" customHeight="1">
      <c r="A49" s="18"/>
    </row>
    <row r="50" spans="1:7" ht="30.75" customHeight="1">
      <c r="B50" s="21" t="s">
        <v>942</v>
      </c>
    </row>
    <row r="51" spans="1:7" ht="30.75" customHeight="1">
      <c r="B51" s="216" t="s">
        <v>354</v>
      </c>
      <c r="D51" s="201"/>
      <c r="E51" s="201"/>
      <c r="F51" s="201"/>
      <c r="G51" s="20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6"/>
  <sheetViews>
    <sheetView showGridLines="0" topLeftCell="A7" zoomScale="80" zoomScaleNormal="80" workbookViewId="0">
      <selection activeCell="H24" sqref="H24"/>
    </sheetView>
  </sheetViews>
  <sheetFormatPr defaultColWidth="9.140625" defaultRowHeight="12.75"/>
  <cols>
    <col min="1" max="1" width="11.85546875" style="352" bestFit="1" customWidth="1"/>
    <col min="2" max="2" width="105.140625" style="352" bestFit="1" customWidth="1"/>
    <col min="3" max="3" width="19.42578125" style="563" bestFit="1" customWidth="1"/>
    <col min="4" max="4" width="22.42578125" style="563" bestFit="1" customWidth="1"/>
    <col min="5" max="6" width="19.42578125" style="563" bestFit="1" customWidth="1"/>
    <col min="7" max="7" width="36" style="563" bestFit="1" customWidth="1"/>
    <col min="8" max="8" width="20.7109375" style="563" customWidth="1"/>
    <col min="9" max="9" width="17" style="563" bestFit="1" customWidth="1"/>
    <col min="10" max="10" width="9.140625" style="352"/>
    <col min="11" max="11" width="18.42578125" style="352" customWidth="1"/>
    <col min="12" max="16384" width="9.140625" style="352"/>
  </cols>
  <sheetData>
    <row r="1" spans="1:11" ht="13.5">
      <c r="A1" s="351" t="s">
        <v>108</v>
      </c>
      <c r="B1" s="276" t="str">
        <f>Info!C2</f>
        <v>სს ”საქართველოს ბანკი”</v>
      </c>
    </row>
    <row r="2" spans="1:11">
      <c r="A2" s="353" t="s">
        <v>109</v>
      </c>
      <c r="B2" s="355">
        <f>'1. key ratios'!B2</f>
        <v>45016</v>
      </c>
    </row>
    <row r="3" spans="1:11">
      <c r="A3" s="354" t="s">
        <v>492</v>
      </c>
    </row>
    <row r="5" spans="1:11">
      <c r="A5" s="839" t="s">
        <v>493</v>
      </c>
      <c r="B5" s="840"/>
      <c r="C5" s="845" t="s">
        <v>494</v>
      </c>
      <c r="D5" s="846"/>
      <c r="E5" s="846"/>
      <c r="F5" s="846"/>
      <c r="G5" s="846"/>
      <c r="H5" s="847"/>
    </row>
    <row r="6" spans="1:11">
      <c r="A6" s="841"/>
      <c r="B6" s="842"/>
      <c r="C6" s="848"/>
      <c r="D6" s="849"/>
      <c r="E6" s="849"/>
      <c r="F6" s="849"/>
      <c r="G6" s="849"/>
      <c r="H6" s="850"/>
    </row>
    <row r="7" spans="1:11">
      <c r="A7" s="843"/>
      <c r="B7" s="844"/>
      <c r="C7" s="564" t="s">
        <v>495</v>
      </c>
      <c r="D7" s="564" t="s">
        <v>496</v>
      </c>
      <c r="E7" s="564" t="s">
        <v>497</v>
      </c>
      <c r="F7" s="564" t="s">
        <v>498</v>
      </c>
      <c r="G7" s="565" t="s">
        <v>678</v>
      </c>
      <c r="H7" s="564" t="s">
        <v>66</v>
      </c>
    </row>
    <row r="8" spans="1:11" ht="15">
      <c r="A8" s="395">
        <v>1</v>
      </c>
      <c r="B8" s="394" t="s">
        <v>134</v>
      </c>
      <c r="C8" s="561">
        <v>2442890078.1999998</v>
      </c>
      <c r="D8" s="561">
        <v>1692909478.6740997</v>
      </c>
      <c r="E8" s="561">
        <v>1058499890.2795999</v>
      </c>
      <c r="F8" s="561">
        <v>329552826.32810003</v>
      </c>
      <c r="G8" s="561">
        <v>0</v>
      </c>
      <c r="H8" s="566">
        <f t="shared" ref="H8:H20" si="0">SUM(C8:G8)</f>
        <v>5523852273.4818001</v>
      </c>
    </row>
    <row r="9" spans="1:11" ht="15">
      <c r="A9" s="395">
        <v>2</v>
      </c>
      <c r="B9" s="394" t="s">
        <v>135</v>
      </c>
      <c r="C9" s="561">
        <v>0</v>
      </c>
      <c r="D9" s="561"/>
      <c r="E9" s="561"/>
      <c r="F9" s="561"/>
      <c r="G9" s="561">
        <v>0</v>
      </c>
      <c r="H9" s="566">
        <f t="shared" si="0"/>
        <v>0</v>
      </c>
    </row>
    <row r="10" spans="1:11" ht="15">
      <c r="A10" s="395">
        <v>3</v>
      </c>
      <c r="B10" s="394" t="s">
        <v>136</v>
      </c>
      <c r="C10" s="561"/>
      <c r="D10" s="561"/>
      <c r="E10" s="561"/>
      <c r="F10" s="561"/>
      <c r="G10" s="561"/>
      <c r="H10" s="566">
        <f t="shared" si="0"/>
        <v>0</v>
      </c>
    </row>
    <row r="11" spans="1:11" ht="15">
      <c r="A11" s="395">
        <v>4</v>
      </c>
      <c r="B11" s="394" t="s">
        <v>137</v>
      </c>
      <c r="C11" s="561"/>
      <c r="D11" s="561">
        <v>212677091.91</v>
      </c>
      <c r="E11" s="561">
        <v>741201670.12410009</v>
      </c>
      <c r="F11" s="561">
        <v>0</v>
      </c>
      <c r="G11" s="561"/>
      <c r="H11" s="566">
        <f t="shared" si="0"/>
        <v>953878762.03410006</v>
      </c>
    </row>
    <row r="12" spans="1:11" ht="15">
      <c r="A12" s="395">
        <v>5</v>
      </c>
      <c r="B12" s="394" t="s">
        <v>946</v>
      </c>
      <c r="C12" s="561"/>
      <c r="D12" s="561"/>
      <c r="E12" s="561"/>
      <c r="F12" s="561"/>
      <c r="G12" s="561"/>
      <c r="H12" s="566">
        <f t="shared" si="0"/>
        <v>0</v>
      </c>
    </row>
    <row r="13" spans="1:11" ht="15">
      <c r="A13" s="395">
        <v>6</v>
      </c>
      <c r="B13" s="394" t="s">
        <v>138</v>
      </c>
      <c r="C13" s="561">
        <v>596581238.01999998</v>
      </c>
      <c r="D13" s="561">
        <v>484472476.62340003</v>
      </c>
      <c r="E13" s="561">
        <v>78810289.421499997</v>
      </c>
      <c r="F13" s="561"/>
      <c r="G13" s="561">
        <v>0</v>
      </c>
      <c r="H13" s="566">
        <f t="shared" si="0"/>
        <v>1159864004.0648999</v>
      </c>
    </row>
    <row r="14" spans="1:11" ht="15">
      <c r="A14" s="395">
        <v>7</v>
      </c>
      <c r="B14" s="394" t="s">
        <v>71</v>
      </c>
      <c r="C14" s="561">
        <v>0</v>
      </c>
      <c r="D14" s="561">
        <v>1487970052.6764467</v>
      </c>
      <c r="E14" s="561">
        <v>2022010669.4848392</v>
      </c>
      <c r="F14" s="561">
        <v>2587772047.7475281</v>
      </c>
      <c r="G14" s="561">
        <v>71531506.783982009</v>
      </c>
      <c r="H14" s="566">
        <f t="shared" si="0"/>
        <v>6169284276.6927958</v>
      </c>
      <c r="K14" s="563"/>
    </row>
    <row r="15" spans="1:11" ht="15">
      <c r="A15" s="395">
        <v>8</v>
      </c>
      <c r="B15" s="396" t="s">
        <v>72</v>
      </c>
      <c r="C15" s="561">
        <v>0</v>
      </c>
      <c r="D15" s="561">
        <v>710552532.7669965</v>
      </c>
      <c r="E15" s="561">
        <v>2986203511.6415138</v>
      </c>
      <c r="F15" s="561">
        <v>2482845508.4638667</v>
      </c>
      <c r="G15" s="561">
        <v>20656709.173471637</v>
      </c>
      <c r="H15" s="566">
        <f t="shared" si="0"/>
        <v>6200258262.0458488</v>
      </c>
    </row>
    <row r="16" spans="1:11" ht="15">
      <c r="A16" s="395">
        <v>9</v>
      </c>
      <c r="B16" s="394" t="s">
        <v>947</v>
      </c>
      <c r="C16" s="561"/>
      <c r="D16" s="561">
        <v>120251902.21816418</v>
      </c>
      <c r="E16" s="561">
        <v>940353378.38640523</v>
      </c>
      <c r="F16" s="561">
        <v>2847595297.052465</v>
      </c>
      <c r="G16" s="561">
        <v>7474604.5053203516</v>
      </c>
      <c r="H16" s="566">
        <f t="shared" si="0"/>
        <v>3915675182.1623549</v>
      </c>
    </row>
    <row r="17" spans="1:8" ht="15">
      <c r="A17" s="395">
        <v>10</v>
      </c>
      <c r="B17" s="398" t="s">
        <v>513</v>
      </c>
      <c r="C17" s="561"/>
      <c r="D17" s="561">
        <v>14015821.274474014</v>
      </c>
      <c r="E17" s="561">
        <v>35270900.006497994</v>
      </c>
      <c r="F17" s="561">
        <v>62619546.220650002</v>
      </c>
      <c r="G17" s="561">
        <v>63199102.29087799</v>
      </c>
      <c r="H17" s="566">
        <f t="shared" si="0"/>
        <v>175105369.79249999</v>
      </c>
    </row>
    <row r="18" spans="1:8" ht="15">
      <c r="A18" s="395">
        <v>11</v>
      </c>
      <c r="B18" s="394" t="s">
        <v>68</v>
      </c>
      <c r="C18" s="561"/>
      <c r="D18" s="561">
        <v>2123992.9232999999</v>
      </c>
      <c r="E18" s="561">
        <v>41894810.568596005</v>
      </c>
      <c r="F18" s="561">
        <v>158992254.32160002</v>
      </c>
      <c r="G18" s="561">
        <v>46046325.283259057</v>
      </c>
      <c r="H18" s="566">
        <f t="shared" si="0"/>
        <v>249057383.09675509</v>
      </c>
    </row>
    <row r="19" spans="1:8" ht="15">
      <c r="A19" s="395">
        <v>12</v>
      </c>
      <c r="B19" s="394" t="s">
        <v>69</v>
      </c>
      <c r="C19" s="561"/>
      <c r="D19" s="561"/>
      <c r="E19" s="561"/>
      <c r="F19" s="561"/>
      <c r="G19" s="561"/>
      <c r="H19" s="566">
        <f t="shared" si="0"/>
        <v>0</v>
      </c>
    </row>
    <row r="20" spans="1:8" ht="15">
      <c r="A20" s="397">
        <v>13</v>
      </c>
      <c r="B20" s="396" t="s">
        <v>70</v>
      </c>
      <c r="C20" s="561"/>
      <c r="D20" s="561"/>
      <c r="E20" s="561"/>
      <c r="F20" s="561"/>
      <c r="G20" s="561"/>
      <c r="H20" s="566">
        <f t="shared" si="0"/>
        <v>0</v>
      </c>
    </row>
    <row r="21" spans="1:8" ht="15">
      <c r="A21" s="395">
        <v>14</v>
      </c>
      <c r="B21" s="394" t="s">
        <v>499</v>
      </c>
      <c r="C21" s="561">
        <v>740907086.68800008</v>
      </c>
      <c r="D21" s="562">
        <v>347714617.28804219</v>
      </c>
      <c r="E21" s="561"/>
      <c r="F21" s="561"/>
      <c r="G21" s="561">
        <v>767884004.18510008</v>
      </c>
      <c r="H21" s="566">
        <f>SUM(C21:G21)</f>
        <v>1856505708.1611423</v>
      </c>
    </row>
    <row r="22" spans="1:8">
      <c r="A22" s="393">
        <v>15</v>
      </c>
      <c r="B22" s="392" t="s">
        <v>66</v>
      </c>
      <c r="C22" s="566">
        <f>SUM(C18:C21)+SUM(C8:C16)</f>
        <v>3780378402.908</v>
      </c>
      <c r="D22" s="566">
        <f t="shared" ref="D22:H22" si="1">SUM(D18:D21)+SUM(D8:D16)</f>
        <v>5058672145.0804491</v>
      </c>
      <c r="E22" s="566">
        <f t="shared" si="1"/>
        <v>7868974219.9065542</v>
      </c>
      <c r="F22" s="566">
        <f t="shared" si="1"/>
        <v>8406757933.9135609</v>
      </c>
      <c r="G22" s="566">
        <f t="shared" si="1"/>
        <v>913593149.93113315</v>
      </c>
      <c r="H22" s="566">
        <f t="shared" si="1"/>
        <v>26028375851.739693</v>
      </c>
    </row>
    <row r="26" spans="1:8" ht="38.25">
      <c r="B26" s="372" t="s">
        <v>677</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4"/>
  <sheetViews>
    <sheetView showGridLines="0" topLeftCell="C11" zoomScaleNormal="100" workbookViewId="0">
      <selection activeCell="G23" sqref="G23"/>
    </sheetView>
  </sheetViews>
  <sheetFormatPr defaultColWidth="9.140625" defaultRowHeight="12.75"/>
  <cols>
    <col min="1" max="1" width="11.85546875" style="356" bestFit="1" customWidth="1"/>
    <col min="2" max="2" width="86.85546875" style="352" customWidth="1"/>
    <col min="3" max="4" width="31.5703125" style="352" customWidth="1"/>
    <col min="5" max="5" width="16.42578125" style="358" bestFit="1" customWidth="1"/>
    <col min="6" max="6" width="14.28515625" style="358" bestFit="1" customWidth="1"/>
    <col min="7" max="7" width="20" style="352" bestFit="1" customWidth="1"/>
    <col min="8" max="8" width="25.140625" style="352" bestFit="1" customWidth="1"/>
    <col min="9" max="9" width="13.5703125" style="352" customWidth="1"/>
    <col min="10" max="10" width="11.140625" style="352" bestFit="1" customWidth="1"/>
    <col min="11" max="16384" width="9.140625" style="352"/>
  </cols>
  <sheetData>
    <row r="1" spans="1:9" ht="13.5">
      <c r="A1" s="351" t="s">
        <v>108</v>
      </c>
      <c r="B1" s="276" t="str">
        <f>Info!C2</f>
        <v>სს ”საქართველოს ბანკი”</v>
      </c>
      <c r="C1" s="411"/>
      <c r="D1" s="411"/>
      <c r="E1" s="411"/>
      <c r="F1" s="411"/>
      <c r="G1" s="411"/>
      <c r="H1" s="411"/>
    </row>
    <row r="2" spans="1:9">
      <c r="A2" s="353" t="s">
        <v>109</v>
      </c>
      <c r="B2" s="355">
        <f>'1. key ratios'!B2</f>
        <v>45016</v>
      </c>
      <c r="C2" s="411"/>
      <c r="D2" s="411"/>
      <c r="E2" s="411"/>
      <c r="F2" s="411"/>
      <c r="G2" s="411"/>
      <c r="H2" s="411"/>
    </row>
    <row r="3" spans="1:9">
      <c r="A3" s="354" t="s">
        <v>500</v>
      </c>
      <c r="B3" s="411"/>
      <c r="C3" s="411"/>
      <c r="D3" s="411"/>
      <c r="E3" s="411"/>
      <c r="F3" s="411"/>
      <c r="G3" s="411"/>
      <c r="H3" s="411"/>
    </row>
    <row r="4" spans="1:9">
      <c r="A4" s="412"/>
      <c r="B4" s="411"/>
      <c r="C4" s="410" t="s">
        <v>501</v>
      </c>
      <c r="D4" s="410" t="s">
        <v>502</v>
      </c>
      <c r="E4" s="410" t="s">
        <v>503</v>
      </c>
      <c r="F4" s="410" t="s">
        <v>504</v>
      </c>
      <c r="G4" s="410" t="s">
        <v>505</v>
      </c>
      <c r="H4" s="410" t="s">
        <v>506</v>
      </c>
    </row>
    <row r="5" spans="1:9" ht="33.950000000000003" customHeight="1">
      <c r="A5" s="839" t="s">
        <v>866</v>
      </c>
      <c r="B5" s="840"/>
      <c r="C5" s="853" t="s">
        <v>595</v>
      </c>
      <c r="D5" s="853"/>
      <c r="E5" s="853" t="s">
        <v>865</v>
      </c>
      <c r="F5" s="851" t="s">
        <v>864</v>
      </c>
      <c r="G5" s="851" t="s">
        <v>510</v>
      </c>
      <c r="H5" s="408" t="s">
        <v>863</v>
      </c>
    </row>
    <row r="6" spans="1:9" ht="25.5">
      <c r="A6" s="843"/>
      <c r="B6" s="844"/>
      <c r="C6" s="409" t="s">
        <v>511</v>
      </c>
      <c r="D6" s="409" t="s">
        <v>512</v>
      </c>
      <c r="E6" s="853"/>
      <c r="F6" s="852"/>
      <c r="G6" s="852"/>
      <c r="H6" s="408" t="s">
        <v>862</v>
      </c>
    </row>
    <row r="7" spans="1:9" ht="15">
      <c r="A7" s="406">
        <v>1</v>
      </c>
      <c r="B7" s="394" t="s">
        <v>134</v>
      </c>
      <c r="C7" s="567"/>
      <c r="D7" s="567">
        <v>5527640454.4118004</v>
      </c>
      <c r="E7" s="567">
        <v>3788180.93</v>
      </c>
      <c r="F7" s="767"/>
      <c r="G7" s="567"/>
      <c r="H7" s="399">
        <f t="shared" ref="H7:H20" si="0">C7+D7-E7-F7</f>
        <v>5523852273.4818001</v>
      </c>
      <c r="I7" s="569"/>
    </row>
    <row r="8" spans="1:9" ht="14.45" customHeight="1">
      <c r="A8" s="406">
        <v>2</v>
      </c>
      <c r="B8" s="394" t="s">
        <v>135</v>
      </c>
      <c r="C8" s="567"/>
      <c r="D8" s="567"/>
      <c r="E8" s="567"/>
      <c r="F8" s="767"/>
      <c r="G8" s="567"/>
      <c r="H8" s="399">
        <f t="shared" si="0"/>
        <v>0</v>
      </c>
      <c r="I8" s="569"/>
    </row>
    <row r="9" spans="1:9" ht="15">
      <c r="A9" s="406">
        <v>3</v>
      </c>
      <c r="B9" s="394" t="s">
        <v>136</v>
      </c>
      <c r="C9" s="567"/>
      <c r="D9" s="567"/>
      <c r="E9" s="567"/>
      <c r="F9" s="767"/>
      <c r="G9" s="567"/>
      <c r="H9" s="399">
        <f t="shared" si="0"/>
        <v>0</v>
      </c>
      <c r="I9" s="569"/>
    </row>
    <row r="10" spans="1:9" ht="15">
      <c r="A10" s="406">
        <v>4</v>
      </c>
      <c r="B10" s="394" t="s">
        <v>137</v>
      </c>
      <c r="C10" s="567"/>
      <c r="D10" s="567">
        <v>954886142.46410012</v>
      </c>
      <c r="E10" s="567">
        <v>1007380.43</v>
      </c>
      <c r="F10" s="767"/>
      <c r="G10" s="567"/>
      <c r="H10" s="399">
        <f t="shared" si="0"/>
        <v>953878762.03410017</v>
      </c>
      <c r="I10" s="569"/>
    </row>
    <row r="11" spans="1:9" ht="15">
      <c r="A11" s="406">
        <v>5</v>
      </c>
      <c r="B11" s="394" t="s">
        <v>946</v>
      </c>
      <c r="C11" s="567"/>
      <c r="D11" s="567"/>
      <c r="E11" s="567"/>
      <c r="F11" s="767"/>
      <c r="G11" s="567"/>
      <c r="H11" s="399">
        <f t="shared" si="0"/>
        <v>0</v>
      </c>
      <c r="I11" s="569"/>
    </row>
    <row r="12" spans="1:9" ht="15">
      <c r="A12" s="406">
        <v>6</v>
      </c>
      <c r="B12" s="394" t="s">
        <v>138</v>
      </c>
      <c r="C12" s="567"/>
      <c r="D12" s="567">
        <f>' 17. Residual Maturity'!H13+E12</f>
        <v>1162902986.8848999</v>
      </c>
      <c r="E12" s="567">
        <v>3038982.82</v>
      </c>
      <c r="F12" s="767"/>
      <c r="G12" s="567"/>
      <c r="H12" s="399">
        <f t="shared" si="0"/>
        <v>1159864004.0648999</v>
      </c>
      <c r="I12" s="569"/>
    </row>
    <row r="13" spans="1:9" ht="15">
      <c r="A13" s="406">
        <v>7</v>
      </c>
      <c r="B13" s="394" t="s">
        <v>71</v>
      </c>
      <c r="C13" s="567">
        <v>173197995.43379998</v>
      </c>
      <c r="D13" s="567">
        <v>6077866937.2943602</v>
      </c>
      <c r="E13" s="567">
        <v>81780656.035364404</v>
      </c>
      <c r="F13" s="767"/>
      <c r="G13" s="567">
        <v>4069645.67</v>
      </c>
      <c r="H13" s="399">
        <f t="shared" si="0"/>
        <v>6169284276.6927958</v>
      </c>
      <c r="I13" s="569"/>
    </row>
    <row r="14" spans="1:9" ht="15">
      <c r="A14" s="406">
        <v>8</v>
      </c>
      <c r="B14" s="396" t="s">
        <v>72</v>
      </c>
      <c r="C14" s="567">
        <v>246998079.88999999</v>
      </c>
      <c r="D14" s="567">
        <v>6135472481.6672392</v>
      </c>
      <c r="E14" s="567">
        <v>182212299.51139072</v>
      </c>
      <c r="F14" s="767"/>
      <c r="G14" s="567">
        <v>58049014.960000008</v>
      </c>
      <c r="H14" s="399">
        <f t="shared" si="0"/>
        <v>6200258262.0458488</v>
      </c>
      <c r="I14" s="569"/>
    </row>
    <row r="15" spans="1:9" ht="15">
      <c r="A15" s="406">
        <v>9</v>
      </c>
      <c r="B15" s="394" t="s">
        <v>947</v>
      </c>
      <c r="C15" s="567">
        <v>90489086.409999996</v>
      </c>
      <c r="D15" s="567">
        <v>3851963133.7000003</v>
      </c>
      <c r="E15" s="567">
        <v>26777037.948546946</v>
      </c>
      <c r="F15" s="767"/>
      <c r="G15" s="567">
        <v>598134.43999999994</v>
      </c>
      <c r="H15" s="399">
        <f t="shared" si="0"/>
        <v>3915675182.1614532</v>
      </c>
      <c r="I15" s="569"/>
    </row>
    <row r="16" spans="1:9" ht="15">
      <c r="A16" s="406">
        <v>10</v>
      </c>
      <c r="B16" s="398" t="s">
        <v>513</v>
      </c>
      <c r="C16" s="567">
        <v>253769634.58000001</v>
      </c>
      <c r="D16" s="567">
        <v>1239543.8899999999</v>
      </c>
      <c r="E16" s="567">
        <v>79903808.683430031</v>
      </c>
      <c r="F16" s="767"/>
      <c r="G16" s="567">
        <f>SUM(G13:G15)+G17</f>
        <v>63542745.480000004</v>
      </c>
      <c r="H16" s="399">
        <f t="shared" si="0"/>
        <v>175105369.78656995</v>
      </c>
      <c r="I16" s="569"/>
    </row>
    <row r="17" spans="1:10" ht="15">
      <c r="A17" s="406">
        <v>11</v>
      </c>
      <c r="B17" s="394" t="s">
        <v>68</v>
      </c>
      <c r="C17" s="567">
        <v>1714033.15</v>
      </c>
      <c r="D17" s="567">
        <v>251259339.96325904</v>
      </c>
      <c r="E17" s="567">
        <v>3915990.0171040008</v>
      </c>
      <c r="F17" s="767"/>
      <c r="G17" s="567">
        <v>825950.40999999992</v>
      </c>
      <c r="H17" s="399">
        <f t="shared" si="0"/>
        <v>249057383.09615505</v>
      </c>
      <c r="I17" s="569"/>
    </row>
    <row r="18" spans="1:10" ht="15">
      <c r="A18" s="406">
        <v>12</v>
      </c>
      <c r="B18" s="394" t="s">
        <v>69</v>
      </c>
      <c r="C18" s="567"/>
      <c r="D18" s="567"/>
      <c r="E18" s="567"/>
      <c r="F18" s="767"/>
      <c r="G18" s="567"/>
      <c r="H18" s="399">
        <f t="shared" si="0"/>
        <v>0</v>
      </c>
      <c r="I18" s="569"/>
    </row>
    <row r="19" spans="1:10" ht="15">
      <c r="A19" s="407">
        <v>13</v>
      </c>
      <c r="B19" s="396" t="s">
        <v>70</v>
      </c>
      <c r="C19" s="567"/>
      <c r="D19" s="567"/>
      <c r="E19" s="567"/>
      <c r="F19" s="767"/>
      <c r="G19" s="567"/>
      <c r="H19" s="399">
        <f t="shared" si="0"/>
        <v>0</v>
      </c>
      <c r="I19" s="569"/>
    </row>
    <row r="20" spans="1:10" ht="15">
      <c r="A20" s="406">
        <v>14</v>
      </c>
      <c r="B20" s="394" t="s">
        <v>499</v>
      </c>
      <c r="C20" s="567">
        <v>14105508.346846558</v>
      </c>
      <c r="D20" s="567">
        <v>2032254965.1074424</v>
      </c>
      <c r="E20" s="567">
        <v>14121678.346846558</v>
      </c>
      <c r="F20" s="767"/>
      <c r="G20" s="567">
        <v>0</v>
      </c>
      <c r="H20" s="399">
        <f t="shared" si="0"/>
        <v>2032238795.1074424</v>
      </c>
      <c r="I20" s="569"/>
    </row>
    <row r="21" spans="1:10" s="357" customFormat="1">
      <c r="A21" s="405">
        <v>15</v>
      </c>
      <c r="B21" s="404" t="s">
        <v>66</v>
      </c>
      <c r="C21" s="570">
        <f>SUM(C7:C15)+SUM(C17:C20)</f>
        <v>526504703.23064649</v>
      </c>
      <c r="D21" s="570">
        <f t="shared" ref="D21:H21" si="1">SUM(D7:D15)+SUM(D17:D20)</f>
        <v>25994246441.493103</v>
      </c>
      <c r="E21" s="570">
        <f t="shared" si="1"/>
        <v>316642206.03925264</v>
      </c>
      <c r="F21" s="570">
        <f t="shared" si="1"/>
        <v>0</v>
      </c>
      <c r="G21" s="570">
        <f t="shared" si="1"/>
        <v>63542745.480000004</v>
      </c>
      <c r="H21" s="399">
        <f t="shared" si="1"/>
        <v>26204108938.684498</v>
      </c>
      <c r="I21" s="569"/>
    </row>
    <row r="22" spans="1:10">
      <c r="A22" s="403">
        <v>16</v>
      </c>
      <c r="B22" s="402" t="s">
        <v>514</v>
      </c>
      <c r="C22" s="572">
        <v>509275682.52130002</v>
      </c>
      <c r="D22" s="572">
        <v>16191738922.978605</v>
      </c>
      <c r="E22" s="767">
        <v>293092486.65240002</v>
      </c>
      <c r="F22" s="767"/>
      <c r="G22" s="572">
        <f>G21</f>
        <v>63542745.480000004</v>
      </c>
      <c r="H22" s="399">
        <f>C22+D22-E22-F22</f>
        <v>16407922118.847504</v>
      </c>
      <c r="I22" s="569"/>
      <c r="J22" s="780">
        <f>H22-'[4]FSF-SOFP'!$S$26-'[4]FSF-SOFP'!$S$22</f>
        <v>0</v>
      </c>
    </row>
    <row r="23" spans="1:10">
      <c r="A23" s="403">
        <v>17</v>
      </c>
      <c r="B23" s="402" t="s">
        <v>515</v>
      </c>
      <c r="C23" s="572">
        <v>0</v>
      </c>
      <c r="D23" s="572">
        <v>4282160840.4832001</v>
      </c>
      <c r="E23" s="767">
        <v>7442087.6099999994</v>
      </c>
      <c r="F23" s="767"/>
      <c r="G23" s="572"/>
      <c r="H23" s="399">
        <f>C23+D23-E23-F23</f>
        <v>4274718752.8731999</v>
      </c>
      <c r="I23" s="569"/>
    </row>
    <row r="24" spans="1:10">
      <c r="E24" s="573"/>
    </row>
    <row r="25" spans="1:10">
      <c r="C25" s="569"/>
      <c r="E25" s="352"/>
      <c r="F25" s="569"/>
    </row>
    <row r="26" spans="1:10" ht="42.6" customHeight="1">
      <c r="B26" s="372" t="s">
        <v>677</v>
      </c>
      <c r="C26" s="569"/>
      <c r="E26" s="352"/>
    </row>
    <row r="27" spans="1:10">
      <c r="C27" s="569"/>
    </row>
    <row r="28" spans="1:10">
      <c r="C28" s="569"/>
    </row>
    <row r="29" spans="1:10">
      <c r="C29" s="569"/>
    </row>
    <row r="30" spans="1:10">
      <c r="C30" s="569"/>
      <c r="E30" s="574"/>
    </row>
    <row r="34" spans="3:4">
      <c r="C34" s="569"/>
      <c r="D34" s="569"/>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topLeftCell="A10" zoomScaleNormal="100" workbookViewId="0">
      <selection activeCell="I34" sqref="I34"/>
    </sheetView>
  </sheetViews>
  <sheetFormatPr defaultColWidth="9.140625" defaultRowHeight="12.75"/>
  <cols>
    <col min="1" max="1" width="11" style="352" bestFit="1" customWidth="1"/>
    <col min="2" max="2" width="93.42578125" style="352" customWidth="1"/>
    <col min="3" max="4" width="35" style="352" customWidth="1"/>
    <col min="5" max="7" width="22" style="352" customWidth="1"/>
    <col min="8" max="8" width="42.28515625" style="352" bestFit="1" customWidth="1"/>
    <col min="9" max="16384" width="9.140625" style="352"/>
  </cols>
  <sheetData>
    <row r="1" spans="1:8" ht="13.5">
      <c r="A1" s="351" t="s">
        <v>108</v>
      </c>
      <c r="B1" s="276" t="str">
        <f>Info!C2</f>
        <v>სს ”საქართველოს ბანკი”</v>
      </c>
      <c r="C1" s="411"/>
      <c r="D1" s="411"/>
      <c r="E1" s="411"/>
      <c r="F1" s="411"/>
      <c r="G1" s="411"/>
      <c r="H1" s="411"/>
    </row>
    <row r="2" spans="1:8">
      <c r="A2" s="353" t="s">
        <v>109</v>
      </c>
      <c r="B2" s="355">
        <f>'1. key ratios'!B2</f>
        <v>45016</v>
      </c>
      <c r="C2" s="411"/>
      <c r="D2" s="411"/>
      <c r="E2" s="411"/>
      <c r="F2" s="411"/>
      <c r="G2" s="411"/>
      <c r="H2" s="411"/>
    </row>
    <row r="3" spans="1:8">
      <c r="A3" s="354" t="s">
        <v>516</v>
      </c>
      <c r="B3" s="411"/>
      <c r="C3" s="411"/>
      <c r="D3" s="411"/>
      <c r="E3" s="411"/>
      <c r="F3" s="411"/>
      <c r="G3" s="411"/>
      <c r="H3" s="411"/>
    </row>
    <row r="4" spans="1:8">
      <c r="A4" s="411"/>
      <c r="B4" s="411"/>
      <c r="C4" s="410" t="s">
        <v>501</v>
      </c>
      <c r="D4" s="410" t="s">
        <v>502</v>
      </c>
      <c r="E4" s="410" t="s">
        <v>503</v>
      </c>
      <c r="F4" s="410" t="s">
        <v>504</v>
      </c>
      <c r="G4" s="410" t="s">
        <v>505</v>
      </c>
      <c r="H4" s="410" t="s">
        <v>506</v>
      </c>
    </row>
    <row r="5" spans="1:8" ht="41.45" customHeight="1">
      <c r="A5" s="839" t="s">
        <v>868</v>
      </c>
      <c r="B5" s="840"/>
      <c r="C5" s="854" t="s">
        <v>595</v>
      </c>
      <c r="D5" s="855"/>
      <c r="E5" s="851" t="s">
        <v>865</v>
      </c>
      <c r="F5" s="851" t="s">
        <v>864</v>
      </c>
      <c r="G5" s="851" t="s">
        <v>510</v>
      </c>
      <c r="H5" s="408" t="s">
        <v>863</v>
      </c>
    </row>
    <row r="6" spans="1:8" ht="25.5">
      <c r="A6" s="843"/>
      <c r="B6" s="844"/>
      <c r="C6" s="409" t="s">
        <v>511</v>
      </c>
      <c r="D6" s="409" t="s">
        <v>512</v>
      </c>
      <c r="E6" s="852"/>
      <c r="F6" s="852"/>
      <c r="G6" s="852"/>
      <c r="H6" s="408" t="s">
        <v>862</v>
      </c>
    </row>
    <row r="7" spans="1:8">
      <c r="A7" s="400">
        <v>1</v>
      </c>
      <c r="B7" s="415" t="s">
        <v>517</v>
      </c>
      <c r="C7" s="571">
        <v>13628250.227599999</v>
      </c>
      <c r="D7" s="571">
        <v>6132401936.8436003</v>
      </c>
      <c r="E7" s="571">
        <v>14721927.928744003</v>
      </c>
      <c r="F7" s="571">
        <v>0</v>
      </c>
      <c r="G7" s="571">
        <v>0</v>
      </c>
      <c r="H7" s="399">
        <f t="shared" ref="H7:H34" si="0">C7+D7-E7-F7</f>
        <v>6131308259.1424561</v>
      </c>
    </row>
    <row r="8" spans="1:8">
      <c r="A8" s="400">
        <v>2</v>
      </c>
      <c r="B8" s="415" t="s">
        <v>518</v>
      </c>
      <c r="C8" s="571">
        <v>29773235.215400003</v>
      </c>
      <c r="D8" s="571">
        <v>3888759864.8691993</v>
      </c>
      <c r="E8" s="571">
        <v>25731941.139182001</v>
      </c>
      <c r="F8" s="571">
        <v>0</v>
      </c>
      <c r="G8" s="571">
        <v>0</v>
      </c>
      <c r="H8" s="399">
        <f t="shared" si="0"/>
        <v>3892801158.9454174</v>
      </c>
    </row>
    <row r="9" spans="1:8">
      <c r="A9" s="400">
        <v>3</v>
      </c>
      <c r="B9" s="415" t="s">
        <v>867</v>
      </c>
      <c r="C9" s="571">
        <v>4863997.99</v>
      </c>
      <c r="D9" s="571">
        <v>21001207.859999999</v>
      </c>
      <c r="E9" s="571">
        <v>4476176.07</v>
      </c>
      <c r="F9" s="571">
        <v>0</v>
      </c>
      <c r="G9" s="571">
        <v>0</v>
      </c>
      <c r="H9" s="399">
        <f t="shared" si="0"/>
        <v>21389029.780000001</v>
      </c>
    </row>
    <row r="10" spans="1:8">
      <c r="A10" s="400">
        <v>4</v>
      </c>
      <c r="B10" s="415" t="s">
        <v>519</v>
      </c>
      <c r="C10" s="571">
        <v>37279586.212799996</v>
      </c>
      <c r="D10" s="571">
        <v>529092517.03490007</v>
      </c>
      <c r="E10" s="571">
        <v>14615046.496289998</v>
      </c>
      <c r="F10" s="571">
        <v>0</v>
      </c>
      <c r="G10" s="571">
        <v>0</v>
      </c>
      <c r="H10" s="399">
        <f t="shared" si="0"/>
        <v>551757056.75141013</v>
      </c>
    </row>
    <row r="11" spans="1:8">
      <c r="A11" s="400">
        <v>5</v>
      </c>
      <c r="B11" s="415" t="s">
        <v>520</v>
      </c>
      <c r="C11" s="571">
        <v>24455393.813199997</v>
      </c>
      <c r="D11" s="571">
        <v>907928911.71661389</v>
      </c>
      <c r="E11" s="571">
        <v>6105202.7189800013</v>
      </c>
      <c r="F11" s="571">
        <v>0</v>
      </c>
      <c r="G11" s="571">
        <v>7506.34</v>
      </c>
      <c r="H11" s="399">
        <f t="shared" si="0"/>
        <v>926279102.81083393</v>
      </c>
    </row>
    <row r="12" spans="1:8">
      <c r="A12" s="400">
        <v>6</v>
      </c>
      <c r="B12" s="415" t="s">
        <v>521</v>
      </c>
      <c r="C12" s="571">
        <v>16895710.039900001</v>
      </c>
      <c r="D12" s="571">
        <v>620026930.65480006</v>
      </c>
      <c r="E12" s="571">
        <v>14246805.832758002</v>
      </c>
      <c r="F12" s="571">
        <v>0</v>
      </c>
      <c r="G12" s="571">
        <v>3617461.9024999999</v>
      </c>
      <c r="H12" s="399">
        <f t="shared" si="0"/>
        <v>622675834.86194205</v>
      </c>
    </row>
    <row r="13" spans="1:8">
      <c r="A13" s="400">
        <v>7</v>
      </c>
      <c r="B13" s="415" t="s">
        <v>522</v>
      </c>
      <c r="C13" s="571">
        <v>19885614.403699998</v>
      </c>
      <c r="D13" s="571">
        <v>459219261.22250003</v>
      </c>
      <c r="E13" s="571">
        <v>11049286.338064</v>
      </c>
      <c r="F13" s="571">
        <v>0</v>
      </c>
      <c r="G13" s="571">
        <v>55963.37</v>
      </c>
      <c r="H13" s="399">
        <f t="shared" si="0"/>
        <v>468055589.28813601</v>
      </c>
    </row>
    <row r="14" spans="1:8">
      <c r="A14" s="400">
        <v>8</v>
      </c>
      <c r="B14" s="415" t="s">
        <v>523</v>
      </c>
      <c r="C14" s="571">
        <v>12398325.855799995</v>
      </c>
      <c r="D14" s="571">
        <v>687377085.54500008</v>
      </c>
      <c r="E14" s="571">
        <v>9166357.0275919996</v>
      </c>
      <c r="F14" s="571">
        <v>0</v>
      </c>
      <c r="G14" s="571">
        <v>7348124.4650999997</v>
      </c>
      <c r="H14" s="399">
        <f t="shared" si="0"/>
        <v>690609054.37320817</v>
      </c>
    </row>
    <row r="15" spans="1:8">
      <c r="A15" s="400">
        <v>9</v>
      </c>
      <c r="B15" s="415" t="s">
        <v>524</v>
      </c>
      <c r="C15" s="571">
        <v>7161904.3905999996</v>
      </c>
      <c r="D15" s="571">
        <v>875775763.04589987</v>
      </c>
      <c r="E15" s="571">
        <v>21826118.291597996</v>
      </c>
      <c r="F15" s="571">
        <v>0</v>
      </c>
      <c r="G15" s="571">
        <v>116937.9</v>
      </c>
      <c r="H15" s="399">
        <f t="shared" si="0"/>
        <v>861111549.14490187</v>
      </c>
    </row>
    <row r="16" spans="1:8">
      <c r="A16" s="400">
        <v>10</v>
      </c>
      <c r="B16" s="415" t="s">
        <v>525</v>
      </c>
      <c r="C16" s="571">
        <v>11592451.696899999</v>
      </c>
      <c r="D16" s="571">
        <v>252098830.04509994</v>
      </c>
      <c r="E16" s="571">
        <v>6077512.7462719996</v>
      </c>
      <c r="F16" s="571">
        <v>0</v>
      </c>
      <c r="G16" s="571">
        <v>175435.43</v>
      </c>
      <c r="H16" s="399">
        <f t="shared" si="0"/>
        <v>257613768.99572796</v>
      </c>
    </row>
    <row r="17" spans="1:9">
      <c r="A17" s="400">
        <v>11</v>
      </c>
      <c r="B17" s="415" t="s">
        <v>526</v>
      </c>
      <c r="C17" s="571">
        <v>3148003.8955999995</v>
      </c>
      <c r="D17" s="571">
        <v>248630172.44839999</v>
      </c>
      <c r="E17" s="571">
        <v>2889168.2363919993</v>
      </c>
      <c r="F17" s="571">
        <v>0</v>
      </c>
      <c r="G17" s="571">
        <v>104182.69</v>
      </c>
      <c r="H17" s="399">
        <f t="shared" si="0"/>
        <v>248889008.10760799</v>
      </c>
    </row>
    <row r="18" spans="1:9">
      <c r="A18" s="400">
        <v>12</v>
      </c>
      <c r="B18" s="415" t="s">
        <v>527</v>
      </c>
      <c r="C18" s="571">
        <v>15579071.791600004</v>
      </c>
      <c r="D18" s="571">
        <v>709159120.39920008</v>
      </c>
      <c r="E18" s="571">
        <v>8125574.3617459992</v>
      </c>
      <c r="F18" s="571">
        <v>0</v>
      </c>
      <c r="G18" s="571">
        <v>3203026.3119000001</v>
      </c>
      <c r="H18" s="399">
        <f t="shared" si="0"/>
        <v>716612617.82905412</v>
      </c>
    </row>
    <row r="19" spans="1:9">
      <c r="A19" s="400">
        <v>13</v>
      </c>
      <c r="B19" s="415" t="s">
        <v>528</v>
      </c>
      <c r="C19" s="571">
        <v>4120308.7937000007</v>
      </c>
      <c r="D19" s="571">
        <v>188519556.19019994</v>
      </c>
      <c r="E19" s="571">
        <v>3384168.753488</v>
      </c>
      <c r="F19" s="571">
        <v>0</v>
      </c>
      <c r="G19" s="571">
        <v>86720.91</v>
      </c>
      <c r="H19" s="399">
        <f t="shared" si="0"/>
        <v>189255696.23041195</v>
      </c>
    </row>
    <row r="20" spans="1:9">
      <c r="A20" s="400">
        <v>14</v>
      </c>
      <c r="B20" s="415" t="s">
        <v>529</v>
      </c>
      <c r="C20" s="571">
        <v>37454691.788500004</v>
      </c>
      <c r="D20" s="571">
        <v>1008263717.3124999</v>
      </c>
      <c r="E20" s="571">
        <v>10218601.962255999</v>
      </c>
      <c r="F20" s="571">
        <v>0</v>
      </c>
      <c r="G20" s="571">
        <v>25634.799999999999</v>
      </c>
      <c r="H20" s="399">
        <f t="shared" si="0"/>
        <v>1035499807.1387439</v>
      </c>
    </row>
    <row r="21" spans="1:9">
      <c r="A21" s="400">
        <v>15</v>
      </c>
      <c r="B21" s="415" t="s">
        <v>530</v>
      </c>
      <c r="C21" s="571">
        <v>7452799.9026000015</v>
      </c>
      <c r="D21" s="571">
        <v>219318662.24730006</v>
      </c>
      <c r="E21" s="571">
        <v>3790107.658082</v>
      </c>
      <c r="F21" s="571">
        <v>0</v>
      </c>
      <c r="G21" s="571">
        <v>35717.99</v>
      </c>
      <c r="H21" s="399">
        <f t="shared" si="0"/>
        <v>222981354.49181804</v>
      </c>
    </row>
    <row r="22" spans="1:9">
      <c r="A22" s="400">
        <v>16</v>
      </c>
      <c r="B22" s="415" t="s">
        <v>531</v>
      </c>
      <c r="C22" s="571">
        <v>58462997.797499977</v>
      </c>
      <c r="D22" s="571">
        <v>651192947.63009989</v>
      </c>
      <c r="E22" s="571">
        <v>9063042.8070120029</v>
      </c>
      <c r="F22" s="571">
        <v>0</v>
      </c>
      <c r="G22" s="571">
        <v>97562.86</v>
      </c>
      <c r="H22" s="399">
        <f t="shared" si="0"/>
        <v>700592902.62058794</v>
      </c>
    </row>
    <row r="23" spans="1:9">
      <c r="A23" s="400">
        <v>17</v>
      </c>
      <c r="B23" s="415" t="s">
        <v>532</v>
      </c>
      <c r="C23" s="571">
        <v>6423430.8072000006</v>
      </c>
      <c r="D23" s="571">
        <v>104923508.80630001</v>
      </c>
      <c r="E23" s="571">
        <v>3545859.8699599998</v>
      </c>
      <c r="F23" s="571">
        <v>0</v>
      </c>
      <c r="G23" s="571">
        <v>0</v>
      </c>
      <c r="H23" s="399">
        <f t="shared" si="0"/>
        <v>107801079.74354002</v>
      </c>
    </row>
    <row r="24" spans="1:9">
      <c r="A24" s="400">
        <v>18</v>
      </c>
      <c r="B24" s="415" t="s">
        <v>533</v>
      </c>
      <c r="C24" s="571">
        <v>3840067.5507999999</v>
      </c>
      <c r="D24" s="571">
        <v>594235475.44677591</v>
      </c>
      <c r="E24" s="571">
        <v>4504690.3075539991</v>
      </c>
      <c r="F24" s="571">
        <v>0</v>
      </c>
      <c r="G24" s="571">
        <v>0</v>
      </c>
      <c r="H24" s="399">
        <f t="shared" si="0"/>
        <v>593570852.69002187</v>
      </c>
    </row>
    <row r="25" spans="1:9">
      <c r="A25" s="400">
        <v>19</v>
      </c>
      <c r="B25" s="415" t="s">
        <v>534</v>
      </c>
      <c r="C25" s="571">
        <v>403434.94459999999</v>
      </c>
      <c r="D25" s="571">
        <v>112263895.57330002</v>
      </c>
      <c r="E25" s="571">
        <v>701768</v>
      </c>
      <c r="F25" s="571">
        <v>0</v>
      </c>
      <c r="G25" s="571">
        <v>80687.039999999994</v>
      </c>
      <c r="H25" s="399">
        <f t="shared" si="0"/>
        <v>111965562.51790002</v>
      </c>
    </row>
    <row r="26" spans="1:9">
      <c r="A26" s="400">
        <v>20</v>
      </c>
      <c r="B26" s="415" t="s">
        <v>535</v>
      </c>
      <c r="C26" s="571">
        <v>9116053.0636</v>
      </c>
      <c r="D26" s="571">
        <v>503362691.815</v>
      </c>
      <c r="E26" s="571">
        <v>5192966.5474320007</v>
      </c>
      <c r="F26" s="571">
        <v>0</v>
      </c>
      <c r="G26" s="571">
        <v>47465.31</v>
      </c>
      <c r="H26" s="399">
        <f t="shared" si="0"/>
        <v>507285778.331168</v>
      </c>
      <c r="I26" s="359"/>
    </row>
    <row r="27" spans="1:9">
      <c r="A27" s="400">
        <v>21</v>
      </c>
      <c r="B27" s="415" t="s">
        <v>536</v>
      </c>
      <c r="C27" s="571">
        <v>1113334.6616</v>
      </c>
      <c r="D27" s="571">
        <v>88344624.5044</v>
      </c>
      <c r="E27" s="571">
        <v>958692.35909200006</v>
      </c>
      <c r="F27" s="571">
        <v>0</v>
      </c>
      <c r="G27" s="571">
        <v>8944.0300000000007</v>
      </c>
      <c r="H27" s="399">
        <f t="shared" si="0"/>
        <v>88499266.806907997</v>
      </c>
      <c r="I27" s="359"/>
    </row>
    <row r="28" spans="1:9">
      <c r="A28" s="400">
        <v>22</v>
      </c>
      <c r="B28" s="415" t="s">
        <v>537</v>
      </c>
      <c r="C28" s="571">
        <v>5484911.7508000005</v>
      </c>
      <c r="D28" s="571">
        <v>264533630.64809996</v>
      </c>
      <c r="E28" s="571">
        <v>3212157.849684</v>
      </c>
      <c r="F28" s="571">
        <v>0</v>
      </c>
      <c r="G28" s="571">
        <v>0</v>
      </c>
      <c r="H28" s="399">
        <f t="shared" si="0"/>
        <v>266806384.54921597</v>
      </c>
      <c r="I28" s="359"/>
    </row>
    <row r="29" spans="1:9">
      <c r="A29" s="400">
        <v>23</v>
      </c>
      <c r="B29" s="415" t="s">
        <v>538</v>
      </c>
      <c r="C29" s="571">
        <v>53671772.747599989</v>
      </c>
      <c r="D29" s="571">
        <v>2709347986.4552002</v>
      </c>
      <c r="E29" s="571">
        <v>38669314.347506002</v>
      </c>
      <c r="F29" s="571">
        <v>0</v>
      </c>
      <c r="G29" s="571">
        <v>1685948.3411000001</v>
      </c>
      <c r="H29" s="399">
        <f t="shared" si="0"/>
        <v>2724350444.8552942</v>
      </c>
      <c r="I29" s="359"/>
    </row>
    <row r="30" spans="1:9">
      <c r="A30" s="400">
        <v>24</v>
      </c>
      <c r="B30" s="415" t="s">
        <v>539</v>
      </c>
      <c r="C30" s="571">
        <v>30203975.437599994</v>
      </c>
      <c r="D30" s="571">
        <v>1049596763.0791003</v>
      </c>
      <c r="E30" s="571">
        <v>19153541.187420003</v>
      </c>
      <c r="F30" s="571">
        <v>0</v>
      </c>
      <c r="G30" s="571">
        <v>5043896.8978000004</v>
      </c>
      <c r="H30" s="399">
        <f t="shared" si="0"/>
        <v>1060647197.3292803</v>
      </c>
      <c r="I30" s="359"/>
    </row>
    <row r="31" spans="1:9">
      <c r="A31" s="400">
        <v>25</v>
      </c>
      <c r="B31" s="415" t="s">
        <v>540</v>
      </c>
      <c r="C31" s="571">
        <v>89194931.474699959</v>
      </c>
      <c r="D31" s="571">
        <v>1179310485.6507893</v>
      </c>
      <c r="E31" s="571">
        <v>53638548.618428022</v>
      </c>
      <c r="F31" s="571">
        <v>0</v>
      </c>
      <c r="G31" s="571">
        <v>41801528.411600016</v>
      </c>
      <c r="H31" s="399">
        <f t="shared" si="0"/>
        <v>1214866868.5070612</v>
      </c>
      <c r="I31" s="359"/>
    </row>
    <row r="32" spans="1:9">
      <c r="A32" s="400">
        <v>26</v>
      </c>
      <c r="B32" s="415" t="s">
        <v>541</v>
      </c>
      <c r="C32" s="571">
        <v>5671426.2674000002</v>
      </c>
      <c r="D32" s="571">
        <v>60758876.565699995</v>
      </c>
      <c r="E32" s="571">
        <v>5991127.0468680011</v>
      </c>
      <c r="F32" s="571">
        <v>0</v>
      </c>
      <c r="G32" s="571">
        <v>0</v>
      </c>
      <c r="H32" s="399">
        <f t="shared" si="0"/>
        <v>60439175.786231987</v>
      </c>
      <c r="I32" s="359"/>
    </row>
    <row r="33" spans="1:9">
      <c r="A33" s="400">
        <v>27</v>
      </c>
      <c r="B33" s="401" t="s">
        <v>99</v>
      </c>
      <c r="C33" s="571">
        <v>17229020.157400001</v>
      </c>
      <c r="D33" s="571">
        <v>1928802018.5752933</v>
      </c>
      <c r="E33" s="571">
        <v>15586501.753599999</v>
      </c>
      <c r="F33" s="571">
        <v>0</v>
      </c>
      <c r="G33" s="571">
        <v>0</v>
      </c>
      <c r="H33" s="399">
        <f t="shared" si="0"/>
        <v>1930444536.9790933</v>
      </c>
      <c r="I33" s="359"/>
    </row>
    <row r="34" spans="1:9" s="563" customFormat="1">
      <c r="A34" s="571">
        <v>28</v>
      </c>
      <c r="B34" s="590" t="s">
        <v>66</v>
      </c>
      <c r="C34" s="591">
        <f>SUM(C7:C33)</f>
        <v>526504702.67870009</v>
      </c>
      <c r="D34" s="591">
        <f>SUM(D7:D33)</f>
        <v>25994246442.185276</v>
      </c>
      <c r="E34" s="591">
        <f>SUM(E7:E33)</f>
        <v>316642206.2560001</v>
      </c>
      <c r="F34" s="591">
        <f>SUM(F7:F33)</f>
        <v>0</v>
      </c>
      <c r="G34" s="591">
        <f>SUM(G7:G33)</f>
        <v>63542745.000000015</v>
      </c>
      <c r="H34" s="592">
        <f t="shared" si="0"/>
        <v>26204108938.607975</v>
      </c>
      <c r="I34" s="593"/>
    </row>
    <row r="35" spans="1:9">
      <c r="A35" s="359"/>
      <c r="B35" s="359"/>
      <c r="C35" s="359"/>
      <c r="D35" s="359"/>
      <c r="E35" s="359"/>
      <c r="F35" s="359"/>
      <c r="G35" s="359"/>
      <c r="H35" s="359"/>
      <c r="I35" s="359"/>
    </row>
    <row r="36" spans="1:9">
      <c r="A36" s="359"/>
      <c r="B36" s="360"/>
      <c r="C36" s="593"/>
      <c r="D36" s="593"/>
      <c r="E36" s="593"/>
      <c r="F36" s="359"/>
      <c r="G36" s="593"/>
      <c r="H36" s="359"/>
      <c r="I36" s="359"/>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D15"/>
  <sheetViews>
    <sheetView showGridLines="0" zoomScaleNormal="100" workbookViewId="0">
      <selection activeCell="E29" sqref="E29"/>
    </sheetView>
  </sheetViews>
  <sheetFormatPr defaultColWidth="9.140625" defaultRowHeight="12.75"/>
  <cols>
    <col min="1" max="1" width="11.85546875" style="352" bestFit="1" customWidth="1"/>
    <col min="2" max="2" width="108" style="352" bestFit="1" customWidth="1"/>
    <col min="3" max="3" width="35.5703125" style="352" customWidth="1"/>
    <col min="4" max="4" width="38.42578125" style="358" customWidth="1"/>
    <col min="5" max="16384" width="9.140625" style="352"/>
  </cols>
  <sheetData>
    <row r="1" spans="1:4" ht="13.5">
      <c r="A1" s="351" t="s">
        <v>108</v>
      </c>
      <c r="B1" s="276" t="str">
        <f>Info!C2</f>
        <v>სს ”საქართველოს ბანკი”</v>
      </c>
      <c r="D1" s="352"/>
    </row>
    <row r="2" spans="1:4">
      <c r="A2" s="353" t="s">
        <v>109</v>
      </c>
      <c r="B2" s="355">
        <f>'1. key ratios'!B2</f>
        <v>45016</v>
      </c>
      <c r="D2" s="352"/>
    </row>
    <row r="3" spans="1:4">
      <c r="A3" s="354" t="s">
        <v>542</v>
      </c>
      <c r="D3" s="352"/>
    </row>
    <row r="5" spans="1:4">
      <c r="A5" s="856" t="s">
        <v>879</v>
      </c>
      <c r="B5" s="856"/>
      <c r="C5" s="423" t="s">
        <v>561</v>
      </c>
      <c r="D5" s="423" t="s">
        <v>878</v>
      </c>
    </row>
    <row r="6" spans="1:4">
      <c r="A6" s="422">
        <v>1</v>
      </c>
      <c r="B6" s="416" t="s">
        <v>877</v>
      </c>
      <c r="C6" s="729">
        <v>306107810.47999996</v>
      </c>
      <c r="D6" s="729">
        <v>5416156.6500000013</v>
      </c>
    </row>
    <row r="7" spans="1:4">
      <c r="A7" s="419">
        <v>2</v>
      </c>
      <c r="B7" s="416" t="s">
        <v>876</v>
      </c>
      <c r="C7" s="729">
        <f>SUM(C8:C9)</f>
        <v>187692850.68535441</v>
      </c>
      <c r="D7" s="729">
        <f>SUM(D8:D9)</f>
        <v>2485600.2899999963</v>
      </c>
    </row>
    <row r="8" spans="1:4">
      <c r="A8" s="421">
        <v>2.1</v>
      </c>
      <c r="B8" s="420" t="s">
        <v>875</v>
      </c>
      <c r="C8" s="729">
        <v>44786202</v>
      </c>
      <c r="D8" s="729">
        <v>157717.24</v>
      </c>
    </row>
    <row r="9" spans="1:4">
      <c r="A9" s="421">
        <v>2.2000000000000002</v>
      </c>
      <c r="B9" s="420" t="s">
        <v>874</v>
      </c>
      <c r="C9" s="729">
        <v>142906648.68535441</v>
      </c>
      <c r="D9" s="729">
        <v>2327883.0499999961</v>
      </c>
    </row>
    <row r="10" spans="1:4">
      <c r="A10" s="422">
        <v>3</v>
      </c>
      <c r="B10" s="416" t="s">
        <v>873</v>
      </c>
      <c r="C10" s="729">
        <f>SUM(C11:C13)</f>
        <v>197091720.4111923</v>
      </c>
      <c r="D10" s="729">
        <f>SUM(D11:D13)</f>
        <v>490734.85</v>
      </c>
    </row>
    <row r="11" spans="1:4">
      <c r="A11" s="421">
        <v>3.1</v>
      </c>
      <c r="B11" s="420" t="s">
        <v>543</v>
      </c>
      <c r="C11" s="729">
        <v>63542745</v>
      </c>
      <c r="D11" s="729">
        <v>0</v>
      </c>
    </row>
    <row r="12" spans="1:4">
      <c r="A12" s="421">
        <v>3.2</v>
      </c>
      <c r="B12" s="420" t="s">
        <v>872</v>
      </c>
      <c r="C12" s="729">
        <v>57744195.411192313</v>
      </c>
      <c r="D12" s="729">
        <v>0</v>
      </c>
    </row>
    <row r="13" spans="1:4">
      <c r="A13" s="421">
        <v>3.3</v>
      </c>
      <c r="B13" s="420" t="s">
        <v>871</v>
      </c>
      <c r="C13" s="729">
        <v>75804779.999999985</v>
      </c>
      <c r="D13" s="729">
        <v>490734.85</v>
      </c>
    </row>
    <row r="14" spans="1:4">
      <c r="A14" s="419">
        <v>4</v>
      </c>
      <c r="B14" s="418" t="s">
        <v>870</v>
      </c>
      <c r="C14" s="729">
        <v>-3616453.7441621139</v>
      </c>
      <c r="D14" s="729">
        <v>31066.520000000004</v>
      </c>
    </row>
    <row r="15" spans="1:4">
      <c r="A15" s="417">
        <v>5</v>
      </c>
      <c r="B15" s="416" t="s">
        <v>869</v>
      </c>
      <c r="C15" s="730">
        <f>C6+C7-C10+C14</f>
        <v>293092487.00999993</v>
      </c>
      <c r="D15" s="730">
        <f>D6+D7-D10+D14</f>
        <v>7442088.6099999975</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24"/>
  <sheetViews>
    <sheetView showGridLines="0" topLeftCell="A13" zoomScaleNormal="100" workbookViewId="0">
      <selection activeCell="D20" sqref="D20"/>
    </sheetView>
  </sheetViews>
  <sheetFormatPr defaultColWidth="9.140625" defaultRowHeight="12.75"/>
  <cols>
    <col min="1" max="1" width="11.85546875" style="411" bestFit="1" customWidth="1"/>
    <col min="2" max="2" width="128.85546875" style="411" bestFit="1" customWidth="1"/>
    <col min="3" max="3" width="37" style="411" customWidth="1"/>
    <col min="4" max="4" width="50.5703125" style="411" customWidth="1"/>
    <col min="5" max="16384" width="9.140625" style="411"/>
  </cols>
  <sheetData>
    <row r="1" spans="1:4" ht="13.5">
      <c r="A1" s="351" t="s">
        <v>108</v>
      </c>
      <c r="B1" s="276" t="str">
        <f>Info!C2</f>
        <v>სს ”საქართველოს ბანკი”</v>
      </c>
    </row>
    <row r="2" spans="1:4">
      <c r="A2" s="353" t="s">
        <v>109</v>
      </c>
      <c r="B2" s="355">
        <f>'1. key ratios'!B2</f>
        <v>45016</v>
      </c>
    </row>
    <row r="3" spans="1:4">
      <c r="A3" s="354" t="s">
        <v>544</v>
      </c>
    </row>
    <row r="4" spans="1:4">
      <c r="A4" s="354"/>
    </row>
    <row r="5" spans="1:4" ht="15" customHeight="1">
      <c r="A5" s="857" t="s">
        <v>545</v>
      </c>
      <c r="B5" s="858"/>
      <c r="C5" s="861" t="s">
        <v>546</v>
      </c>
      <c r="D5" s="861" t="s">
        <v>547</v>
      </c>
    </row>
    <row r="6" spans="1:4">
      <c r="A6" s="859"/>
      <c r="B6" s="860"/>
      <c r="C6" s="861"/>
      <c r="D6" s="861"/>
    </row>
    <row r="7" spans="1:4" ht="15">
      <c r="A7" s="414">
        <v>1</v>
      </c>
      <c r="B7" s="404" t="s">
        <v>548</v>
      </c>
      <c r="C7" s="578">
        <v>583547752.11689997</v>
      </c>
      <c r="D7" s="424"/>
    </row>
    <row r="8" spans="1:4" ht="15">
      <c r="A8" s="401">
        <v>2</v>
      </c>
      <c r="B8" s="401" t="s">
        <v>549</v>
      </c>
      <c r="C8" s="578">
        <v>103660188.34</v>
      </c>
      <c r="D8" s="424"/>
    </row>
    <row r="9" spans="1:4" ht="15">
      <c r="A9" s="401">
        <v>3</v>
      </c>
      <c r="B9" s="427" t="s">
        <v>550</v>
      </c>
      <c r="C9" s="578">
        <v>0</v>
      </c>
      <c r="D9" s="424"/>
    </row>
    <row r="10" spans="1:4" ht="15">
      <c r="A10" s="401">
        <v>4</v>
      </c>
      <c r="B10" s="401" t="s">
        <v>551</v>
      </c>
      <c r="C10" s="578">
        <f>SUM(C11:C17)</f>
        <v>177932257.93559998</v>
      </c>
      <c r="D10" s="424"/>
    </row>
    <row r="11" spans="1:4" ht="15">
      <c r="A11" s="401">
        <v>5</v>
      </c>
      <c r="B11" s="426" t="s">
        <v>880</v>
      </c>
      <c r="C11" s="578">
        <v>23784318.1481</v>
      </c>
      <c r="D11" s="424"/>
    </row>
    <row r="12" spans="1:4" ht="15">
      <c r="A12" s="401">
        <v>6</v>
      </c>
      <c r="B12" s="426" t="s">
        <v>552</v>
      </c>
      <c r="C12" s="578">
        <v>44274611.1677</v>
      </c>
      <c r="D12" s="424"/>
    </row>
    <row r="13" spans="1:4" ht="15">
      <c r="A13" s="401">
        <v>7</v>
      </c>
      <c r="B13" s="426" t="s">
        <v>555</v>
      </c>
      <c r="C13" s="578">
        <v>59805896.900200002</v>
      </c>
      <c r="D13" s="424"/>
    </row>
    <row r="14" spans="1:4" ht="15">
      <c r="A14" s="401">
        <v>8</v>
      </c>
      <c r="B14" s="426" t="s">
        <v>553</v>
      </c>
      <c r="C14" s="578">
        <v>36032987.059600003</v>
      </c>
      <c r="D14" s="401"/>
    </row>
    <row r="15" spans="1:4" ht="15">
      <c r="A15" s="401">
        <v>9</v>
      </c>
      <c r="B15" s="426" t="s">
        <v>554</v>
      </c>
      <c r="C15" s="578">
        <v>0</v>
      </c>
      <c r="D15" s="401"/>
    </row>
    <row r="16" spans="1:4" ht="15">
      <c r="A16" s="401">
        <v>10</v>
      </c>
      <c r="B16" s="426" t="s">
        <v>556</v>
      </c>
      <c r="C16" s="578">
        <v>0</v>
      </c>
      <c r="D16" s="401"/>
    </row>
    <row r="17" spans="1:4" ht="26.25">
      <c r="A17" s="401">
        <v>11</v>
      </c>
      <c r="B17" s="426" t="s">
        <v>557</v>
      </c>
      <c r="C17" s="578">
        <v>14034444.66</v>
      </c>
      <c r="D17" s="424"/>
    </row>
    <row r="18" spans="1:4" ht="15">
      <c r="A18" s="414">
        <v>12</v>
      </c>
      <c r="B18" s="425" t="s">
        <v>558</v>
      </c>
      <c r="C18" s="578">
        <v>509275682.52130002</v>
      </c>
      <c r="D18" s="424"/>
    </row>
    <row r="20" spans="1:4">
      <c r="C20" s="579"/>
      <c r="D20" s="579"/>
    </row>
    <row r="21" spans="1:4">
      <c r="B21" s="351"/>
      <c r="C21" s="579"/>
    </row>
    <row r="22" spans="1:4">
      <c r="B22" s="353"/>
    </row>
    <row r="23" spans="1:4">
      <c r="B23" s="354"/>
      <c r="C23" s="579"/>
    </row>
    <row r="24" spans="1:4">
      <c r="C24" s="579"/>
    </row>
  </sheetData>
  <mergeCells count="3">
    <mergeCell ref="A5:B6"/>
    <mergeCell ref="C5:C6"/>
    <mergeCell ref="D5:D6"/>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5"/>
  <sheetViews>
    <sheetView showGridLines="0" tabSelected="1" topLeftCell="A2" zoomScale="85" zoomScaleNormal="85" workbookViewId="0">
      <selection activeCell="D32" sqref="D32"/>
    </sheetView>
  </sheetViews>
  <sheetFormatPr defaultColWidth="9.140625" defaultRowHeight="12.75"/>
  <cols>
    <col min="1" max="1" width="11.85546875" style="411" bestFit="1" customWidth="1"/>
    <col min="2" max="2" width="63.85546875" style="411" customWidth="1"/>
    <col min="3" max="3" width="19.42578125" style="411" bestFit="1" customWidth="1"/>
    <col min="4" max="18" width="22.28515625" style="411" customWidth="1"/>
    <col min="19" max="19" width="23.28515625" style="411" bestFit="1" customWidth="1"/>
    <col min="20" max="26" width="22.28515625" style="411" customWidth="1"/>
    <col min="27" max="27" width="23.28515625" style="411" bestFit="1" customWidth="1"/>
    <col min="28" max="16384" width="9.140625" style="411"/>
  </cols>
  <sheetData>
    <row r="1" spans="1:28" ht="13.5">
      <c r="A1" s="351" t="s">
        <v>108</v>
      </c>
      <c r="B1" s="276" t="str">
        <f>Info!C2</f>
        <v>სს ”საქართველოს ბანკი”</v>
      </c>
      <c r="D1" s="579"/>
      <c r="F1" s="579"/>
    </row>
    <row r="2" spans="1:28">
      <c r="A2" s="353" t="s">
        <v>109</v>
      </c>
      <c r="B2" s="355">
        <f>'1. key ratios'!B2</f>
        <v>45016</v>
      </c>
      <c r="C2" s="412"/>
      <c r="D2" s="579"/>
      <c r="E2" s="579"/>
      <c r="F2" s="579"/>
      <c r="G2" s="579"/>
      <c r="H2" s="579"/>
      <c r="I2" s="579"/>
      <c r="J2" s="579"/>
      <c r="K2" s="579"/>
      <c r="L2" s="579"/>
      <c r="M2" s="579"/>
      <c r="N2" s="579"/>
      <c r="O2" s="579"/>
      <c r="P2" s="579"/>
      <c r="Q2" s="579"/>
      <c r="R2" s="579"/>
      <c r="S2" s="579"/>
      <c r="T2" s="579"/>
      <c r="U2" s="579"/>
      <c r="V2" s="579"/>
      <c r="W2" s="579"/>
      <c r="X2" s="579"/>
      <c r="Y2" s="579"/>
      <c r="Z2" s="579"/>
      <c r="AA2" s="579"/>
    </row>
    <row r="3" spans="1:28">
      <c r="A3" s="354" t="s">
        <v>559</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f t="shared" ref="AB3" si="0">AB4-AB8</f>
        <v>0</v>
      </c>
    </row>
    <row r="4" spans="1:28">
      <c r="A4" s="411">
        <v>1</v>
      </c>
      <c r="B4" s="411" t="s">
        <v>561</v>
      </c>
    </row>
    <row r="5" spans="1:28" ht="15" customHeight="1">
      <c r="A5" s="862" t="s">
        <v>893</v>
      </c>
      <c r="B5" s="863"/>
      <c r="C5" s="868" t="s">
        <v>892</v>
      </c>
      <c r="D5" s="869"/>
      <c r="E5" s="869"/>
      <c r="F5" s="869"/>
      <c r="G5" s="869"/>
      <c r="H5" s="869"/>
      <c r="I5" s="869"/>
      <c r="J5" s="869"/>
      <c r="K5" s="869"/>
      <c r="L5" s="869"/>
      <c r="M5" s="869"/>
      <c r="N5" s="869"/>
      <c r="O5" s="869"/>
      <c r="P5" s="869"/>
      <c r="Q5" s="869"/>
      <c r="R5" s="869"/>
      <c r="S5" s="869"/>
      <c r="T5" s="440"/>
      <c r="U5" s="440"/>
      <c r="V5" s="440"/>
      <c r="W5" s="440"/>
      <c r="X5" s="440"/>
      <c r="Y5" s="440"/>
      <c r="Z5" s="440"/>
      <c r="AA5" s="439"/>
    </row>
    <row r="6" spans="1:28">
      <c r="A6" s="864"/>
      <c r="B6" s="865"/>
      <c r="C6" s="870" t="s">
        <v>66</v>
      </c>
      <c r="D6" s="872" t="s">
        <v>891</v>
      </c>
      <c r="E6" s="872"/>
      <c r="F6" s="872"/>
      <c r="G6" s="872"/>
      <c r="H6" s="873" t="s">
        <v>890</v>
      </c>
      <c r="I6" s="874"/>
      <c r="J6" s="874"/>
      <c r="K6" s="875"/>
      <c r="L6" s="438"/>
      <c r="M6" s="876" t="s">
        <v>889</v>
      </c>
      <c r="N6" s="876"/>
      <c r="O6" s="876"/>
      <c r="P6" s="876"/>
      <c r="Q6" s="876"/>
      <c r="R6" s="876"/>
      <c r="S6" s="852"/>
      <c r="T6" s="437"/>
      <c r="U6" s="855" t="s">
        <v>888</v>
      </c>
      <c r="V6" s="855"/>
      <c r="W6" s="855"/>
      <c r="X6" s="855"/>
      <c r="Y6" s="855"/>
      <c r="Z6" s="855"/>
      <c r="AA6" s="853"/>
    </row>
    <row r="7" spans="1:28" ht="25.5">
      <c r="A7" s="866"/>
      <c r="B7" s="867"/>
      <c r="C7" s="871"/>
      <c r="D7" s="436"/>
      <c r="E7" s="432" t="s">
        <v>560</v>
      </c>
      <c r="F7" s="408" t="s">
        <v>886</v>
      </c>
      <c r="G7" s="408" t="s">
        <v>887</v>
      </c>
      <c r="H7" s="435"/>
      <c r="I7" s="432" t="s">
        <v>560</v>
      </c>
      <c r="J7" s="408" t="s">
        <v>886</v>
      </c>
      <c r="K7" s="408" t="s">
        <v>887</v>
      </c>
      <c r="L7" s="434"/>
      <c r="M7" s="432" t="s">
        <v>560</v>
      </c>
      <c r="N7" s="408" t="s">
        <v>886</v>
      </c>
      <c r="O7" s="408" t="s">
        <v>885</v>
      </c>
      <c r="P7" s="408" t="s">
        <v>884</v>
      </c>
      <c r="Q7" s="408" t="s">
        <v>883</v>
      </c>
      <c r="R7" s="408" t="s">
        <v>882</v>
      </c>
      <c r="S7" s="408" t="s">
        <v>881</v>
      </c>
      <c r="T7" s="433"/>
      <c r="U7" s="432" t="s">
        <v>560</v>
      </c>
      <c r="V7" s="408" t="s">
        <v>886</v>
      </c>
      <c r="W7" s="408" t="s">
        <v>885</v>
      </c>
      <c r="X7" s="408" t="s">
        <v>884</v>
      </c>
      <c r="Y7" s="408" t="s">
        <v>883</v>
      </c>
      <c r="Z7" s="408" t="s">
        <v>882</v>
      </c>
      <c r="AA7" s="408" t="s">
        <v>881</v>
      </c>
    </row>
    <row r="8" spans="1:28" ht="15">
      <c r="A8" s="431">
        <v>1</v>
      </c>
      <c r="B8" s="404" t="s">
        <v>561</v>
      </c>
      <c r="C8" s="599">
        <f t="shared" ref="C8:C25" si="1">D8+H8+L8+T8</f>
        <v>16701014604.499863</v>
      </c>
      <c r="D8" s="570">
        <f t="shared" ref="D8:AA8" si="2">SUM(D9:D14)</f>
        <v>15004439974.222187</v>
      </c>
      <c r="E8" s="570">
        <f t="shared" si="2"/>
        <v>112225874.31910008</v>
      </c>
      <c r="F8" s="570">
        <f t="shared" si="2"/>
        <v>4305878.1905999994</v>
      </c>
      <c r="G8" s="570">
        <f t="shared" si="2"/>
        <v>0</v>
      </c>
      <c r="H8" s="570">
        <f t="shared" si="2"/>
        <v>1187298947.7563739</v>
      </c>
      <c r="I8" s="570">
        <f t="shared" si="2"/>
        <v>127458720.69260001</v>
      </c>
      <c r="J8" s="570">
        <f t="shared" si="2"/>
        <v>72784132.186000034</v>
      </c>
      <c r="K8" s="570">
        <f t="shared" si="2"/>
        <v>168696.46190000008</v>
      </c>
      <c r="L8" s="570">
        <f t="shared" si="2"/>
        <v>422457394.3896001</v>
      </c>
      <c r="M8" s="570">
        <f t="shared" si="2"/>
        <v>26806703.566699997</v>
      </c>
      <c r="N8" s="570">
        <f t="shared" si="2"/>
        <v>43143478.1435</v>
      </c>
      <c r="O8" s="570">
        <f t="shared" si="2"/>
        <v>111905116.82929997</v>
      </c>
      <c r="P8" s="570">
        <f t="shared" si="2"/>
        <v>44753637.633600004</v>
      </c>
      <c r="Q8" s="570">
        <f t="shared" si="2"/>
        <v>39834206.165400006</v>
      </c>
      <c r="R8" s="570">
        <f t="shared" si="2"/>
        <v>35075945.521099992</v>
      </c>
      <c r="S8" s="570">
        <f t="shared" si="2"/>
        <v>3289077.5126</v>
      </c>
      <c r="T8" s="570">
        <f t="shared" si="2"/>
        <v>86818288.131700009</v>
      </c>
      <c r="U8" s="570">
        <f t="shared" si="2"/>
        <v>6677222.4047999997</v>
      </c>
      <c r="V8" s="570">
        <f t="shared" si="2"/>
        <v>6800503.3108000001</v>
      </c>
      <c r="W8" s="570">
        <f t="shared" si="2"/>
        <v>2764668.0891</v>
      </c>
      <c r="X8" s="570">
        <f t="shared" si="2"/>
        <v>1382391.2265999997</v>
      </c>
      <c r="Y8" s="570">
        <f t="shared" si="2"/>
        <v>1186762.5273</v>
      </c>
      <c r="Z8" s="570">
        <f t="shared" si="2"/>
        <v>1374111.2189999998</v>
      </c>
      <c r="AA8" s="570">
        <f t="shared" si="2"/>
        <v>0</v>
      </c>
    </row>
    <row r="9" spans="1:28" ht="15">
      <c r="A9" s="400">
        <v>1.1000000000000001</v>
      </c>
      <c r="B9" s="430" t="s">
        <v>562</v>
      </c>
      <c r="C9" s="599">
        <f>D9+H9+L9+T9</f>
        <v>0</v>
      </c>
      <c r="D9" s="572">
        <v>0</v>
      </c>
      <c r="E9" s="572">
        <v>0</v>
      </c>
      <c r="F9" s="572">
        <v>0</v>
      </c>
      <c r="G9" s="572">
        <v>0</v>
      </c>
      <c r="H9" s="572">
        <v>0</v>
      </c>
      <c r="I9" s="572">
        <v>0</v>
      </c>
      <c r="J9" s="572">
        <v>0</v>
      </c>
      <c r="K9" s="572">
        <v>0</v>
      </c>
      <c r="L9" s="572">
        <v>0</v>
      </c>
      <c r="M9" s="572">
        <v>0</v>
      </c>
      <c r="N9" s="572">
        <v>0</v>
      </c>
      <c r="O9" s="572">
        <v>0</v>
      </c>
      <c r="P9" s="572">
        <v>0</v>
      </c>
      <c r="Q9" s="572">
        <v>0</v>
      </c>
      <c r="R9" s="572">
        <v>0</v>
      </c>
      <c r="S9" s="572">
        <v>0</v>
      </c>
      <c r="T9" s="572">
        <v>0</v>
      </c>
      <c r="U9" s="572">
        <v>0</v>
      </c>
      <c r="V9" s="572">
        <v>0</v>
      </c>
      <c r="W9" s="572">
        <v>0</v>
      </c>
      <c r="X9" s="572">
        <v>0</v>
      </c>
      <c r="Y9" s="572">
        <v>0</v>
      </c>
      <c r="Z9" s="572">
        <v>0</v>
      </c>
      <c r="AA9" s="572">
        <v>0</v>
      </c>
    </row>
    <row r="10" spans="1:28" ht="15">
      <c r="A10" s="400">
        <v>1.2</v>
      </c>
      <c r="B10" s="430" t="s">
        <v>563</v>
      </c>
      <c r="C10" s="599">
        <f t="shared" si="1"/>
        <v>0</v>
      </c>
      <c r="D10" s="572">
        <v>0</v>
      </c>
      <c r="E10" s="572">
        <v>0</v>
      </c>
      <c r="F10" s="572">
        <v>0</v>
      </c>
      <c r="G10" s="572">
        <v>0</v>
      </c>
      <c r="H10" s="572">
        <v>0</v>
      </c>
      <c r="I10" s="572">
        <v>0</v>
      </c>
      <c r="J10" s="572">
        <v>0</v>
      </c>
      <c r="K10" s="572">
        <v>0</v>
      </c>
      <c r="L10" s="572">
        <v>0</v>
      </c>
      <c r="M10" s="572">
        <v>0</v>
      </c>
      <c r="N10" s="572">
        <v>0</v>
      </c>
      <c r="O10" s="572">
        <v>0</v>
      </c>
      <c r="P10" s="572">
        <v>0</v>
      </c>
      <c r="Q10" s="572">
        <v>0</v>
      </c>
      <c r="R10" s="572">
        <v>0</v>
      </c>
      <c r="S10" s="572">
        <v>0</v>
      </c>
      <c r="T10" s="572">
        <v>0</v>
      </c>
      <c r="U10" s="572">
        <v>0</v>
      </c>
      <c r="V10" s="572">
        <v>0</v>
      </c>
      <c r="W10" s="572">
        <v>0</v>
      </c>
      <c r="X10" s="572">
        <v>0</v>
      </c>
      <c r="Y10" s="572">
        <v>0</v>
      </c>
      <c r="Z10" s="572">
        <v>0</v>
      </c>
      <c r="AA10" s="572">
        <v>0</v>
      </c>
    </row>
    <row r="11" spans="1:28" ht="15">
      <c r="A11" s="400">
        <v>1.3</v>
      </c>
      <c r="B11" s="430" t="s">
        <v>564</v>
      </c>
      <c r="C11" s="599">
        <f t="shared" si="1"/>
        <v>0</v>
      </c>
      <c r="D11" s="572">
        <v>0</v>
      </c>
      <c r="E11" s="572">
        <v>0</v>
      </c>
      <c r="F11" s="572">
        <v>0</v>
      </c>
      <c r="G11" s="572">
        <v>0</v>
      </c>
      <c r="H11" s="572">
        <v>0</v>
      </c>
      <c r="I11" s="572">
        <v>0</v>
      </c>
      <c r="J11" s="572">
        <v>0</v>
      </c>
      <c r="K11" s="572">
        <v>0</v>
      </c>
      <c r="L11" s="572">
        <v>0</v>
      </c>
      <c r="M11" s="572">
        <v>0</v>
      </c>
      <c r="N11" s="572">
        <v>0</v>
      </c>
      <c r="O11" s="572">
        <v>0</v>
      </c>
      <c r="P11" s="572">
        <v>0</v>
      </c>
      <c r="Q11" s="572">
        <v>0</v>
      </c>
      <c r="R11" s="572">
        <v>0</v>
      </c>
      <c r="S11" s="572">
        <v>0</v>
      </c>
      <c r="T11" s="572">
        <v>0</v>
      </c>
      <c r="U11" s="572">
        <v>0</v>
      </c>
      <c r="V11" s="572">
        <v>0</v>
      </c>
      <c r="W11" s="572">
        <v>0</v>
      </c>
      <c r="X11" s="572">
        <v>0</v>
      </c>
      <c r="Y11" s="572">
        <v>0</v>
      </c>
      <c r="Z11" s="572">
        <v>0</v>
      </c>
      <c r="AA11" s="572">
        <v>0</v>
      </c>
    </row>
    <row r="12" spans="1:28" ht="15">
      <c r="A12" s="400">
        <v>1.4</v>
      </c>
      <c r="B12" s="430" t="s">
        <v>565</v>
      </c>
      <c r="C12" s="599">
        <f t="shared" si="1"/>
        <v>144332002.66639999</v>
      </c>
      <c r="D12" s="572">
        <v>139468004.67639998</v>
      </c>
      <c r="E12" s="572">
        <v>0</v>
      </c>
      <c r="F12" s="572">
        <v>0</v>
      </c>
      <c r="G12" s="572">
        <v>0</v>
      </c>
      <c r="H12" s="572">
        <v>0</v>
      </c>
      <c r="I12" s="572">
        <v>0</v>
      </c>
      <c r="J12" s="572">
        <v>0</v>
      </c>
      <c r="K12" s="572">
        <v>0</v>
      </c>
      <c r="L12" s="572">
        <v>4863997.99</v>
      </c>
      <c r="M12" s="572">
        <v>4476176.07</v>
      </c>
      <c r="N12" s="572">
        <v>0</v>
      </c>
      <c r="O12" s="572">
        <v>0</v>
      </c>
      <c r="P12" s="572">
        <v>0</v>
      </c>
      <c r="Q12" s="572">
        <v>0</v>
      </c>
      <c r="R12" s="572">
        <v>0</v>
      </c>
      <c r="S12" s="572">
        <v>0</v>
      </c>
      <c r="T12" s="572">
        <v>0</v>
      </c>
      <c r="U12" s="572">
        <v>0</v>
      </c>
      <c r="V12" s="572">
        <v>0</v>
      </c>
      <c r="W12" s="572">
        <v>0</v>
      </c>
      <c r="X12" s="572">
        <v>0</v>
      </c>
      <c r="Y12" s="572">
        <v>0</v>
      </c>
      <c r="Z12" s="572">
        <v>0</v>
      </c>
      <c r="AA12" s="572">
        <v>0</v>
      </c>
    </row>
    <row r="13" spans="1:28" ht="15">
      <c r="A13" s="400">
        <v>1.5</v>
      </c>
      <c r="B13" s="430" t="s">
        <v>566</v>
      </c>
      <c r="C13" s="599">
        <f t="shared" si="1"/>
        <v>7699129578.8220634</v>
      </c>
      <c r="D13" s="572">
        <v>6707735560.5282898</v>
      </c>
      <c r="E13" s="572">
        <v>19684581.540499996</v>
      </c>
      <c r="F13" s="572">
        <v>976696.36330000008</v>
      </c>
      <c r="G13" s="572">
        <v>0</v>
      </c>
      <c r="H13" s="572">
        <v>755179463.71407366</v>
      </c>
      <c r="I13" s="572">
        <v>77244125.939500004</v>
      </c>
      <c r="J13" s="572">
        <v>25417128.591699999</v>
      </c>
      <c r="K13" s="572">
        <v>153288.33560000008</v>
      </c>
      <c r="L13" s="572">
        <v>217668115.25090009</v>
      </c>
      <c r="M13" s="572">
        <v>1907973.0344999998</v>
      </c>
      <c r="N13" s="572">
        <v>27435904.095999997</v>
      </c>
      <c r="O13" s="572">
        <v>71919250.495700002</v>
      </c>
      <c r="P13" s="572">
        <v>31336534.751200002</v>
      </c>
      <c r="Q13" s="572">
        <v>27761868.112500001</v>
      </c>
      <c r="R13" s="572">
        <v>22394526.683599994</v>
      </c>
      <c r="S13" s="572">
        <v>1116805.5174</v>
      </c>
      <c r="T13" s="572">
        <v>18546439.3288</v>
      </c>
      <c r="U13" s="572">
        <v>37945.220199999996</v>
      </c>
      <c r="V13" s="572">
        <v>752625.11660000007</v>
      </c>
      <c r="W13" s="572">
        <v>27829.910500000002</v>
      </c>
      <c r="X13" s="572">
        <v>0</v>
      </c>
      <c r="Y13" s="572">
        <v>681457.53979999991</v>
      </c>
      <c r="Z13" s="572">
        <v>0</v>
      </c>
      <c r="AA13" s="572">
        <v>0</v>
      </c>
    </row>
    <row r="14" spans="1:28" ht="15">
      <c r="A14" s="400">
        <v>1.6</v>
      </c>
      <c r="B14" s="430" t="s">
        <v>567</v>
      </c>
      <c r="C14" s="599">
        <f t="shared" si="1"/>
        <v>8857553023.0113983</v>
      </c>
      <c r="D14" s="572">
        <v>8157236409.0174971</v>
      </c>
      <c r="E14" s="572">
        <v>92541292.778600082</v>
      </c>
      <c r="F14" s="572">
        <v>3329181.8272999995</v>
      </c>
      <c r="G14" s="572">
        <v>0</v>
      </c>
      <c r="H14" s="572">
        <v>432119484.04230034</v>
      </c>
      <c r="I14" s="572">
        <v>50214594.7531</v>
      </c>
      <c r="J14" s="572">
        <v>47367003.594300032</v>
      </c>
      <c r="K14" s="572">
        <v>15408.126300000004</v>
      </c>
      <c r="L14" s="572">
        <v>199925281.1487</v>
      </c>
      <c r="M14" s="572">
        <v>20422554.462199997</v>
      </c>
      <c r="N14" s="572">
        <v>15707574.047500001</v>
      </c>
      <c r="O14" s="572">
        <v>39985866.33359997</v>
      </c>
      <c r="P14" s="572">
        <v>13417102.8824</v>
      </c>
      <c r="Q14" s="572">
        <v>12072338.052900003</v>
      </c>
      <c r="R14" s="572">
        <v>12681418.8375</v>
      </c>
      <c r="S14" s="572">
        <v>2172271.9951999998</v>
      </c>
      <c r="T14" s="572">
        <v>68271848.802900001</v>
      </c>
      <c r="U14" s="572">
        <v>6639277.1845999993</v>
      </c>
      <c r="V14" s="572">
        <v>6047878.1941999998</v>
      </c>
      <c r="W14" s="572">
        <v>2736838.1785999998</v>
      </c>
      <c r="X14" s="572">
        <v>1382391.2265999997</v>
      </c>
      <c r="Y14" s="572">
        <v>505304.98749999999</v>
      </c>
      <c r="Z14" s="572">
        <v>1374111.2189999998</v>
      </c>
      <c r="AA14" s="572">
        <v>0</v>
      </c>
    </row>
    <row r="15" spans="1:28" ht="15">
      <c r="A15" s="431">
        <v>2</v>
      </c>
      <c r="B15" s="414" t="s">
        <v>568</v>
      </c>
      <c r="C15" s="599">
        <f>SUM(C16:C21)</f>
        <v>4282160840.4832001</v>
      </c>
      <c r="D15" s="599">
        <f t="shared" ref="D15:AA15" si="3">SUM(D16:D21)</f>
        <v>4282160840.4832001</v>
      </c>
      <c r="E15" s="599">
        <f t="shared" si="3"/>
        <v>0</v>
      </c>
      <c r="F15" s="599">
        <f t="shared" si="3"/>
        <v>0</v>
      </c>
      <c r="G15" s="599">
        <f t="shared" si="3"/>
        <v>0</v>
      </c>
      <c r="H15" s="599">
        <f t="shared" si="3"/>
        <v>0</v>
      </c>
      <c r="I15" s="599">
        <f t="shared" si="3"/>
        <v>0</v>
      </c>
      <c r="J15" s="599">
        <f t="shared" si="3"/>
        <v>0</v>
      </c>
      <c r="K15" s="599">
        <f t="shared" si="3"/>
        <v>0</v>
      </c>
      <c r="L15" s="599">
        <f t="shared" si="3"/>
        <v>0</v>
      </c>
      <c r="M15" s="599">
        <f t="shared" si="3"/>
        <v>0</v>
      </c>
      <c r="N15" s="599">
        <f t="shared" si="3"/>
        <v>0</v>
      </c>
      <c r="O15" s="599">
        <f t="shared" si="3"/>
        <v>0</v>
      </c>
      <c r="P15" s="599">
        <f t="shared" si="3"/>
        <v>0</v>
      </c>
      <c r="Q15" s="599">
        <f t="shared" si="3"/>
        <v>0</v>
      </c>
      <c r="R15" s="599">
        <f t="shared" si="3"/>
        <v>0</v>
      </c>
      <c r="S15" s="599">
        <f t="shared" si="3"/>
        <v>0</v>
      </c>
      <c r="T15" s="599">
        <f t="shared" si="3"/>
        <v>0</v>
      </c>
      <c r="U15" s="599">
        <f t="shared" si="3"/>
        <v>0</v>
      </c>
      <c r="V15" s="599">
        <f t="shared" si="3"/>
        <v>0</v>
      </c>
      <c r="W15" s="599">
        <f t="shared" si="3"/>
        <v>0</v>
      </c>
      <c r="X15" s="599">
        <f t="shared" si="3"/>
        <v>0</v>
      </c>
      <c r="Y15" s="599">
        <f t="shared" si="3"/>
        <v>0</v>
      </c>
      <c r="Z15" s="599">
        <f t="shared" si="3"/>
        <v>0</v>
      </c>
      <c r="AA15" s="599">
        <f t="shared" si="3"/>
        <v>0</v>
      </c>
    </row>
    <row r="16" spans="1:28" ht="15">
      <c r="A16" s="400">
        <v>2.1</v>
      </c>
      <c r="B16" s="430" t="s">
        <v>562</v>
      </c>
      <c r="C16" s="599">
        <f t="shared" si="1"/>
        <v>23136484.8772</v>
      </c>
      <c r="D16" s="572">
        <v>23136484.8772</v>
      </c>
      <c r="E16" s="572">
        <v>0</v>
      </c>
      <c r="F16" s="572">
        <v>0</v>
      </c>
      <c r="G16" s="572">
        <v>0</v>
      </c>
      <c r="H16" s="572">
        <v>0</v>
      </c>
      <c r="I16" s="572">
        <v>0</v>
      </c>
      <c r="J16" s="572">
        <v>0</v>
      </c>
      <c r="K16" s="572">
        <v>0</v>
      </c>
      <c r="L16" s="572">
        <v>0</v>
      </c>
      <c r="M16" s="572">
        <v>0</v>
      </c>
      <c r="N16" s="572">
        <v>0</v>
      </c>
      <c r="O16" s="572">
        <v>0</v>
      </c>
      <c r="P16" s="572">
        <v>0</v>
      </c>
      <c r="Q16" s="572">
        <v>0</v>
      </c>
      <c r="R16" s="572">
        <v>0</v>
      </c>
      <c r="S16" s="572">
        <v>0</v>
      </c>
      <c r="T16" s="572">
        <v>0</v>
      </c>
      <c r="U16" s="572">
        <v>0</v>
      </c>
      <c r="V16" s="572">
        <v>0</v>
      </c>
      <c r="W16" s="572">
        <v>0</v>
      </c>
      <c r="X16" s="572">
        <v>0</v>
      </c>
      <c r="Y16" s="572">
        <v>0</v>
      </c>
      <c r="Z16" s="572">
        <v>0</v>
      </c>
      <c r="AA16" s="572">
        <v>0</v>
      </c>
    </row>
    <row r="17" spans="1:27" ht="15">
      <c r="A17" s="400">
        <v>2.2000000000000002</v>
      </c>
      <c r="B17" s="430" t="s">
        <v>563</v>
      </c>
      <c r="C17" s="599">
        <f t="shared" si="1"/>
        <v>3061153372.9363999</v>
      </c>
      <c r="D17" s="572">
        <v>3061153372.9363999</v>
      </c>
      <c r="E17" s="572">
        <v>0</v>
      </c>
      <c r="F17" s="572">
        <v>0</v>
      </c>
      <c r="G17" s="572">
        <v>0</v>
      </c>
      <c r="H17" s="572">
        <v>0</v>
      </c>
      <c r="I17" s="572">
        <v>0</v>
      </c>
      <c r="J17" s="572">
        <v>0</v>
      </c>
      <c r="K17" s="572">
        <v>0</v>
      </c>
      <c r="L17" s="572">
        <v>0</v>
      </c>
      <c r="M17" s="572">
        <v>0</v>
      </c>
      <c r="N17" s="572">
        <v>0</v>
      </c>
      <c r="O17" s="572">
        <v>0</v>
      </c>
      <c r="P17" s="572">
        <v>0</v>
      </c>
      <c r="Q17" s="572">
        <v>0</v>
      </c>
      <c r="R17" s="572">
        <v>0</v>
      </c>
      <c r="S17" s="572">
        <v>0</v>
      </c>
      <c r="T17" s="572">
        <v>0</v>
      </c>
      <c r="U17" s="572">
        <v>0</v>
      </c>
      <c r="V17" s="572">
        <v>0</v>
      </c>
      <c r="W17" s="572">
        <v>0</v>
      </c>
      <c r="X17" s="572">
        <v>0</v>
      </c>
      <c r="Y17" s="572">
        <v>0</v>
      </c>
      <c r="Z17" s="572">
        <v>0</v>
      </c>
      <c r="AA17" s="572">
        <v>0</v>
      </c>
    </row>
    <row r="18" spans="1:27" ht="15">
      <c r="A18" s="400">
        <v>2.2999999999999998</v>
      </c>
      <c r="B18" s="430" t="s">
        <v>564</v>
      </c>
      <c r="C18" s="599">
        <f t="shared" si="1"/>
        <v>1117155466.6890001</v>
      </c>
      <c r="D18" s="572">
        <v>1117155466.6890001</v>
      </c>
      <c r="E18" s="572">
        <v>0</v>
      </c>
      <c r="F18" s="572">
        <v>0</v>
      </c>
      <c r="G18" s="572">
        <v>0</v>
      </c>
      <c r="H18" s="572">
        <v>0</v>
      </c>
      <c r="I18" s="572">
        <v>0</v>
      </c>
      <c r="J18" s="572">
        <v>0</v>
      </c>
      <c r="K18" s="572">
        <v>0</v>
      </c>
      <c r="L18" s="572">
        <v>0</v>
      </c>
      <c r="M18" s="572">
        <v>0</v>
      </c>
      <c r="N18" s="572">
        <v>0</v>
      </c>
      <c r="O18" s="572">
        <v>0</v>
      </c>
      <c r="P18" s="572">
        <v>0</v>
      </c>
      <c r="Q18" s="572">
        <v>0</v>
      </c>
      <c r="R18" s="572">
        <v>0</v>
      </c>
      <c r="S18" s="572">
        <v>0</v>
      </c>
      <c r="T18" s="572">
        <v>0</v>
      </c>
      <c r="U18" s="572">
        <v>0</v>
      </c>
      <c r="V18" s="572">
        <v>0</v>
      </c>
      <c r="W18" s="572">
        <v>0</v>
      </c>
      <c r="X18" s="572">
        <v>0</v>
      </c>
      <c r="Y18" s="572">
        <v>0</v>
      </c>
      <c r="Z18" s="572">
        <v>0</v>
      </c>
      <c r="AA18" s="572">
        <v>0</v>
      </c>
    </row>
    <row r="19" spans="1:27" ht="15">
      <c r="A19" s="400">
        <v>2.4</v>
      </c>
      <c r="B19" s="430" t="s">
        <v>565</v>
      </c>
      <c r="C19" s="599">
        <f t="shared" si="1"/>
        <v>10169110.709999999</v>
      </c>
      <c r="D19" s="572">
        <v>10169110.709999999</v>
      </c>
      <c r="E19" s="572">
        <v>0</v>
      </c>
      <c r="F19" s="572">
        <v>0</v>
      </c>
      <c r="G19" s="572">
        <v>0</v>
      </c>
      <c r="H19" s="572">
        <v>0</v>
      </c>
      <c r="I19" s="572">
        <v>0</v>
      </c>
      <c r="J19" s="572">
        <v>0</v>
      </c>
      <c r="K19" s="572">
        <v>0</v>
      </c>
      <c r="L19" s="572">
        <v>0</v>
      </c>
      <c r="M19" s="572">
        <v>0</v>
      </c>
      <c r="N19" s="572">
        <v>0</v>
      </c>
      <c r="O19" s="572">
        <v>0</v>
      </c>
      <c r="P19" s="572">
        <v>0</v>
      </c>
      <c r="Q19" s="572">
        <v>0</v>
      </c>
      <c r="R19" s="572">
        <v>0</v>
      </c>
      <c r="S19" s="572">
        <v>0</v>
      </c>
      <c r="T19" s="572">
        <v>0</v>
      </c>
      <c r="U19" s="572">
        <v>0</v>
      </c>
      <c r="V19" s="572">
        <v>0</v>
      </c>
      <c r="W19" s="572">
        <v>0</v>
      </c>
      <c r="X19" s="572">
        <v>0</v>
      </c>
      <c r="Y19" s="572">
        <v>0</v>
      </c>
      <c r="Z19" s="572">
        <v>0</v>
      </c>
      <c r="AA19" s="572">
        <v>0</v>
      </c>
    </row>
    <row r="20" spans="1:27" ht="15">
      <c r="A20" s="400">
        <v>2.5</v>
      </c>
      <c r="B20" s="430" t="s">
        <v>566</v>
      </c>
      <c r="C20" s="599">
        <f t="shared" si="1"/>
        <v>70546405.270599991</v>
      </c>
      <c r="D20" s="572">
        <v>70546405.270599991</v>
      </c>
      <c r="E20" s="572">
        <v>0</v>
      </c>
      <c r="F20" s="572">
        <v>0</v>
      </c>
      <c r="G20" s="572">
        <v>0</v>
      </c>
      <c r="H20" s="572">
        <v>0</v>
      </c>
      <c r="I20" s="572">
        <v>0</v>
      </c>
      <c r="J20" s="572">
        <v>0</v>
      </c>
      <c r="K20" s="572">
        <v>0</v>
      </c>
      <c r="L20" s="572">
        <v>0</v>
      </c>
      <c r="M20" s="572">
        <v>0</v>
      </c>
      <c r="N20" s="572">
        <v>0</v>
      </c>
      <c r="O20" s="572">
        <v>0</v>
      </c>
      <c r="P20" s="572">
        <v>0</v>
      </c>
      <c r="Q20" s="572">
        <v>0</v>
      </c>
      <c r="R20" s="572">
        <v>0</v>
      </c>
      <c r="S20" s="572">
        <v>0</v>
      </c>
      <c r="T20" s="572">
        <v>0</v>
      </c>
      <c r="U20" s="572">
        <v>0</v>
      </c>
      <c r="V20" s="572">
        <v>0</v>
      </c>
      <c r="W20" s="572">
        <v>0</v>
      </c>
      <c r="X20" s="572">
        <v>0</v>
      </c>
      <c r="Y20" s="572">
        <v>0</v>
      </c>
      <c r="Z20" s="572">
        <v>0</v>
      </c>
      <c r="AA20" s="572">
        <v>0</v>
      </c>
    </row>
    <row r="21" spans="1:27" ht="15">
      <c r="A21" s="400">
        <v>2.6</v>
      </c>
      <c r="B21" s="430" t="s">
        <v>567</v>
      </c>
      <c r="C21" s="599">
        <f t="shared" si="1"/>
        <v>0</v>
      </c>
      <c r="D21" s="572">
        <v>0</v>
      </c>
      <c r="E21" s="572">
        <v>0</v>
      </c>
      <c r="F21" s="572">
        <v>0</v>
      </c>
      <c r="G21" s="572">
        <v>0</v>
      </c>
      <c r="H21" s="572">
        <v>0</v>
      </c>
      <c r="I21" s="572">
        <v>0</v>
      </c>
      <c r="J21" s="572">
        <v>0</v>
      </c>
      <c r="K21" s="572">
        <v>0</v>
      </c>
      <c r="L21" s="572">
        <v>0</v>
      </c>
      <c r="M21" s="572">
        <v>0</v>
      </c>
      <c r="N21" s="572">
        <v>0</v>
      </c>
      <c r="O21" s="572">
        <v>0</v>
      </c>
      <c r="P21" s="572">
        <v>0</v>
      </c>
      <c r="Q21" s="572">
        <v>0</v>
      </c>
      <c r="R21" s="572">
        <v>0</v>
      </c>
      <c r="S21" s="572">
        <v>0</v>
      </c>
      <c r="T21" s="572">
        <v>0</v>
      </c>
      <c r="U21" s="572">
        <v>0</v>
      </c>
      <c r="V21" s="572">
        <v>0</v>
      </c>
      <c r="W21" s="572">
        <v>0</v>
      </c>
      <c r="X21" s="572">
        <v>0</v>
      </c>
      <c r="Y21" s="572">
        <v>0</v>
      </c>
      <c r="Z21" s="572">
        <v>0</v>
      </c>
      <c r="AA21" s="572">
        <v>0</v>
      </c>
    </row>
    <row r="22" spans="1:27" ht="15">
      <c r="A22" s="431">
        <v>3</v>
      </c>
      <c r="B22" s="404" t="s">
        <v>569</v>
      </c>
      <c r="C22" s="599">
        <f>SUM(C23:C28)</f>
        <v>2493799196.4392004</v>
      </c>
      <c r="D22" s="599">
        <f t="shared" ref="D22" si="4">SUM(D23:D28)</f>
        <v>2468036173.0668483</v>
      </c>
      <c r="E22" s="429"/>
      <c r="F22" s="429"/>
      <c r="G22" s="429"/>
      <c r="H22" s="599">
        <f t="shared" ref="H22" si="5">SUM(H23:H28)</f>
        <v>18769788.84282</v>
      </c>
      <c r="I22" s="429"/>
      <c r="J22" s="429"/>
      <c r="K22" s="429"/>
      <c r="L22" s="599">
        <f t="shared" ref="L22" si="6">SUM(L23:L28)</f>
        <v>6993234.5295319995</v>
      </c>
      <c r="M22" s="429"/>
      <c r="N22" s="429"/>
      <c r="O22" s="429"/>
      <c r="P22" s="429"/>
      <c r="Q22" s="429"/>
      <c r="R22" s="429"/>
      <c r="S22" s="429"/>
      <c r="T22" s="572">
        <v>0</v>
      </c>
      <c r="U22" s="429"/>
      <c r="V22" s="429"/>
      <c r="W22" s="429"/>
      <c r="X22" s="429"/>
      <c r="Y22" s="429"/>
      <c r="Z22" s="429"/>
      <c r="AA22" s="429"/>
    </row>
    <row r="23" spans="1:27" ht="15">
      <c r="A23" s="400">
        <v>3.1</v>
      </c>
      <c r="B23" s="430" t="s">
        <v>562</v>
      </c>
      <c r="C23" s="599">
        <f t="shared" si="1"/>
        <v>0</v>
      </c>
      <c r="D23" s="572">
        <v>0</v>
      </c>
      <c r="E23" s="429"/>
      <c r="F23" s="429"/>
      <c r="G23" s="429"/>
      <c r="H23" s="572">
        <v>0</v>
      </c>
      <c r="I23" s="429"/>
      <c r="J23" s="429"/>
      <c r="K23" s="429"/>
      <c r="L23" s="572">
        <v>0</v>
      </c>
      <c r="M23" s="429"/>
      <c r="N23" s="429"/>
      <c r="O23" s="429"/>
      <c r="P23" s="429"/>
      <c r="Q23" s="429"/>
      <c r="R23" s="429"/>
      <c r="S23" s="429"/>
      <c r="T23" s="572">
        <v>0</v>
      </c>
      <c r="U23" s="429"/>
      <c r="V23" s="429"/>
      <c r="W23" s="429"/>
      <c r="X23" s="429"/>
      <c r="Y23" s="429"/>
      <c r="Z23" s="429"/>
      <c r="AA23" s="429"/>
    </row>
    <row r="24" spans="1:27" ht="15">
      <c r="A24" s="400">
        <v>3.2</v>
      </c>
      <c r="B24" s="430" t="s">
        <v>563</v>
      </c>
      <c r="C24" s="599">
        <f t="shared" si="1"/>
        <v>918262.46</v>
      </c>
      <c r="D24" s="572">
        <v>918262.46</v>
      </c>
      <c r="E24" s="429"/>
      <c r="F24" s="429"/>
      <c r="G24" s="429"/>
      <c r="H24" s="572">
        <v>0</v>
      </c>
      <c r="I24" s="429"/>
      <c r="J24" s="429"/>
      <c r="K24" s="429"/>
      <c r="L24" s="572">
        <v>0</v>
      </c>
      <c r="M24" s="429"/>
      <c r="N24" s="429"/>
      <c r="O24" s="429"/>
      <c r="P24" s="429"/>
      <c r="Q24" s="429"/>
      <c r="R24" s="429"/>
      <c r="S24" s="429"/>
      <c r="T24" s="572">
        <v>0</v>
      </c>
      <c r="U24" s="429"/>
      <c r="V24" s="429"/>
      <c r="W24" s="429"/>
      <c r="X24" s="429"/>
      <c r="Y24" s="429"/>
      <c r="Z24" s="429"/>
      <c r="AA24" s="429"/>
    </row>
    <row r="25" spans="1:27" ht="15">
      <c r="A25" s="400">
        <v>3.3</v>
      </c>
      <c r="B25" s="430" t="s">
        <v>564</v>
      </c>
      <c r="C25" s="599">
        <f t="shared" si="1"/>
        <v>0</v>
      </c>
      <c r="D25" s="572">
        <v>0</v>
      </c>
      <c r="E25" s="429"/>
      <c r="F25" s="429"/>
      <c r="G25" s="429"/>
      <c r="H25" s="572">
        <v>0</v>
      </c>
      <c r="I25" s="429"/>
      <c r="J25" s="429"/>
      <c r="K25" s="429"/>
      <c r="L25" s="572">
        <v>0</v>
      </c>
      <c r="M25" s="429"/>
      <c r="N25" s="429"/>
      <c r="O25" s="429"/>
      <c r="P25" s="429"/>
      <c r="Q25" s="429"/>
      <c r="R25" s="429"/>
      <c r="S25" s="429"/>
      <c r="T25" s="572">
        <v>0</v>
      </c>
      <c r="U25" s="429"/>
      <c r="V25" s="429"/>
      <c r="W25" s="429"/>
      <c r="X25" s="429"/>
      <c r="Y25" s="429"/>
      <c r="Z25" s="429"/>
      <c r="AA25" s="429"/>
    </row>
    <row r="26" spans="1:27" ht="15">
      <c r="A26" s="400">
        <v>3.4</v>
      </c>
      <c r="B26" s="430" t="s">
        <v>565</v>
      </c>
      <c r="C26" s="599">
        <f>D26+H26+L26+T26</f>
        <v>23805615.2892</v>
      </c>
      <c r="D26" s="572">
        <v>23805615.2892</v>
      </c>
      <c r="E26" s="429"/>
      <c r="F26" s="429"/>
      <c r="G26" s="429"/>
      <c r="H26" s="572">
        <v>0</v>
      </c>
      <c r="I26" s="429"/>
      <c r="J26" s="429"/>
      <c r="K26" s="429"/>
      <c r="L26" s="572">
        <v>0</v>
      </c>
      <c r="M26" s="429"/>
      <c r="N26" s="429"/>
      <c r="O26" s="429"/>
      <c r="P26" s="429"/>
      <c r="Q26" s="429"/>
      <c r="R26" s="429"/>
      <c r="S26" s="429"/>
      <c r="T26" s="572">
        <v>0</v>
      </c>
      <c r="U26" s="429"/>
      <c r="V26" s="429"/>
      <c r="W26" s="429"/>
      <c r="X26" s="429"/>
      <c r="Y26" s="429"/>
      <c r="Z26" s="429"/>
      <c r="AA26" s="429"/>
    </row>
    <row r="27" spans="1:27" ht="15">
      <c r="A27" s="400">
        <v>3.5</v>
      </c>
      <c r="B27" s="430" t="s">
        <v>566</v>
      </c>
      <c r="C27" s="599">
        <f>D27+H27+L27+T27</f>
        <v>2236743245.7217126</v>
      </c>
      <c r="D27" s="572">
        <v>2215838651.6465526</v>
      </c>
      <c r="E27" s="429"/>
      <c r="F27" s="429"/>
      <c r="G27" s="429"/>
      <c r="H27" s="572">
        <v>14296955.727008</v>
      </c>
      <c r="I27" s="429"/>
      <c r="J27" s="429"/>
      <c r="K27" s="429"/>
      <c r="L27" s="572">
        <v>6607638.3481519995</v>
      </c>
      <c r="M27" s="429"/>
      <c r="N27" s="429"/>
      <c r="O27" s="429"/>
      <c r="P27" s="429"/>
      <c r="Q27" s="429"/>
      <c r="R27" s="429"/>
      <c r="S27" s="429"/>
      <c r="T27" s="572">
        <v>0</v>
      </c>
      <c r="U27" s="429"/>
      <c r="V27" s="429"/>
      <c r="W27" s="429"/>
      <c r="X27" s="429"/>
      <c r="Y27" s="429"/>
      <c r="Z27" s="429"/>
      <c r="AA27" s="429"/>
    </row>
    <row r="28" spans="1:27" ht="15">
      <c r="A28" s="400">
        <v>3.6</v>
      </c>
      <c r="B28" s="430" t="s">
        <v>567</v>
      </c>
      <c r="C28" s="599">
        <f>D28+H28+L28+T28</f>
        <v>232332072.968288</v>
      </c>
      <c r="D28" s="572">
        <v>227473643.671096</v>
      </c>
      <c r="E28" s="429"/>
      <c r="F28" s="429"/>
      <c r="G28" s="429"/>
      <c r="H28" s="572">
        <v>4472833.1158119999</v>
      </c>
      <c r="I28" s="429"/>
      <c r="J28" s="429"/>
      <c r="K28" s="429"/>
      <c r="L28" s="572">
        <v>385596.18137999997</v>
      </c>
      <c r="M28" s="429"/>
      <c r="N28" s="429"/>
      <c r="O28" s="429"/>
      <c r="P28" s="429"/>
      <c r="Q28" s="429"/>
      <c r="R28" s="429"/>
      <c r="S28" s="429"/>
      <c r="T28" s="572">
        <v>0</v>
      </c>
      <c r="U28" s="429"/>
      <c r="V28" s="429"/>
      <c r="W28" s="429"/>
      <c r="X28" s="429"/>
      <c r="Y28" s="429"/>
      <c r="Z28" s="429"/>
      <c r="AA28" s="429"/>
    </row>
    <row r="29" spans="1:27">
      <c r="C29" s="579"/>
      <c r="D29" s="579"/>
      <c r="E29" s="579"/>
      <c r="F29" s="579"/>
      <c r="G29" s="579"/>
      <c r="H29" s="579"/>
      <c r="I29" s="579"/>
      <c r="J29" s="579"/>
      <c r="K29" s="579"/>
      <c r="L29" s="572"/>
      <c r="M29" s="579"/>
      <c r="N29" s="579"/>
      <c r="O29" s="579"/>
      <c r="P29" s="579"/>
      <c r="Q29" s="579"/>
      <c r="R29" s="579"/>
      <c r="S29" s="579"/>
      <c r="T29" s="579"/>
      <c r="U29" s="579"/>
      <c r="V29" s="579"/>
      <c r="W29" s="579"/>
      <c r="X29" s="579"/>
      <c r="Y29" s="579"/>
      <c r="Z29" s="579"/>
      <c r="AA29" s="579"/>
    </row>
    <row r="32" spans="1:27">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row>
    <row r="33" spans="3:3">
      <c r="C33" s="718"/>
    </row>
    <row r="34" spans="3:3">
      <c r="C34" s="718"/>
    </row>
    <row r="35" spans="3:3">
      <c r="C35" s="71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5"/>
  <sheetViews>
    <sheetView showGridLines="0" topLeftCell="A16" zoomScaleNormal="100" workbookViewId="0">
      <selection activeCell="C21" sqref="C21:D22"/>
    </sheetView>
  </sheetViews>
  <sheetFormatPr defaultColWidth="9.140625" defaultRowHeight="12.75"/>
  <cols>
    <col min="1" max="1" width="11.85546875" style="411" bestFit="1" customWidth="1"/>
    <col min="2" max="2" width="90.28515625" style="411" bestFit="1" customWidth="1"/>
    <col min="3" max="3" width="20.140625" style="411" customWidth="1"/>
    <col min="4" max="4" width="22.28515625" style="411" customWidth="1"/>
    <col min="5" max="7" width="17.140625" style="411" customWidth="1"/>
    <col min="8" max="8" width="22.28515625" style="411" customWidth="1"/>
    <col min="9" max="10" width="17.140625" style="411" customWidth="1"/>
    <col min="11" max="27" width="22.28515625" style="411" customWidth="1"/>
    <col min="28" max="16384" width="9.140625" style="411"/>
  </cols>
  <sheetData>
    <row r="1" spans="1:28" ht="13.5">
      <c r="A1" s="351" t="s">
        <v>108</v>
      </c>
      <c r="B1" s="276" t="str">
        <f>Info!C2</f>
        <v>სს ”საქართველოს ბანკი”</v>
      </c>
      <c r="D1" s="580"/>
    </row>
    <row r="2" spans="1:28">
      <c r="A2" s="353" t="s">
        <v>109</v>
      </c>
      <c r="B2" s="355">
        <f>'1. key ratios'!B2</f>
        <v>45016</v>
      </c>
      <c r="S2" s="579"/>
    </row>
    <row r="3" spans="1:28">
      <c r="A3" s="354" t="s">
        <v>570</v>
      </c>
      <c r="C3" s="413"/>
    </row>
    <row r="4" spans="1:28" ht="13.5" thickBot="1">
      <c r="A4" s="354"/>
      <c r="B4" s="413"/>
      <c r="C4" s="413"/>
    </row>
    <row r="5" spans="1:28" s="441" customFormat="1" ht="13.5" customHeight="1">
      <c r="A5" s="881" t="s">
        <v>900</v>
      </c>
      <c r="B5" s="882"/>
      <c r="C5" s="878" t="s">
        <v>571</v>
      </c>
      <c r="D5" s="879"/>
      <c r="E5" s="879"/>
      <c r="F5" s="879"/>
      <c r="G5" s="879"/>
      <c r="H5" s="879"/>
      <c r="I5" s="879"/>
      <c r="J5" s="879"/>
      <c r="K5" s="879"/>
      <c r="L5" s="879"/>
      <c r="M5" s="879"/>
      <c r="N5" s="879"/>
      <c r="O5" s="879"/>
      <c r="P5" s="879"/>
      <c r="Q5" s="879"/>
      <c r="R5" s="879"/>
      <c r="S5" s="879"/>
      <c r="T5" s="879"/>
      <c r="U5" s="879"/>
      <c r="V5" s="879"/>
      <c r="W5" s="879"/>
      <c r="X5" s="879"/>
      <c r="Y5" s="879"/>
      <c r="Z5" s="879"/>
      <c r="AA5" s="880"/>
    </row>
    <row r="6" spans="1:28" s="441" customFormat="1" ht="12" customHeight="1">
      <c r="A6" s="883"/>
      <c r="B6" s="884"/>
      <c r="C6" s="888" t="s">
        <v>66</v>
      </c>
      <c r="D6" s="887" t="s">
        <v>891</v>
      </c>
      <c r="E6" s="887"/>
      <c r="F6" s="887"/>
      <c r="G6" s="887"/>
      <c r="H6" s="873" t="s">
        <v>890</v>
      </c>
      <c r="I6" s="874"/>
      <c r="J6" s="874"/>
      <c r="K6" s="874"/>
      <c r="L6" s="437"/>
      <c r="M6" s="855" t="s">
        <v>889</v>
      </c>
      <c r="N6" s="855"/>
      <c r="O6" s="855"/>
      <c r="P6" s="855"/>
      <c r="Q6" s="855"/>
      <c r="R6" s="855"/>
      <c r="S6" s="853"/>
      <c r="T6" s="437"/>
      <c r="U6" s="855" t="s">
        <v>888</v>
      </c>
      <c r="V6" s="855"/>
      <c r="W6" s="855"/>
      <c r="X6" s="855"/>
      <c r="Y6" s="855"/>
      <c r="Z6" s="855"/>
      <c r="AA6" s="877"/>
    </row>
    <row r="7" spans="1:28" s="441" customFormat="1" ht="38.25">
      <c r="A7" s="885"/>
      <c r="B7" s="886"/>
      <c r="C7" s="889"/>
      <c r="D7" s="436"/>
      <c r="E7" s="432" t="s">
        <v>560</v>
      </c>
      <c r="F7" s="408" t="s">
        <v>886</v>
      </c>
      <c r="G7" s="408" t="s">
        <v>887</v>
      </c>
      <c r="H7" s="462"/>
      <c r="I7" s="432" t="s">
        <v>560</v>
      </c>
      <c r="J7" s="408" t="s">
        <v>886</v>
      </c>
      <c r="K7" s="408" t="s">
        <v>887</v>
      </c>
      <c r="L7" s="433"/>
      <c r="M7" s="432" t="s">
        <v>560</v>
      </c>
      <c r="N7" s="408" t="s">
        <v>899</v>
      </c>
      <c r="O7" s="408" t="s">
        <v>898</v>
      </c>
      <c r="P7" s="408" t="s">
        <v>897</v>
      </c>
      <c r="Q7" s="408" t="s">
        <v>896</v>
      </c>
      <c r="R7" s="408" t="s">
        <v>895</v>
      </c>
      <c r="S7" s="408" t="s">
        <v>881</v>
      </c>
      <c r="T7" s="433"/>
      <c r="U7" s="432" t="s">
        <v>560</v>
      </c>
      <c r="V7" s="408" t="s">
        <v>899</v>
      </c>
      <c r="W7" s="408" t="s">
        <v>898</v>
      </c>
      <c r="X7" s="408" t="s">
        <v>897</v>
      </c>
      <c r="Y7" s="408" t="s">
        <v>896</v>
      </c>
      <c r="Z7" s="408" t="s">
        <v>895</v>
      </c>
      <c r="AA7" s="408" t="s">
        <v>881</v>
      </c>
    </row>
    <row r="8" spans="1:28" ht="15">
      <c r="A8" s="461">
        <v>1</v>
      </c>
      <c r="B8" s="460" t="s">
        <v>561</v>
      </c>
      <c r="C8" s="575">
        <f t="shared" ref="C8:C15" si="0">D8+H8+L8+T8</f>
        <v>16701014605.499863</v>
      </c>
      <c r="D8" s="567">
        <v>15004439975.222187</v>
      </c>
      <c r="E8" s="567">
        <v>112225874.31909999</v>
      </c>
      <c r="F8" s="567">
        <v>4305878.1906000003</v>
      </c>
      <c r="G8" s="567"/>
      <c r="H8" s="567">
        <v>1187298947.7563739</v>
      </c>
      <c r="I8" s="567">
        <v>127458720.6926</v>
      </c>
      <c r="J8" s="567">
        <v>72784132.186000004</v>
      </c>
      <c r="K8" s="567">
        <v>168696.46189999999</v>
      </c>
      <c r="L8" s="567">
        <v>422457394.38959998</v>
      </c>
      <c r="M8" s="567">
        <v>26806703.5667</v>
      </c>
      <c r="N8" s="567">
        <v>43143478.143499993</v>
      </c>
      <c r="O8" s="567">
        <v>111905116.8293</v>
      </c>
      <c r="P8" s="568">
        <v>44753637.633600011</v>
      </c>
      <c r="Q8" s="568">
        <v>39834206.165399998</v>
      </c>
      <c r="R8" s="568">
        <v>35075945.5211</v>
      </c>
      <c r="S8" s="568">
        <v>3289077.5126</v>
      </c>
      <c r="T8" s="567">
        <v>86818288.131699994</v>
      </c>
      <c r="U8" s="567">
        <v>6677222.4047999997</v>
      </c>
      <c r="V8" s="567">
        <v>6800503.3108000001</v>
      </c>
      <c r="W8" s="567">
        <v>2764668.0891</v>
      </c>
      <c r="X8" s="568">
        <v>1382391.2266000002</v>
      </c>
      <c r="Y8" s="568">
        <v>1186762.5273</v>
      </c>
      <c r="Z8" s="568">
        <v>1374111.219</v>
      </c>
      <c r="AA8" s="568">
        <v>0</v>
      </c>
      <c r="AB8" s="568"/>
    </row>
    <row r="9" spans="1:28" ht="15">
      <c r="A9" s="458">
        <v>1.1000000000000001</v>
      </c>
      <c r="B9" s="459" t="s">
        <v>572</v>
      </c>
      <c r="C9" s="575">
        <f t="shared" si="0"/>
        <v>13699950737.365412</v>
      </c>
      <c r="D9" s="567">
        <v>12254625578.72794</v>
      </c>
      <c r="E9" s="567">
        <v>73742654.013600007</v>
      </c>
      <c r="F9" s="567">
        <v>3580286.7374</v>
      </c>
      <c r="G9" s="567"/>
      <c r="H9" s="567">
        <v>1043621482.695174</v>
      </c>
      <c r="I9" s="567">
        <v>104937853.12270001</v>
      </c>
      <c r="J9" s="567">
        <v>49626751.608200006</v>
      </c>
      <c r="K9" s="567">
        <v>0</v>
      </c>
      <c r="L9" s="567">
        <v>321552428.2428</v>
      </c>
      <c r="M9" s="567">
        <v>9774961.1686000004</v>
      </c>
      <c r="N9" s="567">
        <v>33699245.586000003</v>
      </c>
      <c r="O9" s="567">
        <v>85516355.094099998</v>
      </c>
      <c r="P9" s="567">
        <v>43966103.144500002</v>
      </c>
      <c r="Q9" s="567">
        <v>38368081.125100002</v>
      </c>
      <c r="R9" s="567">
        <v>32154761.521699999</v>
      </c>
      <c r="S9" s="567">
        <v>0</v>
      </c>
      <c r="T9" s="567">
        <v>80151247.699499995</v>
      </c>
      <c r="U9" s="567">
        <v>5621381.3921999997</v>
      </c>
      <c r="V9" s="567">
        <v>6302036.7140000006</v>
      </c>
      <c r="W9" s="567">
        <v>2356610.9668999999</v>
      </c>
      <c r="X9" s="567">
        <v>1382391.2266000002</v>
      </c>
      <c r="Y9" s="567">
        <v>1186762.5273</v>
      </c>
      <c r="Z9" s="567">
        <v>1374111.219</v>
      </c>
      <c r="AA9" s="567"/>
      <c r="AB9" s="567"/>
    </row>
    <row r="10" spans="1:28" ht="15">
      <c r="A10" s="456" t="s">
        <v>157</v>
      </c>
      <c r="B10" s="457" t="s">
        <v>573</v>
      </c>
      <c r="C10" s="575">
        <f t="shared" si="0"/>
        <v>13345490761.531013</v>
      </c>
      <c r="D10" s="567">
        <v>11908038842.540239</v>
      </c>
      <c r="E10" s="567">
        <v>72438456.825000003</v>
      </c>
      <c r="F10" s="567">
        <v>3580286.7374</v>
      </c>
      <c r="G10" s="567"/>
      <c r="H10" s="567">
        <v>1038486129.284374</v>
      </c>
      <c r="I10" s="567">
        <v>104119184.4455</v>
      </c>
      <c r="J10" s="567">
        <v>48851377.841600001</v>
      </c>
      <c r="K10" s="567">
        <v>0</v>
      </c>
      <c r="L10" s="567">
        <v>318814542.00690001</v>
      </c>
      <c r="M10" s="567">
        <v>9579881.9649999999</v>
      </c>
      <c r="N10" s="567">
        <v>33696236.972199999</v>
      </c>
      <c r="O10" s="567">
        <v>83798409.192300007</v>
      </c>
      <c r="P10" s="567">
        <v>43966103.144500002</v>
      </c>
      <c r="Q10" s="567">
        <v>38368081.125100002</v>
      </c>
      <c r="R10" s="567">
        <v>32154761.521699999</v>
      </c>
      <c r="S10" s="567">
        <v>0</v>
      </c>
      <c r="T10" s="567">
        <v>80151247.699499995</v>
      </c>
      <c r="U10" s="567">
        <v>5621381.3921999997</v>
      </c>
      <c r="V10" s="567">
        <v>6302036.7140000006</v>
      </c>
      <c r="W10" s="567">
        <v>2356610.9668999999</v>
      </c>
      <c r="X10" s="567">
        <v>1382391.2266000002</v>
      </c>
      <c r="Y10" s="567">
        <v>1186762.5273</v>
      </c>
      <c r="Z10" s="567">
        <v>1374111.219</v>
      </c>
      <c r="AA10" s="567"/>
      <c r="AB10" s="567"/>
    </row>
    <row r="11" spans="1:28" ht="15">
      <c r="A11" s="455" t="s">
        <v>574</v>
      </c>
      <c r="B11" s="454" t="s">
        <v>575</v>
      </c>
      <c r="C11" s="575">
        <f t="shared" si="0"/>
        <v>6366225111.7861395</v>
      </c>
      <c r="D11" s="567">
        <v>5724533429.4594393</v>
      </c>
      <c r="E11" s="567">
        <v>32301972.395100001</v>
      </c>
      <c r="F11" s="567">
        <v>1536504.6693</v>
      </c>
      <c r="G11" s="567"/>
      <c r="H11" s="567">
        <v>439940736.59600002</v>
      </c>
      <c r="I11" s="567">
        <v>30511664.124899998</v>
      </c>
      <c r="J11" s="567">
        <v>19556575.1041</v>
      </c>
      <c r="K11" s="567">
        <v>0</v>
      </c>
      <c r="L11" s="567">
        <v>171177976.14050001</v>
      </c>
      <c r="M11" s="567">
        <v>3710203.8317</v>
      </c>
      <c r="N11" s="567">
        <v>12887962.1358</v>
      </c>
      <c r="O11" s="567">
        <v>51495158.818700001</v>
      </c>
      <c r="P11" s="567">
        <v>21155272.7434</v>
      </c>
      <c r="Q11" s="567">
        <v>24268186.769699998</v>
      </c>
      <c r="R11" s="567">
        <v>19781865.963399999</v>
      </c>
      <c r="S11" s="567">
        <v>0</v>
      </c>
      <c r="T11" s="567">
        <v>30572969.590199996</v>
      </c>
      <c r="U11" s="567">
        <v>2148380.6841000002</v>
      </c>
      <c r="V11" s="567">
        <v>1963978.6510999999</v>
      </c>
      <c r="W11" s="567">
        <v>510504.95260000002</v>
      </c>
      <c r="X11" s="567">
        <v>260759.69010000001</v>
      </c>
      <c r="Y11" s="567">
        <v>446109.48300000001</v>
      </c>
      <c r="Z11" s="567">
        <v>13113.8868</v>
      </c>
      <c r="AA11" s="567"/>
      <c r="AB11" s="567"/>
    </row>
    <row r="12" spans="1:28" ht="15">
      <c r="A12" s="455" t="s">
        <v>576</v>
      </c>
      <c r="B12" s="454" t="s">
        <v>577</v>
      </c>
      <c r="C12" s="575">
        <f t="shared" si="0"/>
        <v>1973907593.5611002</v>
      </c>
      <c r="D12" s="567">
        <v>1803512000.1757002</v>
      </c>
      <c r="E12" s="567">
        <v>12244352.091300001</v>
      </c>
      <c r="F12" s="567">
        <v>633022.16099999996</v>
      </c>
      <c r="G12" s="567"/>
      <c r="H12" s="567">
        <v>100896345.63839999</v>
      </c>
      <c r="I12" s="567">
        <v>4290322.4463</v>
      </c>
      <c r="J12" s="567">
        <v>6666382.2620999999</v>
      </c>
      <c r="K12" s="567">
        <v>0</v>
      </c>
      <c r="L12" s="567">
        <v>40513528.939500004</v>
      </c>
      <c r="M12" s="567">
        <v>1099810.1373000001</v>
      </c>
      <c r="N12" s="567">
        <v>6070668.3587999996</v>
      </c>
      <c r="O12" s="567">
        <v>3231676.8468999998</v>
      </c>
      <c r="P12" s="567">
        <v>7716599.8425000003</v>
      </c>
      <c r="Q12" s="567">
        <v>2270239.5946999998</v>
      </c>
      <c r="R12" s="567">
        <v>4925945.0953000002</v>
      </c>
      <c r="S12" s="567">
        <v>0</v>
      </c>
      <c r="T12" s="567">
        <v>28985718.807499997</v>
      </c>
      <c r="U12" s="567">
        <v>980118.38439999998</v>
      </c>
      <c r="V12" s="567">
        <v>1437217.7249</v>
      </c>
      <c r="W12" s="567">
        <v>256317.38990000001</v>
      </c>
      <c r="X12" s="567">
        <v>415442.15389999998</v>
      </c>
      <c r="Y12" s="567">
        <v>32091.752100000002</v>
      </c>
      <c r="Z12" s="567">
        <v>251541.13800000001</v>
      </c>
      <c r="AA12" s="567"/>
      <c r="AB12" s="567"/>
    </row>
    <row r="13" spans="1:28" ht="15">
      <c r="A13" s="455" t="s">
        <v>578</v>
      </c>
      <c r="B13" s="454" t="s">
        <v>579</v>
      </c>
      <c r="C13" s="575">
        <f t="shared" si="0"/>
        <v>1694409581.0214741</v>
      </c>
      <c r="D13" s="567">
        <v>1564867094.7703001</v>
      </c>
      <c r="E13" s="567">
        <v>14173951.212300001</v>
      </c>
      <c r="F13" s="567">
        <v>821485.46070000005</v>
      </c>
      <c r="G13" s="567"/>
      <c r="H13" s="567">
        <v>95610907.419973984</v>
      </c>
      <c r="I13" s="567">
        <v>10921109.7523</v>
      </c>
      <c r="J13" s="567">
        <v>6447693.0598000009</v>
      </c>
      <c r="K13" s="567">
        <v>0</v>
      </c>
      <c r="L13" s="567">
        <v>23917126.997500002</v>
      </c>
      <c r="M13" s="567">
        <v>1806325.6770000001</v>
      </c>
      <c r="N13" s="567">
        <v>1080387.6455000001</v>
      </c>
      <c r="O13" s="567">
        <v>3941279.8897000002</v>
      </c>
      <c r="P13" s="567">
        <v>5657690.8328</v>
      </c>
      <c r="Q13" s="567">
        <v>2082589.7786999999</v>
      </c>
      <c r="R13" s="567">
        <v>1235085.7511</v>
      </c>
      <c r="S13" s="567">
        <v>0</v>
      </c>
      <c r="T13" s="567">
        <v>10014451.833699999</v>
      </c>
      <c r="U13" s="567">
        <v>1467973.5083000001</v>
      </c>
      <c r="V13" s="567">
        <v>1338572.9006000001</v>
      </c>
      <c r="W13" s="567">
        <v>615941.77130000002</v>
      </c>
      <c r="X13" s="567">
        <v>111649.3576</v>
      </c>
      <c r="Y13" s="567">
        <v>143614.44829999999</v>
      </c>
      <c r="Z13" s="567">
        <v>0</v>
      </c>
      <c r="AA13" s="567"/>
      <c r="AB13" s="567"/>
    </row>
    <row r="14" spans="1:28" ht="15">
      <c r="A14" s="455" t="s">
        <v>580</v>
      </c>
      <c r="B14" s="454" t="s">
        <v>581</v>
      </c>
      <c r="C14" s="575">
        <f t="shared" si="0"/>
        <v>3310948475.1623001</v>
      </c>
      <c r="D14" s="567">
        <v>2815126318.1348</v>
      </c>
      <c r="E14" s="567">
        <v>13718181.1263</v>
      </c>
      <c r="F14" s="567">
        <v>589274.44640000002</v>
      </c>
      <c r="G14" s="567"/>
      <c r="H14" s="567">
        <v>402038139.63</v>
      </c>
      <c r="I14" s="567">
        <v>58396088.122000001</v>
      </c>
      <c r="J14" s="567">
        <v>16180727.4156</v>
      </c>
      <c r="K14" s="567">
        <v>0</v>
      </c>
      <c r="L14" s="567">
        <v>83205909.929399997</v>
      </c>
      <c r="M14" s="567">
        <v>2963542.3189999997</v>
      </c>
      <c r="N14" s="567">
        <v>13657218.8321</v>
      </c>
      <c r="O14" s="567">
        <v>25130293.636999998</v>
      </c>
      <c r="P14" s="567">
        <v>9436539.7258000001</v>
      </c>
      <c r="Q14" s="567">
        <v>9747064.9820000008</v>
      </c>
      <c r="R14" s="567">
        <v>6211864.7119000005</v>
      </c>
      <c r="S14" s="567">
        <v>0</v>
      </c>
      <c r="T14" s="567">
        <v>10578107.4681</v>
      </c>
      <c r="U14" s="567">
        <v>1024908.8154</v>
      </c>
      <c r="V14" s="567">
        <v>1562267.4373999999</v>
      </c>
      <c r="W14" s="567">
        <v>973846.85309999995</v>
      </c>
      <c r="X14" s="567">
        <v>594540.02500000002</v>
      </c>
      <c r="Y14" s="567">
        <v>564946.84389999998</v>
      </c>
      <c r="Z14" s="567">
        <v>1109456.1942</v>
      </c>
      <c r="AA14" s="567"/>
      <c r="AB14" s="567"/>
    </row>
    <row r="15" spans="1:28" ht="15">
      <c r="A15" s="453">
        <v>1.2</v>
      </c>
      <c r="B15" s="451" t="s">
        <v>894</v>
      </c>
      <c r="C15" s="575">
        <f t="shared" si="0"/>
        <v>148642899.22662002</v>
      </c>
      <c r="D15" s="567">
        <v>31061516.359999999</v>
      </c>
      <c r="E15" s="567">
        <v>680933.73</v>
      </c>
      <c r="F15" s="567">
        <v>24596.370000000003</v>
      </c>
      <c r="G15" s="567"/>
      <c r="H15" s="567">
        <v>27977748.419999998</v>
      </c>
      <c r="I15" s="567">
        <v>4784047.37</v>
      </c>
      <c r="J15" s="567">
        <v>1084346</v>
      </c>
      <c r="K15" s="567">
        <v>0</v>
      </c>
      <c r="L15" s="567">
        <v>71313050.325066</v>
      </c>
      <c r="M15" s="567">
        <v>2699295.8747259998</v>
      </c>
      <c r="N15" s="567">
        <v>4593414.2116879998</v>
      </c>
      <c r="O15" s="567">
        <v>16554991.506338</v>
      </c>
      <c r="P15" s="567">
        <v>8511757.8704040013</v>
      </c>
      <c r="Q15" s="567">
        <v>9909787.2690820005</v>
      </c>
      <c r="R15" s="567">
        <v>13945727.985024</v>
      </c>
      <c r="S15" s="567">
        <v>0</v>
      </c>
      <c r="T15" s="567">
        <v>18290584.121554002</v>
      </c>
      <c r="U15" s="567">
        <v>1804243.4703000002</v>
      </c>
      <c r="V15" s="567">
        <v>1905385.1163360002</v>
      </c>
      <c r="W15" s="567">
        <v>993784.03999999992</v>
      </c>
      <c r="X15" s="567">
        <v>624772.89847200003</v>
      </c>
      <c r="Y15" s="567">
        <v>420877.34882000001</v>
      </c>
      <c r="Z15" s="567">
        <v>509989.42308199999</v>
      </c>
      <c r="AA15" s="567"/>
      <c r="AB15" s="567"/>
    </row>
    <row r="16" spans="1:28" ht="15">
      <c r="A16" s="452">
        <v>1.3</v>
      </c>
      <c r="B16" s="451" t="s">
        <v>582</v>
      </c>
      <c r="C16" s="576"/>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row>
    <row r="17" spans="1:28" s="441" customFormat="1" ht="25.5">
      <c r="A17" s="449" t="s">
        <v>583</v>
      </c>
      <c r="B17" s="450" t="s">
        <v>584</v>
      </c>
      <c r="C17" s="575">
        <f t="shared" ref="C17:C22" si="1">D17+H17+L17+T17</f>
        <v>12840872423.184515</v>
      </c>
      <c r="D17" s="578">
        <v>11495685520.772539</v>
      </c>
      <c r="E17" s="578">
        <v>71384984.008599997</v>
      </c>
      <c r="F17" s="578">
        <v>3546915.9245999996</v>
      </c>
      <c r="G17" s="578"/>
      <c r="H17" s="578">
        <v>966249228.39327407</v>
      </c>
      <c r="I17" s="578">
        <v>94354752.141599998</v>
      </c>
      <c r="J17" s="578">
        <v>43015530.628199995</v>
      </c>
      <c r="K17" s="578">
        <v>0</v>
      </c>
      <c r="L17" s="578">
        <v>300790102.98659998</v>
      </c>
      <c r="M17" s="578">
        <v>9251078.0612000003</v>
      </c>
      <c r="N17" s="578">
        <v>32586798.750100002</v>
      </c>
      <c r="O17" s="578">
        <v>78639463.75999999</v>
      </c>
      <c r="P17" s="578">
        <v>41808709.694700003</v>
      </c>
      <c r="Q17" s="578">
        <v>34974371.383500002</v>
      </c>
      <c r="R17" s="578">
        <v>30095901.607000001</v>
      </c>
      <c r="S17" s="578">
        <v>0</v>
      </c>
      <c r="T17" s="578">
        <v>78147571.032100007</v>
      </c>
      <c r="U17" s="578">
        <v>5353078.1868000003</v>
      </c>
      <c r="V17" s="578">
        <v>6070663.4765999997</v>
      </c>
      <c r="W17" s="578">
        <v>2172731.1438000002</v>
      </c>
      <c r="X17" s="578">
        <v>1111748.2794000001</v>
      </c>
      <c r="Y17" s="578">
        <v>1043188.4534000001</v>
      </c>
      <c r="Z17" s="578">
        <v>1352583.9103000001</v>
      </c>
      <c r="AA17" s="578"/>
      <c r="AB17" s="578"/>
    </row>
    <row r="18" spans="1:28" s="441" customFormat="1" ht="26.25">
      <c r="A18" s="446" t="s">
        <v>585</v>
      </c>
      <c r="B18" s="447" t="s">
        <v>586</v>
      </c>
      <c r="C18" s="575">
        <f t="shared" si="1"/>
        <v>12056448068.048122</v>
      </c>
      <c r="D18" s="578">
        <v>10777708240.912518</v>
      </c>
      <c r="E18" s="578">
        <v>69794931.918699995</v>
      </c>
      <c r="F18" s="578">
        <v>3461020.6509999996</v>
      </c>
      <c r="G18" s="578"/>
      <c r="H18" s="578">
        <v>908674597.88760293</v>
      </c>
      <c r="I18" s="578">
        <v>87125299.37349999</v>
      </c>
      <c r="J18" s="578">
        <v>41727401.035999998</v>
      </c>
      <c r="K18" s="578">
        <v>0</v>
      </c>
      <c r="L18" s="578">
        <v>291932779.48659998</v>
      </c>
      <c r="M18" s="578">
        <v>9057105.3159999996</v>
      </c>
      <c r="N18" s="578">
        <v>29160816.3101</v>
      </c>
      <c r="O18" s="578">
        <v>75501736.325299993</v>
      </c>
      <c r="P18" s="578">
        <v>41186502.018700004</v>
      </c>
      <c r="Q18" s="578">
        <v>34854354.2531</v>
      </c>
      <c r="R18" s="578">
        <v>29508552.319799997</v>
      </c>
      <c r="S18" s="578">
        <v>0</v>
      </c>
      <c r="T18" s="578">
        <v>78132449.761400014</v>
      </c>
      <c r="U18" s="578">
        <v>5353078.1868000003</v>
      </c>
      <c r="V18" s="578">
        <v>6070663.4765999997</v>
      </c>
      <c r="W18" s="578">
        <v>2172731.1438000002</v>
      </c>
      <c r="X18" s="578">
        <v>1111748.2816000001</v>
      </c>
      <c r="Y18" s="578">
        <v>1043188.4534000001</v>
      </c>
      <c r="Z18" s="578">
        <v>1337462.6448000001</v>
      </c>
      <c r="AA18" s="578"/>
      <c r="AB18" s="578"/>
    </row>
    <row r="19" spans="1:28" s="441" customFormat="1" ht="15">
      <c r="A19" s="449" t="s">
        <v>587</v>
      </c>
      <c r="B19" s="448" t="s">
        <v>588</v>
      </c>
      <c r="C19" s="575">
        <f t="shared" si="1"/>
        <v>13598051931.069527</v>
      </c>
      <c r="D19" s="578">
        <v>12435537953.502401</v>
      </c>
      <c r="E19" s="578">
        <v>54456590.700400002</v>
      </c>
      <c r="F19" s="578">
        <v>2041396.7594999999</v>
      </c>
      <c r="G19" s="578"/>
      <c r="H19" s="578">
        <v>805032145.14122593</v>
      </c>
      <c r="I19" s="578">
        <v>87258495.318900004</v>
      </c>
      <c r="J19" s="578">
        <v>30911383.6932</v>
      </c>
      <c r="K19" s="578">
        <v>0</v>
      </c>
      <c r="L19" s="578">
        <v>305072540.34009999</v>
      </c>
      <c r="M19" s="578">
        <v>4754054.4407000002</v>
      </c>
      <c r="N19" s="578">
        <v>36974941.246299997</v>
      </c>
      <c r="O19" s="578">
        <v>57238285.373900004</v>
      </c>
      <c r="P19" s="578">
        <v>51410049.328400001</v>
      </c>
      <c r="Q19" s="578">
        <v>34465373.949599996</v>
      </c>
      <c r="R19" s="578">
        <v>28815953.6754</v>
      </c>
      <c r="S19" s="578">
        <v>0</v>
      </c>
      <c r="T19" s="578">
        <v>52409292.0858</v>
      </c>
      <c r="U19" s="578">
        <v>2838816.6324999994</v>
      </c>
      <c r="V19" s="578">
        <v>2841332.9931999999</v>
      </c>
      <c r="W19" s="578">
        <v>882839.14619999996</v>
      </c>
      <c r="X19" s="578">
        <v>656730.04839999997</v>
      </c>
      <c r="Y19" s="578">
        <v>666151.42660000001</v>
      </c>
      <c r="Z19" s="578">
        <v>231023.5105</v>
      </c>
      <c r="AA19" s="578"/>
      <c r="AB19" s="578"/>
    </row>
    <row r="20" spans="1:28" s="441" customFormat="1" ht="15">
      <c r="A20" s="446" t="s">
        <v>589</v>
      </c>
      <c r="B20" s="447" t="s">
        <v>590</v>
      </c>
      <c r="C20" s="575">
        <f t="shared" si="1"/>
        <v>12515157999.737331</v>
      </c>
      <c r="D20" s="578">
        <v>11437960220.211081</v>
      </c>
      <c r="E20" s="578">
        <v>53716871.701299995</v>
      </c>
      <c r="F20" s="578">
        <v>2040238.419</v>
      </c>
      <c r="G20" s="578"/>
      <c r="H20" s="578">
        <v>720068454.42425156</v>
      </c>
      <c r="I20" s="578">
        <v>42683460.106785402</v>
      </c>
      <c r="J20" s="578">
        <v>28935576.784000002</v>
      </c>
      <c r="K20" s="578">
        <v>0</v>
      </c>
      <c r="L20" s="578">
        <v>304976582.86339998</v>
      </c>
      <c r="M20" s="578">
        <v>4537624.7939999998</v>
      </c>
      <c r="N20" s="578">
        <v>19657970.7599</v>
      </c>
      <c r="O20" s="578">
        <v>53403900.674699999</v>
      </c>
      <c r="P20" s="578">
        <v>45849063.471299998</v>
      </c>
      <c r="Q20" s="578">
        <v>33948934.056900002</v>
      </c>
      <c r="R20" s="578">
        <v>28368660.240199998</v>
      </c>
      <c r="S20" s="578">
        <v>0</v>
      </c>
      <c r="T20" s="578">
        <v>52152742.238600001</v>
      </c>
      <c r="U20" s="578">
        <v>2838816.6332</v>
      </c>
      <c r="V20" s="578">
        <v>2841332.9933999996</v>
      </c>
      <c r="W20" s="578">
        <v>882839.14619999996</v>
      </c>
      <c r="X20" s="578">
        <v>656730.04839999997</v>
      </c>
      <c r="Y20" s="578">
        <v>666151.42660000001</v>
      </c>
      <c r="Z20" s="578">
        <v>143728.7752</v>
      </c>
      <c r="AA20" s="578"/>
      <c r="AB20" s="578"/>
    </row>
    <row r="21" spans="1:28" s="441" customFormat="1" ht="15">
      <c r="A21" s="445">
        <v>1.4</v>
      </c>
      <c r="B21" s="444" t="s">
        <v>679</v>
      </c>
      <c r="C21" s="575">
        <f t="shared" si="1"/>
        <v>82984632.604300007</v>
      </c>
      <c r="D21" s="578">
        <f>76463555.8252+543779</f>
        <v>77007334.825200006</v>
      </c>
      <c r="E21" s="578">
        <v>259900.07</v>
      </c>
      <c r="F21" s="578">
        <v>0</v>
      </c>
      <c r="G21" s="578"/>
      <c r="H21" s="578">
        <v>3262842.9099999997</v>
      </c>
      <c r="I21" s="578">
        <v>1155293.0799999998</v>
      </c>
      <c r="J21" s="578">
        <v>282908</v>
      </c>
      <c r="K21" s="578">
        <v>0</v>
      </c>
      <c r="L21" s="578">
        <v>2714454.8691000002</v>
      </c>
      <c r="M21" s="578">
        <v>46996.57</v>
      </c>
      <c r="N21" s="578">
        <v>0</v>
      </c>
      <c r="O21" s="578">
        <v>2603446.6800000002</v>
      </c>
      <c r="P21" s="578">
        <v>0</v>
      </c>
      <c r="Q21" s="578">
        <v>0</v>
      </c>
      <c r="R21" s="578">
        <v>0</v>
      </c>
      <c r="S21" s="578">
        <v>0</v>
      </c>
      <c r="T21" s="578">
        <v>0</v>
      </c>
      <c r="U21" s="578">
        <v>0</v>
      </c>
      <c r="V21" s="578">
        <v>0</v>
      </c>
      <c r="W21" s="578">
        <v>0</v>
      </c>
      <c r="X21" s="578">
        <v>0</v>
      </c>
      <c r="Y21" s="578">
        <v>0</v>
      </c>
      <c r="Z21" s="578">
        <v>0</v>
      </c>
      <c r="AA21" s="578"/>
      <c r="AB21" s="578"/>
    </row>
    <row r="22" spans="1:28" s="441" customFormat="1" ht="15.75" thickBot="1">
      <c r="A22" s="443">
        <v>1.5</v>
      </c>
      <c r="B22" s="442" t="s">
        <v>680</v>
      </c>
      <c r="C22" s="575">
        <f t="shared" si="1"/>
        <v>76079017.612895295</v>
      </c>
      <c r="D22" s="578">
        <v>72602962.074695304</v>
      </c>
      <c r="E22" s="578">
        <v>0</v>
      </c>
      <c r="F22" s="578">
        <v>0</v>
      </c>
      <c r="G22" s="578"/>
      <c r="H22" s="578">
        <v>1886507.284</v>
      </c>
      <c r="I22" s="578">
        <v>0</v>
      </c>
      <c r="J22" s="578">
        <v>0</v>
      </c>
      <c r="K22" s="578">
        <v>0</v>
      </c>
      <c r="L22" s="578">
        <v>1589548.2541999999</v>
      </c>
      <c r="M22" s="578">
        <v>-389</v>
      </c>
      <c r="N22" s="578">
        <v>0</v>
      </c>
      <c r="O22" s="578">
        <v>926148.49509999994</v>
      </c>
      <c r="P22" s="578">
        <v>0</v>
      </c>
      <c r="Q22" s="578">
        <v>0</v>
      </c>
      <c r="R22" s="578">
        <v>0</v>
      </c>
      <c r="S22" s="578">
        <v>0</v>
      </c>
      <c r="T22" s="578">
        <v>0</v>
      </c>
      <c r="U22" s="578">
        <v>0</v>
      </c>
      <c r="V22" s="578">
        <v>0</v>
      </c>
      <c r="W22" s="578">
        <v>0</v>
      </c>
      <c r="X22" s="578">
        <v>0</v>
      </c>
      <c r="Y22" s="578">
        <v>0</v>
      </c>
      <c r="Z22" s="578">
        <v>0</v>
      </c>
      <c r="AA22" s="578"/>
      <c r="AB22" s="578"/>
    </row>
    <row r="24" spans="1:28">
      <c r="C24" s="579"/>
    </row>
    <row r="25" spans="1:28">
      <c r="C25" s="579"/>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topLeftCell="A25" zoomScaleNormal="100" workbookViewId="0">
      <selection activeCell="I35" sqref="I35"/>
    </sheetView>
  </sheetViews>
  <sheetFormatPr defaultColWidth="9.140625" defaultRowHeight="12.75"/>
  <cols>
    <col min="1" max="1" width="11.85546875" style="411" bestFit="1" customWidth="1"/>
    <col min="2" max="2" width="93.42578125" style="411" customWidth="1"/>
    <col min="3" max="3" width="18.7109375" style="411" bestFit="1" customWidth="1"/>
    <col min="4" max="5" width="16.140625" style="411" customWidth="1"/>
    <col min="6" max="6" width="16.140625" style="463" customWidth="1"/>
    <col min="7" max="7" width="25.28515625" style="463" customWidth="1"/>
    <col min="8" max="8" width="16.140625" style="411" customWidth="1"/>
    <col min="9" max="11" width="16.140625" style="463" customWidth="1"/>
    <col min="12" max="12" width="26.28515625" style="463" customWidth="1"/>
    <col min="13" max="16384" width="9.140625" style="411"/>
  </cols>
  <sheetData>
    <row r="1" spans="1:12" ht="13.5">
      <c r="A1" s="351" t="s">
        <v>108</v>
      </c>
      <c r="B1" s="276" t="str">
        <f>Info!C2</f>
        <v>სს ”საქართველოს ბანკი”</v>
      </c>
      <c r="F1" s="411"/>
      <c r="G1" s="411"/>
      <c r="I1" s="411"/>
      <c r="J1" s="411"/>
      <c r="K1" s="411"/>
      <c r="L1" s="411"/>
    </row>
    <row r="2" spans="1:12">
      <c r="A2" s="353" t="s">
        <v>109</v>
      </c>
      <c r="B2" s="355">
        <f>'1. key ratios'!B2</f>
        <v>45016</v>
      </c>
      <c r="F2" s="411"/>
      <c r="G2" s="411"/>
      <c r="I2" s="411"/>
      <c r="J2" s="411"/>
      <c r="K2" s="411"/>
      <c r="L2" s="411"/>
    </row>
    <row r="3" spans="1:12">
      <c r="A3" s="354" t="s">
        <v>593</v>
      </c>
      <c r="F3" s="411"/>
      <c r="G3" s="411"/>
      <c r="I3" s="411"/>
      <c r="J3" s="411"/>
      <c r="K3" s="411"/>
      <c r="L3" s="411"/>
    </row>
    <row r="4" spans="1:12">
      <c r="F4" s="411"/>
      <c r="G4" s="411"/>
      <c r="I4" s="411"/>
      <c r="J4" s="411"/>
      <c r="K4" s="411"/>
      <c r="L4" s="411"/>
    </row>
    <row r="5" spans="1:12" ht="37.5" customHeight="1">
      <c r="A5" s="839" t="s">
        <v>594</v>
      </c>
      <c r="B5" s="840"/>
      <c r="C5" s="890" t="s">
        <v>595</v>
      </c>
      <c r="D5" s="891"/>
      <c r="E5" s="891"/>
      <c r="F5" s="891"/>
      <c r="G5" s="891"/>
      <c r="H5" s="892" t="s">
        <v>906</v>
      </c>
      <c r="I5" s="893"/>
      <c r="J5" s="893"/>
      <c r="K5" s="893"/>
      <c r="L5" s="894"/>
    </row>
    <row r="6" spans="1:12" ht="39.6" customHeight="1">
      <c r="A6" s="843"/>
      <c r="B6" s="844"/>
      <c r="C6" s="361"/>
      <c r="D6" s="409" t="s">
        <v>891</v>
      </c>
      <c r="E6" s="409" t="s">
        <v>890</v>
      </c>
      <c r="F6" s="409" t="s">
        <v>889</v>
      </c>
      <c r="G6" s="409" t="s">
        <v>888</v>
      </c>
      <c r="H6" s="465"/>
      <c r="I6" s="409" t="s">
        <v>891</v>
      </c>
      <c r="J6" s="409" t="s">
        <v>890</v>
      </c>
      <c r="K6" s="409" t="s">
        <v>889</v>
      </c>
      <c r="L6" s="409" t="s">
        <v>888</v>
      </c>
    </row>
    <row r="7" spans="1:12">
      <c r="A7" s="400">
        <v>1</v>
      </c>
      <c r="B7" s="415" t="s">
        <v>517</v>
      </c>
      <c r="C7" s="594">
        <f>SUM(D7:G7)</f>
        <v>618108041.91939986</v>
      </c>
      <c r="D7" s="572">
        <v>573443791.50319993</v>
      </c>
      <c r="E7" s="572">
        <v>31036000.188599996</v>
      </c>
      <c r="F7" s="572">
        <v>9841995.8926999997</v>
      </c>
      <c r="G7" s="572">
        <v>3786254.3349000001</v>
      </c>
      <c r="H7" s="572">
        <f>SUM(I7:L7)</f>
        <v>10933746.998744002</v>
      </c>
      <c r="I7" s="572">
        <v>3767714.75</v>
      </c>
      <c r="J7" s="572">
        <v>1724931.9700000004</v>
      </c>
      <c r="K7" s="572">
        <v>4903476.1186040007</v>
      </c>
      <c r="L7" s="572">
        <v>537624.16014000005</v>
      </c>
    </row>
    <row r="8" spans="1:12">
      <c r="A8" s="400">
        <v>2</v>
      </c>
      <c r="B8" s="415" t="s">
        <v>518</v>
      </c>
      <c r="C8" s="594">
        <f t="shared" ref="C8:C32" si="0">SUM(D8:G8)</f>
        <v>1572749744.605</v>
      </c>
      <c r="D8" s="572">
        <v>1462170474.6065998</v>
      </c>
      <c r="E8" s="572">
        <v>80806034.782999992</v>
      </c>
      <c r="F8" s="572">
        <v>23142808.419499997</v>
      </c>
      <c r="G8" s="572">
        <v>6630426.7959000003</v>
      </c>
      <c r="H8" s="572">
        <f t="shared" ref="H8:H32" si="1">SUM(I8:L8)</f>
        <v>21557255.739181999</v>
      </c>
      <c r="I8" s="572">
        <v>9228068.8099999987</v>
      </c>
      <c r="J8" s="572">
        <v>3588495.7900000005</v>
      </c>
      <c r="K8" s="572">
        <v>7644331.2931560008</v>
      </c>
      <c r="L8" s="572">
        <v>1096359.8460260001</v>
      </c>
    </row>
    <row r="9" spans="1:12">
      <c r="A9" s="400">
        <v>3</v>
      </c>
      <c r="B9" s="415" t="s">
        <v>867</v>
      </c>
      <c r="C9" s="594">
        <f t="shared" si="0"/>
        <v>25865205.850000001</v>
      </c>
      <c r="D9" s="572">
        <v>20396565.460000001</v>
      </c>
      <c r="E9" s="572">
        <v>604642.4</v>
      </c>
      <c r="F9" s="572">
        <v>4863997.99</v>
      </c>
      <c r="G9" s="572">
        <v>0</v>
      </c>
      <c r="H9" s="572">
        <f t="shared" si="1"/>
        <v>4476176.07</v>
      </c>
      <c r="I9" s="572">
        <v>0</v>
      </c>
      <c r="J9" s="572">
        <v>0</v>
      </c>
      <c r="K9" s="572">
        <v>4476176.07</v>
      </c>
      <c r="L9" s="572">
        <v>0</v>
      </c>
    </row>
    <row r="10" spans="1:12">
      <c r="A10" s="400">
        <v>4</v>
      </c>
      <c r="B10" s="415" t="s">
        <v>519</v>
      </c>
      <c r="C10" s="594">
        <f t="shared" si="0"/>
        <v>566372103.24769998</v>
      </c>
      <c r="D10" s="572">
        <v>480400963.96969992</v>
      </c>
      <c r="E10" s="572">
        <v>48691553.065200008</v>
      </c>
      <c r="F10" s="572">
        <v>23925683.262300003</v>
      </c>
      <c r="G10" s="572">
        <v>13353902.950499998</v>
      </c>
      <c r="H10" s="572">
        <f t="shared" si="1"/>
        <v>14615046.496289998</v>
      </c>
      <c r="I10" s="572">
        <v>350059.89999999997</v>
      </c>
      <c r="J10" s="572">
        <v>491315.93999999994</v>
      </c>
      <c r="K10" s="572">
        <v>9223607.8866859991</v>
      </c>
      <c r="L10" s="572">
        <v>4550062.7696040003</v>
      </c>
    </row>
    <row r="11" spans="1:12">
      <c r="A11" s="400">
        <v>5</v>
      </c>
      <c r="B11" s="415" t="s">
        <v>520</v>
      </c>
      <c r="C11" s="594">
        <f t="shared" si="0"/>
        <v>932384305.529814</v>
      </c>
      <c r="D11" s="572">
        <v>842942445.94783998</v>
      </c>
      <c r="E11" s="572">
        <v>64986465.768774003</v>
      </c>
      <c r="F11" s="572">
        <v>22674494.310999997</v>
      </c>
      <c r="G11" s="572">
        <v>1780899.5022000002</v>
      </c>
      <c r="H11" s="572">
        <f t="shared" si="1"/>
        <v>6105202.7189800013</v>
      </c>
      <c r="I11" s="572">
        <v>1484700.31</v>
      </c>
      <c r="J11" s="572">
        <v>832944.82000000007</v>
      </c>
      <c r="K11" s="572">
        <v>3636511.3189800009</v>
      </c>
      <c r="L11" s="572">
        <v>151046.27000000002</v>
      </c>
    </row>
    <row r="12" spans="1:12">
      <c r="A12" s="400">
        <v>6</v>
      </c>
      <c r="B12" s="415" t="s">
        <v>521</v>
      </c>
      <c r="C12" s="594">
        <f t="shared" si="0"/>
        <v>636922640.69469988</v>
      </c>
      <c r="D12" s="572">
        <v>576887417.0223</v>
      </c>
      <c r="E12" s="572">
        <v>43139513.632499993</v>
      </c>
      <c r="F12" s="572">
        <v>14369628.123499995</v>
      </c>
      <c r="G12" s="572">
        <v>2526081.9163999995</v>
      </c>
      <c r="H12" s="572">
        <f t="shared" si="1"/>
        <v>14246805.832758</v>
      </c>
      <c r="I12" s="572">
        <v>4601590.21</v>
      </c>
      <c r="J12" s="572">
        <v>1983518.48</v>
      </c>
      <c r="K12" s="572">
        <v>6994187.339098</v>
      </c>
      <c r="L12" s="572">
        <v>667509.80365999998</v>
      </c>
    </row>
    <row r="13" spans="1:12">
      <c r="A13" s="400">
        <v>7</v>
      </c>
      <c r="B13" s="415" t="s">
        <v>522</v>
      </c>
      <c r="C13" s="594">
        <f t="shared" si="0"/>
        <v>479104875.62620002</v>
      </c>
      <c r="D13" s="572">
        <v>434405568.51660001</v>
      </c>
      <c r="E13" s="572">
        <v>24813692.705899999</v>
      </c>
      <c r="F13" s="572">
        <v>18808327.096799996</v>
      </c>
      <c r="G13" s="572">
        <v>1077287.3069000002</v>
      </c>
      <c r="H13" s="572">
        <f t="shared" si="1"/>
        <v>11049286.338064002</v>
      </c>
      <c r="I13" s="572">
        <v>2114529.27</v>
      </c>
      <c r="J13" s="572">
        <v>917424.49999999988</v>
      </c>
      <c r="K13" s="572">
        <v>7825560.8159920005</v>
      </c>
      <c r="L13" s="572">
        <v>191771.752072</v>
      </c>
    </row>
    <row r="14" spans="1:12">
      <c r="A14" s="400">
        <v>8</v>
      </c>
      <c r="B14" s="415" t="s">
        <v>523</v>
      </c>
      <c r="C14" s="594">
        <f t="shared" si="0"/>
        <v>699775411.40080011</v>
      </c>
      <c r="D14" s="572">
        <v>669395623.45600009</v>
      </c>
      <c r="E14" s="572">
        <v>17981462.089000002</v>
      </c>
      <c r="F14" s="572">
        <v>10387884.517899999</v>
      </c>
      <c r="G14" s="572">
        <v>2010441.3379000002</v>
      </c>
      <c r="H14" s="572">
        <f t="shared" si="1"/>
        <v>9166357.0275919996</v>
      </c>
      <c r="I14" s="572">
        <v>3465329.7199999997</v>
      </c>
      <c r="J14" s="572">
        <v>1012916.02</v>
      </c>
      <c r="K14" s="572">
        <v>3939572.3787720008</v>
      </c>
      <c r="L14" s="572">
        <v>748538.90882000001</v>
      </c>
    </row>
    <row r="15" spans="1:12">
      <c r="A15" s="400">
        <v>9</v>
      </c>
      <c r="B15" s="415" t="s">
        <v>524</v>
      </c>
      <c r="C15" s="594">
        <f t="shared" si="0"/>
        <v>882937667.43650007</v>
      </c>
      <c r="D15" s="572">
        <v>590687612.53840005</v>
      </c>
      <c r="E15" s="572">
        <v>285088150.50749999</v>
      </c>
      <c r="F15" s="572">
        <v>6124817.8164999997</v>
      </c>
      <c r="G15" s="572">
        <v>1037086.5741000001</v>
      </c>
      <c r="H15" s="572">
        <f t="shared" si="1"/>
        <v>21826118.291598</v>
      </c>
      <c r="I15" s="572">
        <v>2568884.09</v>
      </c>
      <c r="J15" s="572">
        <v>16755156.389999999</v>
      </c>
      <c r="K15" s="572">
        <v>2272688.3015979999</v>
      </c>
      <c r="L15" s="572">
        <v>229389.50999999998</v>
      </c>
    </row>
    <row r="16" spans="1:12">
      <c r="A16" s="400">
        <v>10</v>
      </c>
      <c r="B16" s="415" t="s">
        <v>525</v>
      </c>
      <c r="C16" s="594">
        <f t="shared" si="0"/>
        <v>263691281.74199995</v>
      </c>
      <c r="D16" s="572">
        <v>243194584.34739995</v>
      </c>
      <c r="E16" s="572">
        <v>8904245.6977000013</v>
      </c>
      <c r="F16" s="572">
        <v>11381011.0198</v>
      </c>
      <c r="G16" s="572">
        <v>211440.6771</v>
      </c>
      <c r="H16" s="572">
        <f t="shared" si="1"/>
        <v>6077512.7462719996</v>
      </c>
      <c r="I16" s="572">
        <v>1195917.8600000001</v>
      </c>
      <c r="J16" s="572">
        <v>353981.86000000004</v>
      </c>
      <c r="K16" s="572">
        <v>4448008.3562719999</v>
      </c>
      <c r="L16" s="572">
        <v>79604.67</v>
      </c>
    </row>
    <row r="17" spans="1:12">
      <c r="A17" s="400">
        <v>11</v>
      </c>
      <c r="B17" s="415" t="s">
        <v>526</v>
      </c>
      <c r="C17" s="594">
        <f t="shared" si="0"/>
        <v>251778176.34399998</v>
      </c>
      <c r="D17" s="572">
        <v>242518990.94759998</v>
      </c>
      <c r="E17" s="572">
        <v>6111181.5007999986</v>
      </c>
      <c r="F17" s="572">
        <v>3041209.9971999996</v>
      </c>
      <c r="G17" s="572">
        <v>106793.89840000001</v>
      </c>
      <c r="H17" s="572">
        <f t="shared" si="1"/>
        <v>2889168.2363919998</v>
      </c>
      <c r="I17" s="572">
        <v>1453766.6199999999</v>
      </c>
      <c r="J17" s="572">
        <v>265078.31</v>
      </c>
      <c r="K17" s="572">
        <v>1131054.6563919999</v>
      </c>
      <c r="L17" s="572">
        <v>39268.65</v>
      </c>
    </row>
    <row r="18" spans="1:12">
      <c r="A18" s="400">
        <v>12</v>
      </c>
      <c r="B18" s="415" t="s">
        <v>527</v>
      </c>
      <c r="C18" s="594">
        <f t="shared" si="0"/>
        <v>724738192.19080007</v>
      </c>
      <c r="D18" s="572">
        <v>682682320.70379996</v>
      </c>
      <c r="E18" s="572">
        <v>26476799.6954</v>
      </c>
      <c r="F18" s="572">
        <v>14599712.925600002</v>
      </c>
      <c r="G18" s="572">
        <v>979358.86600000015</v>
      </c>
      <c r="H18" s="572">
        <f t="shared" si="1"/>
        <v>8125574.3617460001</v>
      </c>
      <c r="I18" s="572">
        <v>3333836.08</v>
      </c>
      <c r="J18" s="572">
        <v>996563.13</v>
      </c>
      <c r="K18" s="572">
        <v>3537324.8445800003</v>
      </c>
      <c r="L18" s="572">
        <v>257850.30716600001</v>
      </c>
    </row>
    <row r="19" spans="1:12">
      <c r="A19" s="400">
        <v>13</v>
      </c>
      <c r="B19" s="415" t="s">
        <v>528</v>
      </c>
      <c r="C19" s="594">
        <f t="shared" si="0"/>
        <v>192639864.98389995</v>
      </c>
      <c r="D19" s="572">
        <v>184298382.59719998</v>
      </c>
      <c r="E19" s="572">
        <v>4221173.5929999994</v>
      </c>
      <c r="F19" s="572">
        <v>3984245.8245000001</v>
      </c>
      <c r="G19" s="572">
        <v>136062.96919999999</v>
      </c>
      <c r="H19" s="572">
        <f t="shared" si="1"/>
        <v>3384168.7534879996</v>
      </c>
      <c r="I19" s="572">
        <v>1075486.33</v>
      </c>
      <c r="J19" s="572">
        <v>251840.58999999997</v>
      </c>
      <c r="K19" s="572">
        <v>2010734.243488</v>
      </c>
      <c r="L19" s="572">
        <v>46107.59</v>
      </c>
    </row>
    <row r="20" spans="1:12">
      <c r="A20" s="400">
        <v>14</v>
      </c>
      <c r="B20" s="415" t="s">
        <v>529</v>
      </c>
      <c r="C20" s="594">
        <f t="shared" si="0"/>
        <v>1045718409.101</v>
      </c>
      <c r="D20" s="572">
        <v>837301967.2277</v>
      </c>
      <c r="E20" s="572">
        <v>170961750.0848</v>
      </c>
      <c r="F20" s="572">
        <v>36918828.8891</v>
      </c>
      <c r="G20" s="572">
        <v>535862.89939999988</v>
      </c>
      <c r="H20" s="572">
        <f t="shared" si="1"/>
        <v>10218601.962256001</v>
      </c>
      <c r="I20" s="572">
        <v>1967615.27</v>
      </c>
      <c r="J20" s="572">
        <v>610342.64</v>
      </c>
      <c r="K20" s="572">
        <v>7620859.9922559997</v>
      </c>
      <c r="L20" s="572">
        <v>19784.059999999998</v>
      </c>
    </row>
    <row r="21" spans="1:12">
      <c r="A21" s="400">
        <v>15</v>
      </c>
      <c r="B21" s="415" t="s">
        <v>530</v>
      </c>
      <c r="C21" s="594">
        <f t="shared" si="0"/>
        <v>226771462.14989996</v>
      </c>
      <c r="D21" s="572">
        <v>197308674.78959998</v>
      </c>
      <c r="E21" s="572">
        <v>22009987.457699999</v>
      </c>
      <c r="F21" s="572">
        <v>5685700.3389000008</v>
      </c>
      <c r="G21" s="572">
        <v>1767099.5637000001</v>
      </c>
      <c r="H21" s="572">
        <f t="shared" si="1"/>
        <v>3790107.6580820004</v>
      </c>
      <c r="I21" s="572">
        <v>1507787.45</v>
      </c>
      <c r="J21" s="572">
        <v>546519.17000000016</v>
      </c>
      <c r="K21" s="572">
        <v>1537983.6419400002</v>
      </c>
      <c r="L21" s="572">
        <v>197817.39614199998</v>
      </c>
    </row>
    <row r="22" spans="1:12">
      <c r="A22" s="400">
        <v>16</v>
      </c>
      <c r="B22" s="415" t="s">
        <v>531</v>
      </c>
      <c r="C22" s="594">
        <f t="shared" si="0"/>
        <v>709655945.42760003</v>
      </c>
      <c r="D22" s="572">
        <v>580936655.1609</v>
      </c>
      <c r="E22" s="572">
        <v>70256292.4692</v>
      </c>
      <c r="F22" s="572">
        <v>57926586.532799989</v>
      </c>
      <c r="G22" s="572">
        <v>536411.26469999994</v>
      </c>
      <c r="H22" s="572">
        <f t="shared" si="1"/>
        <v>9063042.8070120029</v>
      </c>
      <c r="I22" s="572">
        <v>1805376.5000000002</v>
      </c>
      <c r="J22" s="572">
        <v>4490380.080000001</v>
      </c>
      <c r="K22" s="572">
        <v>2625351.227012001</v>
      </c>
      <c r="L22" s="572">
        <v>141935</v>
      </c>
    </row>
    <row r="23" spans="1:12">
      <c r="A23" s="400">
        <v>17</v>
      </c>
      <c r="B23" s="415" t="s">
        <v>532</v>
      </c>
      <c r="C23" s="594">
        <f t="shared" si="0"/>
        <v>111346939.61350001</v>
      </c>
      <c r="D23" s="572">
        <v>102672767.86700001</v>
      </c>
      <c r="E23" s="572">
        <v>2250740.9392999997</v>
      </c>
      <c r="F23" s="572">
        <v>6336798.2406000001</v>
      </c>
      <c r="G23" s="572">
        <v>86632.566600000006</v>
      </c>
      <c r="H23" s="572">
        <f t="shared" si="1"/>
        <v>3545859.8699599998</v>
      </c>
      <c r="I23" s="572">
        <v>296762.52999999997</v>
      </c>
      <c r="J23" s="572">
        <v>95773.500000000015</v>
      </c>
      <c r="K23" s="572">
        <v>3145605.3306999998</v>
      </c>
      <c r="L23" s="572">
        <v>7718.5092599999998</v>
      </c>
    </row>
    <row r="24" spans="1:12">
      <c r="A24" s="400">
        <v>18</v>
      </c>
      <c r="B24" s="415" t="s">
        <v>533</v>
      </c>
      <c r="C24" s="594">
        <f t="shared" si="0"/>
        <v>598075542.99757588</v>
      </c>
      <c r="D24" s="572">
        <v>586311090.06447589</v>
      </c>
      <c r="E24" s="572">
        <v>7924385.3822999988</v>
      </c>
      <c r="F24" s="572">
        <v>3346116.9401000002</v>
      </c>
      <c r="G24" s="572">
        <v>493950.61070000002</v>
      </c>
      <c r="H24" s="572">
        <f t="shared" si="1"/>
        <v>4504690.3075539991</v>
      </c>
      <c r="I24" s="572">
        <v>2007134.95</v>
      </c>
      <c r="J24" s="572">
        <v>306911.26</v>
      </c>
      <c r="K24" s="572">
        <v>2110896.497554</v>
      </c>
      <c r="L24" s="572">
        <v>79747.600000000006</v>
      </c>
    </row>
    <row r="25" spans="1:12">
      <c r="A25" s="400">
        <v>19</v>
      </c>
      <c r="B25" s="415" t="s">
        <v>534</v>
      </c>
      <c r="C25" s="594">
        <f t="shared" si="0"/>
        <v>112667330.51789999</v>
      </c>
      <c r="D25" s="572">
        <v>110514548.34559999</v>
      </c>
      <c r="E25" s="572">
        <v>1749347.2277000002</v>
      </c>
      <c r="F25" s="572">
        <v>401519.48229999997</v>
      </c>
      <c r="G25" s="572">
        <v>1915.4622999999999</v>
      </c>
      <c r="H25" s="572">
        <f t="shared" si="1"/>
        <v>701768</v>
      </c>
      <c r="I25" s="572">
        <v>400566.19999999995</v>
      </c>
      <c r="J25" s="572">
        <v>105238.47999999998</v>
      </c>
      <c r="K25" s="572">
        <v>194955.27</v>
      </c>
      <c r="L25" s="572">
        <v>1008.05</v>
      </c>
    </row>
    <row r="26" spans="1:12">
      <c r="A26" s="400">
        <v>20</v>
      </c>
      <c r="B26" s="415" t="s">
        <v>535</v>
      </c>
      <c r="C26" s="594">
        <f t="shared" si="0"/>
        <v>512478744.8786</v>
      </c>
      <c r="D26" s="572">
        <v>488769178.25709999</v>
      </c>
      <c r="E26" s="572">
        <v>14593513.557899999</v>
      </c>
      <c r="F26" s="572">
        <v>7653734.7594999997</v>
      </c>
      <c r="G26" s="572">
        <v>1462318.3040999998</v>
      </c>
      <c r="H26" s="572">
        <f t="shared" si="1"/>
        <v>5192966.5474319989</v>
      </c>
      <c r="I26" s="572">
        <v>2528249.2699999996</v>
      </c>
      <c r="J26" s="572">
        <v>620133.46</v>
      </c>
      <c r="K26" s="572">
        <v>1602773.1749839999</v>
      </c>
      <c r="L26" s="572">
        <v>441810.64244800003</v>
      </c>
    </row>
    <row r="27" spans="1:12">
      <c r="A27" s="400">
        <v>21</v>
      </c>
      <c r="B27" s="415" t="s">
        <v>536</v>
      </c>
      <c r="C27" s="594">
        <f t="shared" si="0"/>
        <v>89457959.165999994</v>
      </c>
      <c r="D27" s="572">
        <v>85908400.973199993</v>
      </c>
      <c r="E27" s="572">
        <v>2436223.5312000001</v>
      </c>
      <c r="F27" s="572">
        <v>929170.93740000005</v>
      </c>
      <c r="G27" s="572">
        <v>184163.7242</v>
      </c>
      <c r="H27" s="572">
        <f t="shared" si="1"/>
        <v>958692.35909200006</v>
      </c>
      <c r="I27" s="572">
        <v>504913.79000000004</v>
      </c>
      <c r="J27" s="572">
        <v>126841.64</v>
      </c>
      <c r="K27" s="572">
        <v>274940.18909200002</v>
      </c>
      <c r="L27" s="572">
        <v>51996.74</v>
      </c>
    </row>
    <row r="28" spans="1:12">
      <c r="A28" s="400">
        <v>22</v>
      </c>
      <c r="B28" s="415" t="s">
        <v>537</v>
      </c>
      <c r="C28" s="594">
        <f t="shared" si="0"/>
        <v>270018542.39889991</v>
      </c>
      <c r="D28" s="572">
        <v>256799565.24409997</v>
      </c>
      <c r="E28" s="572">
        <v>7734065.4039999992</v>
      </c>
      <c r="F28" s="572">
        <v>4155594.2542000008</v>
      </c>
      <c r="G28" s="572">
        <v>1329317.4966000002</v>
      </c>
      <c r="H28" s="572">
        <f t="shared" si="1"/>
        <v>3212157.849684</v>
      </c>
      <c r="I28" s="572">
        <v>881778.08999999985</v>
      </c>
      <c r="J28" s="572">
        <v>294393.49</v>
      </c>
      <c r="K28" s="572">
        <v>1621664.5496840002</v>
      </c>
      <c r="L28" s="572">
        <v>414321.72</v>
      </c>
    </row>
    <row r="29" spans="1:12">
      <c r="A29" s="400">
        <v>23</v>
      </c>
      <c r="B29" s="415" t="s">
        <v>538</v>
      </c>
      <c r="C29" s="594">
        <f t="shared" si="0"/>
        <v>2763019759.2028003</v>
      </c>
      <c r="D29" s="572">
        <v>2597006195.572</v>
      </c>
      <c r="E29" s="572">
        <v>112341790.88319999</v>
      </c>
      <c r="F29" s="572">
        <v>40491180.4243</v>
      </c>
      <c r="G29" s="572">
        <v>13180592.323300002</v>
      </c>
      <c r="H29" s="572">
        <f t="shared" si="1"/>
        <v>38669314.347506002</v>
      </c>
      <c r="I29" s="572">
        <v>16331733.210000001</v>
      </c>
      <c r="J29" s="572">
        <v>4683544.7699999996</v>
      </c>
      <c r="K29" s="572">
        <v>15564615.351578001</v>
      </c>
      <c r="L29" s="572">
        <v>2089421.015928</v>
      </c>
    </row>
    <row r="30" spans="1:12">
      <c r="A30" s="400">
        <v>24</v>
      </c>
      <c r="B30" s="415" t="s">
        <v>539</v>
      </c>
      <c r="C30" s="594">
        <f t="shared" si="0"/>
        <v>1079800738.5167</v>
      </c>
      <c r="D30" s="572">
        <v>982954845.11630011</v>
      </c>
      <c r="E30" s="572">
        <v>66641917.962799989</v>
      </c>
      <c r="F30" s="572">
        <v>29546849.043099999</v>
      </c>
      <c r="G30" s="572">
        <v>657126.39449999994</v>
      </c>
      <c r="H30" s="572">
        <f t="shared" si="1"/>
        <v>19153541.187420003</v>
      </c>
      <c r="I30" s="572">
        <v>5497176.2299999995</v>
      </c>
      <c r="J30" s="572">
        <v>2108487.0900000008</v>
      </c>
      <c r="K30" s="572">
        <v>11275083.387420002</v>
      </c>
      <c r="L30" s="572">
        <v>272794.48000000004</v>
      </c>
    </row>
    <row r="31" spans="1:12">
      <c r="A31" s="400">
        <v>25</v>
      </c>
      <c r="B31" s="415" t="s">
        <v>540</v>
      </c>
      <c r="C31" s="594">
        <f t="shared" si="0"/>
        <v>1268505417.1254892</v>
      </c>
      <c r="D31" s="572">
        <v>1120386307.5907893</v>
      </c>
      <c r="E31" s="572">
        <v>58924178.06000001</v>
      </c>
      <c r="F31" s="572">
        <v>56992321.930599995</v>
      </c>
      <c r="G31" s="572">
        <v>32202609.544099998</v>
      </c>
      <c r="H31" s="572">
        <f t="shared" si="1"/>
        <v>53638197.098427795</v>
      </c>
      <c r="I31" s="572">
        <v>8625450.1899938006</v>
      </c>
      <c r="J31" s="572">
        <v>4120203.12</v>
      </c>
      <c r="K31" s="572">
        <v>31115638.991509996</v>
      </c>
      <c r="L31" s="572">
        <v>9776904.7969240006</v>
      </c>
    </row>
    <row r="32" spans="1:12">
      <c r="A32" s="400">
        <v>26</v>
      </c>
      <c r="B32" s="415" t="s">
        <v>596</v>
      </c>
      <c r="C32" s="594">
        <f t="shared" si="0"/>
        <v>66430302.833099984</v>
      </c>
      <c r="D32" s="572">
        <v>54145037.396799989</v>
      </c>
      <c r="E32" s="572">
        <v>6613839.1688999999</v>
      </c>
      <c r="F32" s="572">
        <v>4927175.4194</v>
      </c>
      <c r="G32" s="572">
        <v>744250.848</v>
      </c>
      <c r="H32" s="572">
        <f t="shared" si="1"/>
        <v>5991127.0468679992</v>
      </c>
      <c r="I32" s="572">
        <v>649571.82000000007</v>
      </c>
      <c r="J32" s="572">
        <v>568966.01</v>
      </c>
      <c r="K32" s="572">
        <v>4571397.7683959994</v>
      </c>
      <c r="L32" s="572">
        <v>201191.44847200002</v>
      </c>
    </row>
    <row r="33" spans="1:12">
      <c r="A33" s="400">
        <v>27</v>
      </c>
      <c r="B33" s="464" t="s">
        <v>66</v>
      </c>
      <c r="C33" s="595">
        <f t="shared" ref="C33:L33" si="2">SUM(C7:C32)</f>
        <v>16701014605.499882</v>
      </c>
      <c r="D33" s="595">
        <f t="shared" si="2"/>
        <v>15004439975.222206</v>
      </c>
      <c r="E33" s="595">
        <f t="shared" si="2"/>
        <v>1187298947.7563741</v>
      </c>
      <c r="F33" s="595">
        <f t="shared" si="2"/>
        <v>422457394.38959992</v>
      </c>
      <c r="G33" s="595">
        <f t="shared" si="2"/>
        <v>86818288.131700024</v>
      </c>
      <c r="H33" s="595">
        <f t="shared" si="2"/>
        <v>293092486.65239984</v>
      </c>
      <c r="I33" s="595">
        <f t="shared" si="2"/>
        <v>77643999.449993789</v>
      </c>
      <c r="J33" s="595">
        <f t="shared" si="2"/>
        <v>47851902.50999999</v>
      </c>
      <c r="K33" s="595">
        <f t="shared" si="2"/>
        <v>145304998.99574396</v>
      </c>
      <c r="L33" s="595">
        <f t="shared" si="2"/>
        <v>22291585.696662009</v>
      </c>
    </row>
    <row r="34" spans="1:12">
      <c r="A34" s="428"/>
      <c r="B34" s="428"/>
      <c r="C34" s="428"/>
      <c r="D34" s="428"/>
      <c r="E34" s="428"/>
      <c r="H34" s="428"/>
    </row>
    <row r="35" spans="1:12" s="579" customFormat="1">
      <c r="A35" s="596"/>
      <c r="B35" s="597"/>
      <c r="C35" s="597">
        <v>-2.3592263460159302E-5</v>
      </c>
      <c r="D35" s="596"/>
      <c r="E35" s="596"/>
      <c r="F35" s="598"/>
      <c r="G35" s="598"/>
      <c r="H35" s="596">
        <v>0</v>
      </c>
      <c r="I35" s="598"/>
      <c r="J35" s="598"/>
      <c r="K35" s="598"/>
      <c r="L35" s="598"/>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3"/>
  <sheetViews>
    <sheetView showGridLines="0" topLeftCell="B1" zoomScale="70" zoomScaleNormal="70" workbookViewId="0">
      <selection activeCell="C6" sqref="C6:K11"/>
    </sheetView>
  </sheetViews>
  <sheetFormatPr defaultColWidth="8.7109375" defaultRowHeight="12"/>
  <cols>
    <col min="1" max="1" width="11.85546875" style="362" bestFit="1" customWidth="1"/>
    <col min="2" max="2" width="165.140625" style="362" customWidth="1"/>
    <col min="3" max="11" width="28.28515625" style="362" customWidth="1"/>
    <col min="12" max="12" width="12.28515625" style="362" bestFit="1" customWidth="1"/>
    <col min="13" max="13" width="14.5703125" style="362" bestFit="1" customWidth="1"/>
    <col min="14" max="16384" width="8.7109375" style="362"/>
  </cols>
  <sheetData>
    <row r="1" spans="1:13" s="352" customFormat="1" ht="13.5">
      <c r="A1" s="351" t="s">
        <v>108</v>
      </c>
      <c r="B1" s="276" t="str">
        <f>Info!C2</f>
        <v>სს ”საქართველოს ბანკი”</v>
      </c>
      <c r="C1" s="411"/>
      <c r="D1" s="411"/>
      <c r="E1" s="411"/>
      <c r="F1" s="411"/>
      <c r="G1" s="411"/>
      <c r="H1" s="411"/>
      <c r="I1" s="411"/>
      <c r="J1" s="411"/>
      <c r="K1" s="411"/>
    </row>
    <row r="2" spans="1:13" s="352" customFormat="1" ht="12.75">
      <c r="A2" s="353" t="s">
        <v>109</v>
      </c>
      <c r="B2" s="355">
        <f>'1. key ratios'!B2</f>
        <v>45016</v>
      </c>
      <c r="C2" s="411"/>
      <c r="D2" s="411"/>
      <c r="E2" s="411"/>
      <c r="F2" s="411"/>
      <c r="G2" s="411"/>
      <c r="H2" s="411"/>
      <c r="I2" s="411"/>
      <c r="J2" s="411"/>
      <c r="K2" s="411"/>
    </row>
    <row r="3" spans="1:13" s="352" customFormat="1" ht="12.75">
      <c r="A3" s="354" t="s">
        <v>597</v>
      </c>
      <c r="B3" s="411"/>
      <c r="C3" s="411"/>
      <c r="D3" s="411"/>
      <c r="E3" s="411"/>
      <c r="F3" s="411"/>
      <c r="G3" s="411"/>
      <c r="H3" s="411"/>
      <c r="I3" s="411"/>
      <c r="J3" s="411"/>
      <c r="K3" s="411"/>
    </row>
    <row r="4" spans="1:13">
      <c r="A4" s="470"/>
      <c r="B4" s="470"/>
      <c r="C4" s="469" t="s">
        <v>501</v>
      </c>
      <c r="D4" s="469" t="s">
        <v>502</v>
      </c>
      <c r="E4" s="469" t="s">
        <v>503</v>
      </c>
      <c r="F4" s="469" t="s">
        <v>504</v>
      </c>
      <c r="G4" s="469" t="s">
        <v>505</v>
      </c>
      <c r="H4" s="469" t="s">
        <v>506</v>
      </c>
      <c r="I4" s="469" t="s">
        <v>507</v>
      </c>
      <c r="J4" s="469" t="s">
        <v>508</v>
      </c>
      <c r="K4" s="469" t="s">
        <v>509</v>
      </c>
    </row>
    <row r="5" spans="1:13" ht="104.1" customHeight="1">
      <c r="A5" s="895" t="s">
        <v>905</v>
      </c>
      <c r="B5" s="896"/>
      <c r="C5" s="468" t="s">
        <v>598</v>
      </c>
      <c r="D5" s="468" t="s">
        <v>591</v>
      </c>
      <c r="E5" s="468" t="s">
        <v>592</v>
      </c>
      <c r="F5" s="468" t="s">
        <v>904</v>
      </c>
      <c r="G5" s="468" t="s">
        <v>599</v>
      </c>
      <c r="H5" s="468" t="s">
        <v>600</v>
      </c>
      <c r="I5" s="468" t="s">
        <v>601</v>
      </c>
      <c r="J5" s="468" t="s">
        <v>602</v>
      </c>
      <c r="K5" s="468" t="s">
        <v>603</v>
      </c>
    </row>
    <row r="6" spans="1:13" ht="12.75">
      <c r="A6" s="400">
        <v>1</v>
      </c>
      <c r="B6" s="400" t="s">
        <v>604</v>
      </c>
      <c r="C6" s="640">
        <v>302459040.6027</v>
      </c>
      <c r="D6" s="640">
        <v>82440853.604299992</v>
      </c>
      <c r="E6" s="640">
        <v>76022241.863300011</v>
      </c>
      <c r="F6" s="640">
        <v>163372067.74650002</v>
      </c>
      <c r="G6" s="640">
        <f>11966901226.7115+'[4]FSF-SOFP'!$S$27</f>
        <v>11984867560.693506</v>
      </c>
      <c r="H6" s="640">
        <v>449920632.14200002</v>
      </c>
      <c r="I6" s="640">
        <v>661568307.62529993</v>
      </c>
      <c r="J6" s="640">
        <v>572489998.47539997</v>
      </c>
      <c r="K6" s="640">
        <v>2407873902.7469001</v>
      </c>
      <c r="L6" s="720"/>
      <c r="M6" s="765"/>
    </row>
    <row r="7" spans="1:13" ht="12.75">
      <c r="A7" s="400">
        <v>2</v>
      </c>
      <c r="B7" s="401" t="s">
        <v>605</v>
      </c>
      <c r="C7" s="640">
        <v>0</v>
      </c>
      <c r="D7" s="640">
        <v>0</v>
      </c>
      <c r="E7" s="640">
        <v>0</v>
      </c>
      <c r="F7" s="640">
        <v>0</v>
      </c>
      <c r="G7" s="640">
        <v>0</v>
      </c>
      <c r="H7" s="640">
        <v>0</v>
      </c>
      <c r="I7" s="640">
        <v>0</v>
      </c>
      <c r="J7" s="640">
        <v>0</v>
      </c>
      <c r="K7" s="640">
        <f>'22. Quality'!C20+'22. Quality'!C19</f>
        <v>80715515.980599985</v>
      </c>
      <c r="L7" s="720"/>
      <c r="M7" s="720"/>
    </row>
    <row r="8" spans="1:13" ht="12.75">
      <c r="A8" s="400">
        <v>3</v>
      </c>
      <c r="B8" s="401" t="s">
        <v>569</v>
      </c>
      <c r="C8" s="640">
        <v>161390717.47778001</v>
      </c>
      <c r="D8" s="640">
        <v>0</v>
      </c>
      <c r="E8" s="640">
        <v>880121954.070274</v>
      </c>
      <c r="F8" s="640">
        <v>0</v>
      </c>
      <c r="G8" s="640">
        <v>347570489.22194201</v>
      </c>
      <c r="H8" s="640">
        <v>148377933.71502399</v>
      </c>
      <c r="I8" s="640">
        <v>51615483.142721996</v>
      </c>
      <c r="J8" s="640">
        <v>62983157.039180003</v>
      </c>
      <c r="K8" s="640">
        <v>841739461.77227855</v>
      </c>
      <c r="L8" s="720"/>
    </row>
    <row r="9" spans="1:13" ht="12.75">
      <c r="A9" s="400">
        <v>4</v>
      </c>
      <c r="B9" s="430" t="s">
        <v>903</v>
      </c>
      <c r="C9" s="640">
        <v>3003916.3113663699</v>
      </c>
      <c r="D9" s="640">
        <v>3207358.9330702699</v>
      </c>
      <c r="E9" s="640">
        <v>1815335.8237232901</v>
      </c>
      <c r="F9" s="640">
        <v>4863997.99</v>
      </c>
      <c r="G9" s="640">
        <v>371836275.33070701</v>
      </c>
      <c r="H9" s="640">
        <v>0</v>
      </c>
      <c r="I9" s="640">
        <v>8119279.1417536205</v>
      </c>
      <c r="J9" s="640">
        <v>8423175.2974665891</v>
      </c>
      <c r="K9" s="640">
        <v>108006343.69321287</v>
      </c>
      <c r="L9" s="720"/>
    </row>
    <row r="10" spans="1:13" ht="12.75">
      <c r="A10" s="400">
        <v>5</v>
      </c>
      <c r="B10" s="419" t="s">
        <v>902</v>
      </c>
      <c r="C10" s="640">
        <v>0</v>
      </c>
      <c r="D10" s="640">
        <v>0</v>
      </c>
      <c r="E10" s="640">
        <v>0</v>
      </c>
      <c r="F10" s="640">
        <v>0</v>
      </c>
      <c r="G10" s="640">
        <v>0</v>
      </c>
      <c r="H10" s="640">
        <v>0</v>
      </c>
      <c r="I10" s="640">
        <v>0</v>
      </c>
      <c r="J10" s="640">
        <v>0</v>
      </c>
      <c r="K10" s="640">
        <v>0</v>
      </c>
      <c r="L10" s="720"/>
    </row>
    <row r="11" spans="1:13" ht="12.75">
      <c r="A11" s="400">
        <v>6</v>
      </c>
      <c r="B11" s="419" t="s">
        <v>901</v>
      </c>
      <c r="C11" s="640">
        <v>0</v>
      </c>
      <c r="D11" s="640">
        <v>0</v>
      </c>
      <c r="E11" s="640">
        <v>0</v>
      </c>
      <c r="F11" s="640">
        <v>0</v>
      </c>
      <c r="G11" s="640">
        <v>0</v>
      </c>
      <c r="H11" s="640">
        <v>0</v>
      </c>
      <c r="I11" s="640">
        <v>0</v>
      </c>
      <c r="J11" s="640">
        <v>0</v>
      </c>
      <c r="K11" s="640">
        <v>0</v>
      </c>
      <c r="L11" s="720"/>
    </row>
    <row r="12" spans="1:13">
      <c r="E12" s="720">
        <v>0</v>
      </c>
    </row>
    <row r="13" spans="1:13" ht="15">
      <c r="B13" s="466"/>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26"/>
  <sheetViews>
    <sheetView showGridLines="0" topLeftCell="A10" zoomScale="70" zoomScaleNormal="70" workbookViewId="0">
      <selection activeCell="C7" sqref="C7:V19"/>
    </sheetView>
  </sheetViews>
  <sheetFormatPr defaultColWidth="8.7109375" defaultRowHeight="15"/>
  <cols>
    <col min="1" max="1" width="10" style="471" bestFit="1" customWidth="1"/>
    <col min="2" max="2" width="71.7109375" style="471" customWidth="1"/>
    <col min="3" max="3" width="22.85546875" style="471" customWidth="1"/>
    <col min="4" max="4" width="19" style="471" customWidth="1"/>
    <col min="5" max="5" width="15.140625" style="471" bestFit="1" customWidth="1"/>
    <col min="6" max="6" width="20" style="471" bestFit="1" customWidth="1"/>
    <col min="7" max="7" width="27.5703125" style="471" customWidth="1"/>
    <col min="8" max="8" width="19.28515625" style="471" customWidth="1"/>
    <col min="9" max="10" width="15.140625" style="471" bestFit="1" customWidth="1"/>
    <col min="11" max="11" width="20" style="471" bestFit="1" customWidth="1"/>
    <col min="12" max="12" width="37.5703125" style="471" bestFit="1" customWidth="1"/>
    <col min="13" max="13" width="21.140625" style="471" customWidth="1"/>
    <col min="14" max="15" width="15.140625" style="471" bestFit="1" customWidth="1"/>
    <col min="16" max="16" width="20" style="471" bestFit="1" customWidth="1"/>
    <col min="17" max="17" width="37.5703125" style="471" bestFit="1" customWidth="1"/>
    <col min="18" max="18" width="18" style="471" bestFit="1" customWidth="1"/>
    <col min="19" max="19" width="48" style="471" bestFit="1" customWidth="1"/>
    <col min="20" max="20" width="45.85546875" style="471" bestFit="1" customWidth="1"/>
    <col min="21" max="21" width="48" style="471" bestFit="1" customWidth="1"/>
    <col min="22" max="22" width="44.42578125" style="471" bestFit="1" customWidth="1"/>
    <col min="23" max="16384" width="8.7109375" style="471"/>
  </cols>
  <sheetData>
    <row r="1" spans="1:22">
      <c r="A1" s="351" t="s">
        <v>108</v>
      </c>
      <c r="B1" s="276" t="str">
        <f>Info!C2</f>
        <v>სს ”საქართველოს ბანკი”</v>
      </c>
    </row>
    <row r="2" spans="1:22">
      <c r="A2" s="353" t="s">
        <v>109</v>
      </c>
      <c r="B2" s="355">
        <f>'1. key ratios'!B2</f>
        <v>45016</v>
      </c>
    </row>
    <row r="3" spans="1:22">
      <c r="A3" s="354" t="s">
        <v>688</v>
      </c>
      <c r="B3" s="411"/>
    </row>
    <row r="4" spans="1:22">
      <c r="A4" s="354"/>
      <c r="B4" s="411"/>
    </row>
    <row r="5" spans="1:22" ht="24" customHeight="1">
      <c r="A5" s="897" t="s">
        <v>715</v>
      </c>
      <c r="B5" s="897"/>
      <c r="C5" s="899" t="s">
        <v>907</v>
      </c>
      <c r="D5" s="899"/>
      <c r="E5" s="899"/>
      <c r="F5" s="899"/>
      <c r="G5" s="899"/>
      <c r="H5" s="899" t="s">
        <v>595</v>
      </c>
      <c r="I5" s="899"/>
      <c r="J5" s="899"/>
      <c r="K5" s="899"/>
      <c r="L5" s="899"/>
      <c r="M5" s="899" t="s">
        <v>906</v>
      </c>
      <c r="N5" s="899"/>
      <c r="O5" s="899"/>
      <c r="P5" s="899"/>
      <c r="Q5" s="899"/>
      <c r="R5" s="898" t="s">
        <v>714</v>
      </c>
      <c r="S5" s="898" t="s">
        <v>718</v>
      </c>
      <c r="T5" s="898" t="s">
        <v>717</v>
      </c>
      <c r="U5" s="898" t="s">
        <v>953</v>
      </c>
      <c r="V5" s="898" t="s">
        <v>954</v>
      </c>
    </row>
    <row r="6" spans="1:22" ht="36" customHeight="1">
      <c r="A6" s="897"/>
      <c r="B6" s="897"/>
      <c r="C6" s="481"/>
      <c r="D6" s="409" t="s">
        <v>891</v>
      </c>
      <c r="E6" s="409" t="s">
        <v>890</v>
      </c>
      <c r="F6" s="409" t="s">
        <v>889</v>
      </c>
      <c r="G6" s="409" t="s">
        <v>888</v>
      </c>
      <c r="H6" s="481"/>
      <c r="I6" s="409" t="s">
        <v>891</v>
      </c>
      <c r="J6" s="409" t="s">
        <v>890</v>
      </c>
      <c r="K6" s="409" t="s">
        <v>889</v>
      </c>
      <c r="L6" s="409" t="s">
        <v>888</v>
      </c>
      <c r="M6" s="481"/>
      <c r="N6" s="409" t="s">
        <v>891</v>
      </c>
      <c r="O6" s="409" t="s">
        <v>890</v>
      </c>
      <c r="P6" s="409" t="s">
        <v>889</v>
      </c>
      <c r="Q6" s="409" t="s">
        <v>888</v>
      </c>
      <c r="R6" s="898"/>
      <c r="S6" s="898"/>
      <c r="T6" s="898"/>
      <c r="U6" s="898"/>
      <c r="V6" s="898"/>
    </row>
    <row r="7" spans="1:22">
      <c r="A7" s="479">
        <v>1</v>
      </c>
      <c r="B7" s="480" t="s">
        <v>689</v>
      </c>
      <c r="C7" s="727">
        <f>SUM(D7:G7)</f>
        <v>67066187.740000002</v>
      </c>
      <c r="D7" s="727">
        <v>63334895</v>
      </c>
      <c r="E7" s="727">
        <v>2653140.81</v>
      </c>
      <c r="F7" s="727">
        <v>1078151.93</v>
      </c>
      <c r="G7" s="727">
        <v>0</v>
      </c>
      <c r="H7" s="722">
        <v>68051455.439199999</v>
      </c>
      <c r="I7" s="722">
        <v>64238113.114699997</v>
      </c>
      <c r="J7" s="722">
        <v>2714123.2741999999</v>
      </c>
      <c r="K7" s="722">
        <v>1099219.0503</v>
      </c>
      <c r="L7" s="722">
        <v>0</v>
      </c>
      <c r="M7" s="722">
        <v>2452676.3985220003</v>
      </c>
      <c r="N7" s="722">
        <v>1516421.55</v>
      </c>
      <c r="O7" s="722">
        <v>265327.90000000002</v>
      </c>
      <c r="P7" s="722">
        <v>670926.94852199999</v>
      </c>
      <c r="Q7" s="722">
        <v>0</v>
      </c>
      <c r="R7" s="722">
        <v>867</v>
      </c>
      <c r="S7" s="723">
        <v>0.11027525243968934</v>
      </c>
      <c r="T7" s="723">
        <v>0.13386881984828572</v>
      </c>
      <c r="U7" s="723">
        <v>0.11794659024877205</v>
      </c>
      <c r="V7" s="724">
        <v>44.31</v>
      </c>
    </row>
    <row r="8" spans="1:22">
      <c r="A8" s="479">
        <v>2</v>
      </c>
      <c r="B8" s="478" t="s">
        <v>690</v>
      </c>
      <c r="C8" s="727">
        <f t="shared" ref="C8:C18" si="0">SUM(D8:G8)</f>
        <v>3268251475.3899999</v>
      </c>
      <c r="D8" s="727">
        <v>2962374683.0900002</v>
      </c>
      <c r="E8" s="727">
        <v>181840950.37</v>
      </c>
      <c r="F8" s="727">
        <v>101477803.89</v>
      </c>
      <c r="G8" s="727">
        <v>22558038.039999999</v>
      </c>
      <c r="H8" s="722">
        <v>3291537345.2610006</v>
      </c>
      <c r="I8" s="722">
        <v>2981467683.3927002</v>
      </c>
      <c r="J8" s="722">
        <v>186545464.07839999</v>
      </c>
      <c r="K8" s="722">
        <v>100476015.33930001</v>
      </c>
      <c r="L8" s="722">
        <v>23048182.450599998</v>
      </c>
      <c r="M8" s="722">
        <v>119322416.93007401</v>
      </c>
      <c r="N8" s="722">
        <v>38352882.409999996</v>
      </c>
      <c r="O8" s="722">
        <v>16796316.27</v>
      </c>
      <c r="P8" s="722">
        <v>56495569.492546</v>
      </c>
      <c r="Q8" s="722">
        <v>7677648.7575279996</v>
      </c>
      <c r="R8" s="722">
        <v>427144</v>
      </c>
      <c r="S8" s="723">
        <v>0.15336550772242721</v>
      </c>
      <c r="T8" s="723">
        <v>0.19298066120885873</v>
      </c>
      <c r="U8" s="723">
        <v>0.14775565473073471</v>
      </c>
      <c r="V8" s="724">
        <v>58.87</v>
      </c>
    </row>
    <row r="9" spans="1:22">
      <c r="A9" s="479">
        <v>3</v>
      </c>
      <c r="B9" s="478" t="s">
        <v>691</v>
      </c>
      <c r="C9" s="727">
        <f t="shared" si="0"/>
        <v>2887270.45</v>
      </c>
      <c r="D9" s="727">
        <v>1711519.51</v>
      </c>
      <c r="E9" s="727">
        <v>653779.72</v>
      </c>
      <c r="F9" s="727">
        <v>488831.47</v>
      </c>
      <c r="G9" s="727">
        <v>33139.75</v>
      </c>
      <c r="H9" s="722">
        <v>3054820.8681999999</v>
      </c>
      <c r="I9" s="722">
        <v>1790326.6346</v>
      </c>
      <c r="J9" s="722">
        <v>690462.52029999997</v>
      </c>
      <c r="K9" s="722">
        <v>537283.24140000006</v>
      </c>
      <c r="L9" s="722">
        <v>36748.471899999997</v>
      </c>
      <c r="M9" s="722">
        <v>676469.44</v>
      </c>
      <c r="N9" s="722">
        <v>111450.23</v>
      </c>
      <c r="O9" s="722">
        <v>120942.94</v>
      </c>
      <c r="P9" s="722">
        <v>426119.01</v>
      </c>
      <c r="Q9" s="722">
        <v>17957.259999999998</v>
      </c>
      <c r="R9" s="722">
        <v>10178</v>
      </c>
      <c r="S9" s="723">
        <v>0.32543580952403367</v>
      </c>
      <c r="T9" s="723">
        <v>0.40734185551911034</v>
      </c>
      <c r="U9" s="723">
        <v>0.33811899710676563</v>
      </c>
      <c r="V9" s="724">
        <v>13.2</v>
      </c>
    </row>
    <row r="10" spans="1:22">
      <c r="A10" s="479">
        <v>4</v>
      </c>
      <c r="B10" s="478" t="s">
        <v>692</v>
      </c>
      <c r="C10" s="727">
        <f t="shared" si="0"/>
        <v>81661404.700000003</v>
      </c>
      <c r="D10" s="727">
        <v>79070876.980000004</v>
      </c>
      <c r="E10" s="727">
        <v>1780818.58</v>
      </c>
      <c r="F10" s="727">
        <v>809709.14</v>
      </c>
      <c r="G10" s="727">
        <v>0</v>
      </c>
      <c r="H10" s="722">
        <v>80344158.5572</v>
      </c>
      <c r="I10" s="722">
        <v>77708637.703700006</v>
      </c>
      <c r="J10" s="722">
        <v>1788074.7736</v>
      </c>
      <c r="K10" s="722">
        <v>847446.07990000001</v>
      </c>
      <c r="L10" s="722">
        <v>0</v>
      </c>
      <c r="M10" s="722">
        <v>2511872.7800000003</v>
      </c>
      <c r="N10" s="722">
        <v>1593405.99</v>
      </c>
      <c r="O10" s="722">
        <v>314777.43</v>
      </c>
      <c r="P10" s="722">
        <v>603689.36</v>
      </c>
      <c r="Q10" s="722">
        <v>0</v>
      </c>
      <c r="R10" s="722">
        <v>90709</v>
      </c>
      <c r="S10" s="723">
        <v>0.15803195034969234</v>
      </c>
      <c r="T10" s="723">
        <v>0.29075385008976729</v>
      </c>
      <c r="U10" s="723">
        <v>0.18724744773953172</v>
      </c>
      <c r="V10" s="724">
        <v>12.66</v>
      </c>
    </row>
    <row r="11" spans="1:22">
      <c r="A11" s="479">
        <v>5</v>
      </c>
      <c r="B11" s="478" t="s">
        <v>693</v>
      </c>
      <c r="C11" s="727">
        <f t="shared" si="0"/>
        <v>10807799.799999999</v>
      </c>
      <c r="D11" s="727">
        <v>7900248.2800000003</v>
      </c>
      <c r="E11" s="727">
        <v>707442.08</v>
      </c>
      <c r="F11" s="727">
        <v>2200109.44</v>
      </c>
      <c r="G11" s="727">
        <v>0</v>
      </c>
      <c r="H11" s="722">
        <v>13014649.7534</v>
      </c>
      <c r="I11" s="722">
        <v>8207104.3868000004</v>
      </c>
      <c r="J11" s="722">
        <v>1002196.8292</v>
      </c>
      <c r="K11" s="722">
        <v>3805348.5373999998</v>
      </c>
      <c r="L11" s="722">
        <v>0</v>
      </c>
      <c r="M11" s="722">
        <v>3898231.9937500004</v>
      </c>
      <c r="N11" s="722">
        <v>262592.08</v>
      </c>
      <c r="O11" s="722">
        <v>179541.2</v>
      </c>
      <c r="P11" s="722">
        <v>3456098.7137500001</v>
      </c>
      <c r="Q11" s="722">
        <v>0</v>
      </c>
      <c r="R11" s="722">
        <v>130579</v>
      </c>
      <c r="S11" s="723">
        <v>0.17641082804568459</v>
      </c>
      <c r="T11" s="723">
        <v>0.18442631915115526</v>
      </c>
      <c r="U11" s="723">
        <v>0.18586013126258158</v>
      </c>
      <c r="V11" s="724">
        <v>20.7</v>
      </c>
    </row>
    <row r="12" spans="1:22">
      <c r="A12" s="479">
        <v>6</v>
      </c>
      <c r="B12" s="478" t="s">
        <v>694</v>
      </c>
      <c r="C12" s="727">
        <f t="shared" si="0"/>
        <v>201073671.12</v>
      </c>
      <c r="D12" s="727">
        <v>182777662.84999999</v>
      </c>
      <c r="E12" s="727">
        <v>13272111.060000001</v>
      </c>
      <c r="F12" s="727">
        <v>5023897.21</v>
      </c>
      <c r="G12" s="727">
        <v>0</v>
      </c>
      <c r="H12" s="722">
        <v>207450383.9526</v>
      </c>
      <c r="I12" s="722">
        <v>188436016.8581</v>
      </c>
      <c r="J12" s="722">
        <v>13719300.2907</v>
      </c>
      <c r="K12" s="722">
        <v>5295066.8037999999</v>
      </c>
      <c r="L12" s="722">
        <v>0</v>
      </c>
      <c r="M12" s="722">
        <v>6955450.438852001</v>
      </c>
      <c r="N12" s="722">
        <v>1678165.15</v>
      </c>
      <c r="O12" s="722">
        <v>882446.49</v>
      </c>
      <c r="P12" s="722">
        <v>4394838.7988520004</v>
      </c>
      <c r="Q12" s="722">
        <v>0</v>
      </c>
      <c r="R12" s="722">
        <v>152783</v>
      </c>
      <c r="S12" s="723">
        <v>0.35999999315843029</v>
      </c>
      <c r="T12" s="723">
        <f>S12</f>
        <v>0.35999999315843029</v>
      </c>
      <c r="U12" s="723">
        <v>0.35858632096028947</v>
      </c>
      <c r="V12" s="724">
        <v>32.979999999999997</v>
      </c>
    </row>
    <row r="13" spans="1:22">
      <c r="A13" s="479">
        <v>7</v>
      </c>
      <c r="B13" s="478" t="s">
        <v>695</v>
      </c>
      <c r="C13" s="727">
        <f t="shared" si="0"/>
        <v>4090338374.9555931</v>
      </c>
      <c r="D13" s="727">
        <v>3823594025.4099998</v>
      </c>
      <c r="E13" s="727">
        <v>164927963.62999997</v>
      </c>
      <c r="F13" s="727">
        <v>58263104.720000006</v>
      </c>
      <c r="G13" s="727">
        <v>43553281.195593201</v>
      </c>
      <c r="H13" s="722">
        <f t="shared" ref="H13:P13" si="1">H14+H15+H16</f>
        <v>4171767464.5106001</v>
      </c>
      <c r="I13" s="722">
        <f t="shared" si="1"/>
        <v>3899256474.0912004</v>
      </c>
      <c r="J13" s="722">
        <f t="shared" si="1"/>
        <v>169947419.4095</v>
      </c>
      <c r="K13" s="722">
        <f t="shared" si="1"/>
        <v>58814330.550800003</v>
      </c>
      <c r="L13" s="722">
        <v>43749240.459100001</v>
      </c>
      <c r="M13" s="722">
        <f t="shared" si="1"/>
        <v>34062970.795947999</v>
      </c>
      <c r="N13" s="722">
        <f t="shared" si="1"/>
        <v>8383542.54</v>
      </c>
      <c r="O13" s="722">
        <f t="shared" si="1"/>
        <v>3119037.9899999998</v>
      </c>
      <c r="P13" s="722">
        <f t="shared" si="1"/>
        <v>13292834.00138</v>
      </c>
      <c r="Q13" s="722">
        <v>9267556.2645679992</v>
      </c>
      <c r="R13" s="722">
        <v>67695</v>
      </c>
      <c r="S13" s="723">
        <v>0.10347907942133712</v>
      </c>
      <c r="T13" s="723">
        <v>0.12756273055781983</v>
      </c>
      <c r="U13" s="723">
        <v>0.10226636177398127</v>
      </c>
      <c r="V13" s="724">
        <v>121.16</v>
      </c>
    </row>
    <row r="14" spans="1:22">
      <c r="A14" s="473">
        <v>7.1</v>
      </c>
      <c r="B14" s="472" t="s">
        <v>696</v>
      </c>
      <c r="C14" s="727">
        <f t="shared" si="0"/>
        <v>3218850700.7055931</v>
      </c>
      <c r="D14" s="727">
        <v>2984383827.9499998</v>
      </c>
      <c r="E14" s="727">
        <v>136764411.41999999</v>
      </c>
      <c r="F14" s="727">
        <v>54174503.640000001</v>
      </c>
      <c r="G14" s="727">
        <v>43527957.695593201</v>
      </c>
      <c r="H14" s="722">
        <v>3285105298.1535001</v>
      </c>
      <c r="I14" s="722">
        <v>3045625298.5535002</v>
      </c>
      <c r="J14" s="722">
        <v>141078844.683</v>
      </c>
      <c r="K14" s="722">
        <v>54678449.281400003</v>
      </c>
      <c r="L14" s="722">
        <v>43722705.635600001</v>
      </c>
      <c r="M14" s="722">
        <v>29829886.035203997</v>
      </c>
      <c r="N14" s="722">
        <v>5781276.6600000001</v>
      </c>
      <c r="O14" s="722">
        <v>2351446.46</v>
      </c>
      <c r="P14" s="722">
        <v>12429606.650636001</v>
      </c>
      <c r="Q14" s="722">
        <v>9267556.2645679992</v>
      </c>
      <c r="R14" s="722">
        <v>42202</v>
      </c>
      <c r="S14" s="723">
        <v>0.10155088838372399</v>
      </c>
      <c r="T14" s="723">
        <v>0.12559971263851569</v>
      </c>
      <c r="U14" s="723">
        <v>9.8906101228943874E-2</v>
      </c>
      <c r="V14" s="724">
        <v>123.04</v>
      </c>
    </row>
    <row r="15" spans="1:22" ht="25.5">
      <c r="A15" s="473">
        <v>7.2</v>
      </c>
      <c r="B15" s="472" t="s">
        <v>697</v>
      </c>
      <c r="C15" s="727">
        <f t="shared" si="0"/>
        <v>639688245.93999994</v>
      </c>
      <c r="D15" s="727">
        <v>618309982.15999997</v>
      </c>
      <c r="E15" s="727">
        <v>19052957.789999999</v>
      </c>
      <c r="F15" s="727">
        <v>2299982.4900000002</v>
      </c>
      <c r="G15" s="727">
        <v>25323.5</v>
      </c>
      <c r="H15" s="722">
        <v>649328666.24830019</v>
      </c>
      <c r="I15" s="722">
        <v>627520394.38390005</v>
      </c>
      <c r="J15" s="722">
        <v>19430501.7245</v>
      </c>
      <c r="K15" s="722">
        <v>2351235.3163999999</v>
      </c>
      <c r="L15" s="722">
        <v>26534.823499999999</v>
      </c>
      <c r="M15" s="722">
        <v>3456207.8054840006</v>
      </c>
      <c r="N15" s="722">
        <v>2308796.9300000002</v>
      </c>
      <c r="O15" s="722">
        <v>630452.80000000005</v>
      </c>
      <c r="P15" s="722">
        <v>516958.07548399997</v>
      </c>
      <c r="Q15" s="722">
        <v>0</v>
      </c>
      <c r="R15" s="722">
        <v>7717</v>
      </c>
      <c r="S15" s="723">
        <v>0.10413342335953665</v>
      </c>
      <c r="T15" s="723">
        <v>0.12839969381555197</v>
      </c>
      <c r="U15" s="723">
        <v>0.11134512937995693</v>
      </c>
      <c r="V15" s="724">
        <v>121.57</v>
      </c>
    </row>
    <row r="16" spans="1:22">
      <c r="A16" s="473">
        <v>7.3</v>
      </c>
      <c r="B16" s="472" t="s">
        <v>698</v>
      </c>
      <c r="C16" s="727">
        <f t="shared" si="0"/>
        <v>231799428.31</v>
      </c>
      <c r="D16" s="727">
        <v>220900215.30000001</v>
      </c>
      <c r="E16" s="727">
        <v>9110594.4199999999</v>
      </c>
      <c r="F16" s="727">
        <v>1788618.59</v>
      </c>
      <c r="G16" s="727">
        <v>0</v>
      </c>
      <c r="H16" s="722">
        <v>237333500.10880002</v>
      </c>
      <c r="I16" s="722">
        <v>226110781.15380001</v>
      </c>
      <c r="J16" s="722">
        <v>9438073.0020000003</v>
      </c>
      <c r="K16" s="722">
        <v>1784645.953</v>
      </c>
      <c r="L16" s="722">
        <v>0</v>
      </c>
      <c r="M16" s="722">
        <v>776876.95525999996</v>
      </c>
      <c r="N16" s="722">
        <v>293468.95</v>
      </c>
      <c r="O16" s="722">
        <v>137138.73000000001</v>
      </c>
      <c r="P16" s="722">
        <v>346269.27526000002</v>
      </c>
      <c r="Q16" s="722">
        <v>0</v>
      </c>
      <c r="R16" s="722">
        <v>17776</v>
      </c>
      <c r="S16" s="723">
        <v>0.12100347404030747</v>
      </c>
      <c r="T16" s="723">
        <v>0.1450324277132079</v>
      </c>
      <c r="U16" s="723">
        <v>0.12387381836393105</v>
      </c>
      <c r="V16" s="724">
        <v>93.93</v>
      </c>
    </row>
    <row r="17" spans="1:22">
      <c r="A17" s="479">
        <v>8</v>
      </c>
      <c r="B17" s="478" t="s">
        <v>699</v>
      </c>
      <c r="C17" s="727">
        <f t="shared" si="0"/>
        <v>134752770.32000002</v>
      </c>
      <c r="D17" s="727">
        <v>124042511.31</v>
      </c>
      <c r="E17" s="727">
        <v>7183078.4299999997</v>
      </c>
      <c r="F17" s="727">
        <v>3527180.58</v>
      </c>
      <c r="G17" s="727">
        <v>0</v>
      </c>
      <c r="H17" s="722">
        <v>136891543.40290001</v>
      </c>
      <c r="I17" s="722">
        <v>125220167.1847</v>
      </c>
      <c r="J17" s="722">
        <v>7289641.9905000003</v>
      </c>
      <c r="K17" s="722">
        <v>4381734.2276999997</v>
      </c>
      <c r="L17" s="722">
        <v>0</v>
      </c>
      <c r="M17" s="722">
        <v>1427332.38</v>
      </c>
      <c r="N17" s="722">
        <v>77715.87</v>
      </c>
      <c r="O17" s="722">
        <v>32082.720000000001</v>
      </c>
      <c r="P17" s="722">
        <v>1317533.79</v>
      </c>
      <c r="Q17" s="722">
        <v>0</v>
      </c>
      <c r="R17" s="722">
        <v>110147</v>
      </c>
      <c r="S17" s="723">
        <v>0.20946332231464385</v>
      </c>
      <c r="T17" s="723">
        <v>0.20946332231464385</v>
      </c>
      <c r="U17" s="723">
        <v>0.19823418388865074</v>
      </c>
      <c r="V17" s="724">
        <v>0.62</v>
      </c>
    </row>
    <row r="18" spans="1:22">
      <c r="A18" s="477">
        <v>9</v>
      </c>
      <c r="B18" s="476" t="s">
        <v>700</v>
      </c>
      <c r="C18" s="727">
        <f t="shared" si="0"/>
        <v>54756.61</v>
      </c>
      <c r="D18" s="727">
        <v>51911.73</v>
      </c>
      <c r="E18" s="727">
        <v>2844.88</v>
      </c>
      <c r="F18" s="727">
        <v>0</v>
      </c>
      <c r="G18" s="727">
        <v>0</v>
      </c>
      <c r="H18" s="722">
        <v>61213.900399999999</v>
      </c>
      <c r="I18" s="722">
        <v>58269.740299999998</v>
      </c>
      <c r="J18" s="722">
        <v>2944.1601000000001</v>
      </c>
      <c r="K18" s="722">
        <v>0</v>
      </c>
      <c r="L18" s="722">
        <v>0</v>
      </c>
      <c r="M18" s="722">
        <v>1373.4299999999998</v>
      </c>
      <c r="N18" s="722">
        <v>493.26</v>
      </c>
      <c r="O18" s="722">
        <v>880.17</v>
      </c>
      <c r="P18" s="722">
        <v>0</v>
      </c>
      <c r="Q18" s="722">
        <v>0</v>
      </c>
      <c r="R18" s="722">
        <v>10</v>
      </c>
      <c r="S18" s="725">
        <v>0</v>
      </c>
      <c r="T18" s="725">
        <v>0</v>
      </c>
      <c r="U18" s="723">
        <v>0.19548582107256091</v>
      </c>
      <c r="V18" s="724">
        <v>23.08</v>
      </c>
    </row>
    <row r="19" spans="1:22">
      <c r="A19" s="475">
        <v>10</v>
      </c>
      <c r="B19" s="474" t="s">
        <v>716</v>
      </c>
      <c r="C19" s="726">
        <f t="shared" ref="C19:E19" si="2">SUM(C7:C13)+C17+C18</f>
        <v>7856893711.0855913</v>
      </c>
      <c r="D19" s="726">
        <f t="shared" si="2"/>
        <v>7244858334.1600008</v>
      </c>
      <c r="E19" s="726">
        <f t="shared" si="2"/>
        <v>373022129.56</v>
      </c>
      <c r="F19" s="726">
        <f t="shared" ref="F19:L19" si="3">SUM(F7:F13)+F17+F18</f>
        <v>172868788.38000003</v>
      </c>
      <c r="G19" s="726">
        <f t="shared" si="3"/>
        <v>66144458.9855932</v>
      </c>
      <c r="H19" s="726">
        <f t="shared" si="3"/>
        <v>7972173035.6455002</v>
      </c>
      <c r="I19" s="726">
        <f t="shared" si="3"/>
        <v>7346382793.106801</v>
      </c>
      <c r="J19" s="726">
        <f t="shared" si="3"/>
        <v>383699627.32649994</v>
      </c>
      <c r="K19" s="726">
        <f t="shared" si="3"/>
        <v>175256443.83060002</v>
      </c>
      <c r="L19" s="726">
        <f t="shared" si="3"/>
        <v>66834171.3816</v>
      </c>
      <c r="M19" s="726">
        <f t="shared" ref="M19:Q19" si="4">SUM(M7:M13)+M17+M18</f>
        <v>171308794.58714601</v>
      </c>
      <c r="N19" s="726">
        <f t="shared" si="4"/>
        <v>51976669.079999983</v>
      </c>
      <c r="O19" s="726">
        <f t="shared" si="4"/>
        <v>21711353.109999996</v>
      </c>
      <c r="P19" s="726">
        <f t="shared" si="4"/>
        <v>80657610.115050003</v>
      </c>
      <c r="Q19" s="726">
        <f t="shared" si="4"/>
        <v>16963162.282095999</v>
      </c>
      <c r="R19" s="726">
        <f t="shared" ref="R19" si="5">SUM(R7:R13)+R17+R18</f>
        <v>990112</v>
      </c>
      <c r="S19" s="723">
        <v>0.16946891509321838</v>
      </c>
      <c r="T19" s="723">
        <v>0.19634673402884656</v>
      </c>
      <c r="U19" s="723">
        <v>0.13062477657747751</v>
      </c>
      <c r="V19" s="724">
        <v>89.06</v>
      </c>
    </row>
    <row r="20" spans="1:22" ht="25.5">
      <c r="A20" s="473">
        <v>10.1</v>
      </c>
      <c r="B20" s="472" t="s">
        <v>719</v>
      </c>
      <c r="C20" s="467"/>
      <c r="D20" s="467"/>
      <c r="E20" s="467"/>
      <c r="F20" s="467"/>
      <c r="G20" s="467"/>
      <c r="H20" s="467"/>
      <c r="I20" s="467"/>
      <c r="J20" s="467"/>
      <c r="K20" s="467"/>
      <c r="L20" s="467"/>
      <c r="M20" s="467"/>
      <c r="N20" s="467"/>
      <c r="O20" s="467"/>
      <c r="P20" s="467"/>
      <c r="Q20" s="467"/>
      <c r="R20" s="467"/>
      <c r="S20" s="467"/>
      <c r="T20" s="467"/>
      <c r="U20" s="467"/>
      <c r="V20" s="467"/>
    </row>
    <row r="26" spans="1:22">
      <c r="G26" s="731"/>
      <c r="I26" s="73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3"/>
  <sheetViews>
    <sheetView zoomScaleNormal="100" workbookViewId="0"/>
  </sheetViews>
  <sheetFormatPr defaultRowHeight="15"/>
  <cols>
    <col min="1" max="1" width="8.7109375" style="389"/>
    <col min="2" max="2" width="69.28515625" style="373" customWidth="1"/>
    <col min="3" max="4" width="16.42578125" style="557" bestFit="1" customWidth="1"/>
    <col min="5" max="5" width="13.85546875" style="534" bestFit="1" customWidth="1"/>
    <col min="6" max="6" width="16.42578125" style="557" bestFit="1" customWidth="1"/>
    <col min="7" max="7" width="17.5703125" style="557" bestFit="1" customWidth="1"/>
    <col min="8" max="8" width="16.42578125" style="557" bestFit="1" customWidth="1"/>
  </cols>
  <sheetData>
    <row r="1" spans="1:8" ht="15.75">
      <c r="A1" s="15" t="s">
        <v>108</v>
      </c>
      <c r="B1" s="276" t="str">
        <f>Info!C2</f>
        <v>სს ”საქართველოს ბანკი”</v>
      </c>
      <c r="C1" s="600"/>
      <c r="D1" s="541"/>
      <c r="E1" s="532"/>
      <c r="F1" s="541"/>
      <c r="G1" s="541"/>
    </row>
    <row r="2" spans="1:8" ht="15.75">
      <c r="A2" s="15" t="s">
        <v>109</v>
      </c>
      <c r="B2" s="308">
        <f>'1. key ratios'!B2</f>
        <v>45016</v>
      </c>
      <c r="C2" s="601"/>
      <c r="D2" s="602"/>
      <c r="E2" s="533"/>
      <c r="F2" s="601"/>
      <c r="G2" s="602"/>
      <c r="H2" s="602"/>
    </row>
    <row r="3" spans="1:8" ht="16.5" thickBot="1">
      <c r="A3" s="15"/>
      <c r="B3" s="14"/>
      <c r="C3" s="601"/>
      <c r="D3" s="602"/>
      <c r="E3" s="533"/>
      <c r="F3" s="601"/>
      <c r="G3" s="602"/>
      <c r="H3" s="602"/>
    </row>
    <row r="4" spans="1:8" ht="21" customHeight="1">
      <c r="A4" s="785" t="s">
        <v>25</v>
      </c>
      <c r="B4" s="787" t="s">
        <v>728</v>
      </c>
      <c r="C4" s="789" t="s">
        <v>114</v>
      </c>
      <c r="D4" s="789"/>
      <c r="E4" s="789"/>
      <c r="F4" s="790" t="s">
        <v>115</v>
      </c>
      <c r="G4" s="790"/>
      <c r="H4" s="791"/>
    </row>
    <row r="5" spans="1:8" ht="21" customHeight="1">
      <c r="A5" s="786"/>
      <c r="B5" s="788"/>
      <c r="C5" s="630" t="s">
        <v>26</v>
      </c>
      <c r="D5" s="630" t="s">
        <v>88</v>
      </c>
      <c r="E5" s="604" t="s">
        <v>66</v>
      </c>
      <c r="F5" s="630" t="s">
        <v>26</v>
      </c>
      <c r="G5" s="630" t="s">
        <v>88</v>
      </c>
      <c r="H5" s="635" t="s">
        <v>66</v>
      </c>
    </row>
    <row r="6" spans="1:8" ht="26.45" customHeight="1">
      <c r="A6" s="786"/>
      <c r="B6" s="605" t="s">
        <v>95</v>
      </c>
      <c r="C6" s="783"/>
      <c r="D6" s="783"/>
      <c r="E6" s="783"/>
      <c r="F6" s="783"/>
      <c r="G6" s="783"/>
      <c r="H6" s="784"/>
    </row>
    <row r="7" spans="1:8" ht="23.1" customHeight="1">
      <c r="A7" s="626">
        <v>1</v>
      </c>
      <c r="B7" s="606" t="s">
        <v>842</v>
      </c>
      <c r="C7" s="631">
        <v>655164429.69599998</v>
      </c>
      <c r="D7" s="631">
        <v>3518878570.0320001</v>
      </c>
      <c r="E7" s="607">
        <f>C7+D7</f>
        <v>4174042999.7280002</v>
      </c>
      <c r="F7" s="631">
        <f>SUM(F8:F10)</f>
        <v>281705195.34000003</v>
      </c>
      <c r="G7" s="631">
        <f>SUM(G8:G10)</f>
        <v>3094303417.5572</v>
      </c>
      <c r="H7" s="636">
        <f>F7+G7</f>
        <v>3376008612.8972001</v>
      </c>
    </row>
    <row r="8" spans="1:8">
      <c r="A8" s="626">
        <v>1.1000000000000001</v>
      </c>
      <c r="B8" s="608" t="s">
        <v>96</v>
      </c>
      <c r="C8" s="631">
        <v>259622999.02599999</v>
      </c>
      <c r="D8" s="631">
        <v>481284087.66199994</v>
      </c>
      <c r="E8" s="607">
        <f t="shared" ref="E8:E36" si="0">C8+D8</f>
        <v>740907086.68799996</v>
      </c>
      <c r="F8" s="631">
        <v>265061128.11000001</v>
      </c>
      <c r="G8" s="638">
        <v>446146523.30099988</v>
      </c>
      <c r="H8" s="636">
        <f t="shared" ref="H8:H36" si="1">F8+G8</f>
        <v>711207651.41099989</v>
      </c>
    </row>
    <row r="9" spans="1:8">
      <c r="A9" s="626">
        <v>1.2</v>
      </c>
      <c r="B9" s="608" t="s">
        <v>97</v>
      </c>
      <c r="C9" s="631">
        <v>346717869.80999994</v>
      </c>
      <c r="D9" s="631">
        <v>2096172208.3899999</v>
      </c>
      <c r="E9" s="607">
        <f t="shared" si="0"/>
        <v>2442890078.1999998</v>
      </c>
      <c r="F9" s="631">
        <v>5548022.4100000001</v>
      </c>
      <c r="G9" s="631">
        <v>1945283657.4000001</v>
      </c>
      <c r="H9" s="636">
        <f t="shared" si="1"/>
        <v>1950831679.8100002</v>
      </c>
    </row>
    <row r="10" spans="1:8">
      <c r="A10" s="626">
        <v>1.3</v>
      </c>
      <c r="B10" s="608" t="s">
        <v>98</v>
      </c>
      <c r="C10" s="631">
        <v>48823560.859999999</v>
      </c>
      <c r="D10" s="631">
        <v>941422273.98000014</v>
      </c>
      <c r="E10" s="607">
        <f t="shared" si="0"/>
        <v>990245834.84000015</v>
      </c>
      <c r="F10" s="631">
        <v>11096044.82</v>
      </c>
      <c r="G10" s="639">
        <v>702873236.85619986</v>
      </c>
      <c r="H10" s="636">
        <f t="shared" si="1"/>
        <v>713969281.67619991</v>
      </c>
    </row>
    <row r="11" spans="1:8">
      <c r="A11" s="626">
        <v>2</v>
      </c>
      <c r="B11" s="609" t="s">
        <v>729</v>
      </c>
      <c r="C11" s="631">
        <v>19264077.770000003</v>
      </c>
      <c r="D11" s="631"/>
      <c r="E11" s="607">
        <f t="shared" si="0"/>
        <v>19264077.770000003</v>
      </c>
      <c r="F11" s="631">
        <f>F12</f>
        <v>110847981.28</v>
      </c>
      <c r="G11" s="631"/>
      <c r="H11" s="636">
        <f t="shared" si="1"/>
        <v>110847981.28</v>
      </c>
    </row>
    <row r="12" spans="1:8">
      <c r="A12" s="626">
        <v>2.1</v>
      </c>
      <c r="B12" s="610" t="s">
        <v>730</v>
      </c>
      <c r="C12" s="631">
        <v>19264077.770000003</v>
      </c>
      <c r="D12" s="631">
        <v>0</v>
      </c>
      <c r="E12" s="607">
        <f t="shared" si="0"/>
        <v>19264077.770000003</v>
      </c>
      <c r="F12" s="631">
        <v>110847981.28</v>
      </c>
      <c r="G12" s="631">
        <v>0</v>
      </c>
      <c r="H12" s="636">
        <f t="shared" si="1"/>
        <v>110847981.28</v>
      </c>
    </row>
    <row r="13" spans="1:8" ht="26.45" customHeight="1">
      <c r="A13" s="626">
        <v>3</v>
      </c>
      <c r="B13" s="611" t="s">
        <v>731</v>
      </c>
      <c r="C13" s="631"/>
      <c r="D13" s="631"/>
      <c r="E13" s="607">
        <f t="shared" si="0"/>
        <v>0</v>
      </c>
      <c r="F13" s="631"/>
      <c r="G13" s="631"/>
      <c r="H13" s="636">
        <f t="shared" si="1"/>
        <v>0</v>
      </c>
    </row>
    <row r="14" spans="1:8" ht="26.45" customHeight="1">
      <c r="A14" s="626">
        <v>4</v>
      </c>
      <c r="B14" s="612" t="s">
        <v>732</v>
      </c>
      <c r="C14" s="631"/>
      <c r="D14" s="631"/>
      <c r="E14" s="607">
        <f t="shared" si="0"/>
        <v>0</v>
      </c>
      <c r="F14" s="631"/>
      <c r="G14" s="631"/>
      <c r="H14" s="636">
        <f t="shared" si="1"/>
        <v>0</v>
      </c>
    </row>
    <row r="15" spans="1:8" ht="24.6" customHeight="1">
      <c r="A15" s="626">
        <v>5</v>
      </c>
      <c r="B15" s="612" t="s">
        <v>733</v>
      </c>
      <c r="C15" s="632">
        <v>2344975507.6199999</v>
      </c>
      <c r="D15" s="632">
        <v>1510866831.6387994</v>
      </c>
      <c r="E15" s="613">
        <f t="shared" si="0"/>
        <v>3855842339.2587996</v>
      </c>
      <c r="F15" s="632">
        <f>SUM(F16:F18)</f>
        <v>2993517322.7996001</v>
      </c>
      <c r="G15" s="632">
        <f>SUM(G16:G18)</f>
        <v>110409677.20039965</v>
      </c>
      <c r="H15" s="637">
        <f t="shared" si="1"/>
        <v>3103927000</v>
      </c>
    </row>
    <row r="16" spans="1:8">
      <c r="A16" s="626">
        <v>5.0999999999999996</v>
      </c>
      <c r="B16" s="614" t="s">
        <v>734</v>
      </c>
      <c r="C16" s="631">
        <v>108303.24</v>
      </c>
      <c r="D16" s="631">
        <v>4912453.0163000003</v>
      </c>
      <c r="E16" s="607">
        <f t="shared" si="0"/>
        <v>5020756.2563000005</v>
      </c>
      <c r="F16" s="632">
        <v>108303.24</v>
      </c>
      <c r="G16" s="632">
        <v>5209716.9690000005</v>
      </c>
      <c r="H16" s="636">
        <f t="shared" si="1"/>
        <v>5318020.2090000007</v>
      </c>
    </row>
    <row r="17" spans="1:8">
      <c r="A17" s="626">
        <v>5.2</v>
      </c>
      <c r="B17" s="614" t="s">
        <v>568</v>
      </c>
      <c r="C17" s="631">
        <v>2344867204.3800001</v>
      </c>
      <c r="D17" s="631">
        <v>1505954378.6224995</v>
      </c>
      <c r="E17" s="607">
        <f t="shared" si="0"/>
        <v>3850821583.0024996</v>
      </c>
      <c r="F17" s="632">
        <v>2993409019.5596004</v>
      </c>
      <c r="G17" s="632">
        <v>105199960.23139966</v>
      </c>
      <c r="H17" s="636">
        <f t="shared" si="1"/>
        <v>3098608979.7909999</v>
      </c>
    </row>
    <row r="18" spans="1:8">
      <c r="A18" s="626">
        <v>5.3</v>
      </c>
      <c r="B18" s="614" t="s">
        <v>735</v>
      </c>
      <c r="C18" s="631"/>
      <c r="D18" s="631"/>
      <c r="E18" s="607">
        <f t="shared" si="0"/>
        <v>0</v>
      </c>
      <c r="F18" s="631"/>
      <c r="G18" s="631"/>
      <c r="H18" s="636">
        <f t="shared" si="1"/>
        <v>0</v>
      </c>
    </row>
    <row r="19" spans="1:8">
      <c r="A19" s="626">
        <v>6</v>
      </c>
      <c r="B19" s="611" t="s">
        <v>736</v>
      </c>
      <c r="C19" s="631">
        <v>9264813230.7822056</v>
      </c>
      <c r="D19" s="631">
        <v>7567006057.9360008</v>
      </c>
      <c r="E19" s="607">
        <f t="shared" si="0"/>
        <v>16831819288.718206</v>
      </c>
      <c r="F19" s="631">
        <f>SUM(F20:F21)</f>
        <v>7545869331.3817997</v>
      </c>
      <c r="G19" s="631">
        <f>SUM(G20:G21)</f>
        <v>7914321390.9768982</v>
      </c>
      <c r="H19" s="636">
        <f t="shared" si="1"/>
        <v>15460190722.358698</v>
      </c>
    </row>
    <row r="20" spans="1:8">
      <c r="A20" s="626">
        <v>6.1</v>
      </c>
      <c r="B20" s="614" t="s">
        <v>568</v>
      </c>
      <c r="C20" s="631">
        <v>182897433.63999999</v>
      </c>
      <c r="D20" s="631">
        <v>240999736.23070002</v>
      </c>
      <c r="E20" s="607">
        <f t="shared" si="0"/>
        <v>423897169.8707</v>
      </c>
      <c r="F20" s="631">
        <v>0</v>
      </c>
      <c r="G20" s="631">
        <v>0</v>
      </c>
      <c r="H20" s="636">
        <f t="shared" si="1"/>
        <v>0</v>
      </c>
    </row>
    <row r="21" spans="1:8">
      <c r="A21" s="626">
        <v>6.2</v>
      </c>
      <c r="B21" s="614" t="s">
        <v>735</v>
      </c>
      <c r="C21" s="631">
        <v>9081915797.1422062</v>
      </c>
      <c r="D21" s="631">
        <v>7326006321.7053013</v>
      </c>
      <c r="E21" s="607">
        <f t="shared" si="0"/>
        <v>16407922118.847507</v>
      </c>
      <c r="F21" s="631">
        <v>7545869331.3817997</v>
      </c>
      <c r="G21" s="639">
        <v>7914321390.9768982</v>
      </c>
      <c r="H21" s="636">
        <f t="shared" si="1"/>
        <v>15460190722.358698</v>
      </c>
    </row>
    <row r="22" spans="1:8">
      <c r="A22" s="626">
        <v>7</v>
      </c>
      <c r="B22" s="615" t="s">
        <v>737</v>
      </c>
      <c r="C22" s="631">
        <v>157546642.32999998</v>
      </c>
      <c r="D22" s="631">
        <v>0</v>
      </c>
      <c r="E22" s="607">
        <f t="shared" si="0"/>
        <v>157546642.32999998</v>
      </c>
      <c r="F22" s="631">
        <v>159867143.15000001</v>
      </c>
      <c r="G22" s="631">
        <v>0</v>
      </c>
      <c r="H22" s="636">
        <f t="shared" si="1"/>
        <v>159867143.15000001</v>
      </c>
    </row>
    <row r="23" spans="1:8" ht="21">
      <c r="A23" s="626">
        <v>8</v>
      </c>
      <c r="B23" s="615" t="s">
        <v>738</v>
      </c>
      <c r="C23" s="631">
        <v>30451310.469999995</v>
      </c>
      <c r="D23" s="631">
        <v>0</v>
      </c>
      <c r="E23" s="607">
        <f t="shared" si="0"/>
        <v>30451310.469999995</v>
      </c>
      <c r="F23" s="631">
        <v>46262089.710000001</v>
      </c>
      <c r="G23" s="631">
        <v>0</v>
      </c>
      <c r="H23" s="636">
        <f t="shared" si="1"/>
        <v>46262089.710000001</v>
      </c>
    </row>
    <row r="24" spans="1:8">
      <c r="A24" s="626">
        <v>9</v>
      </c>
      <c r="B24" s="612" t="s">
        <v>739</v>
      </c>
      <c r="C24" s="631">
        <v>604632715.68999994</v>
      </c>
      <c r="D24" s="631">
        <v>0</v>
      </c>
      <c r="E24" s="607">
        <f t="shared" si="0"/>
        <v>604632715.68999994</v>
      </c>
      <c r="F24" s="631">
        <f>SUM(F25:F26)</f>
        <v>632725497.24000001</v>
      </c>
      <c r="G24" s="631">
        <f>SUM(G25:G26)</f>
        <v>0</v>
      </c>
      <c r="H24" s="636">
        <f t="shared" si="1"/>
        <v>632725497.24000001</v>
      </c>
    </row>
    <row r="25" spans="1:8">
      <c r="A25" s="626">
        <v>9.1</v>
      </c>
      <c r="B25" s="616" t="s">
        <v>740</v>
      </c>
      <c r="C25" s="631">
        <v>452259138.08999997</v>
      </c>
      <c r="D25" s="631">
        <v>0</v>
      </c>
      <c r="E25" s="607">
        <f t="shared" si="0"/>
        <v>452259138.08999997</v>
      </c>
      <c r="F25" s="631">
        <v>412802805.24999994</v>
      </c>
      <c r="G25" s="631">
        <v>0</v>
      </c>
      <c r="H25" s="636">
        <f t="shared" si="1"/>
        <v>412802805.24999994</v>
      </c>
    </row>
    <row r="26" spans="1:8">
      <c r="A26" s="626">
        <v>9.1999999999999993</v>
      </c>
      <c r="B26" s="616" t="s">
        <v>741</v>
      </c>
      <c r="C26" s="631">
        <v>152373577.59999999</v>
      </c>
      <c r="D26" s="631">
        <v>0</v>
      </c>
      <c r="E26" s="607">
        <f t="shared" si="0"/>
        <v>152373577.59999999</v>
      </c>
      <c r="F26" s="631">
        <v>219922691.99000001</v>
      </c>
      <c r="G26" s="631">
        <v>0</v>
      </c>
      <c r="H26" s="636">
        <f t="shared" si="1"/>
        <v>219922691.99000001</v>
      </c>
    </row>
    <row r="27" spans="1:8">
      <c r="A27" s="626">
        <v>10</v>
      </c>
      <c r="B27" s="612" t="s">
        <v>36</v>
      </c>
      <c r="C27" s="631">
        <v>159471238.15000001</v>
      </c>
      <c r="D27" s="631">
        <v>0</v>
      </c>
      <c r="E27" s="607">
        <f t="shared" si="0"/>
        <v>159471238.15000001</v>
      </c>
      <c r="F27" s="631">
        <f>SUM(F28:F29)</f>
        <v>150471855.67000002</v>
      </c>
      <c r="G27" s="631">
        <f>SUM(G28:G29)</f>
        <v>0</v>
      </c>
      <c r="H27" s="636">
        <f t="shared" si="1"/>
        <v>150471855.67000002</v>
      </c>
    </row>
    <row r="28" spans="1:8">
      <c r="A28" s="626">
        <v>10.1</v>
      </c>
      <c r="B28" s="616" t="s">
        <v>742</v>
      </c>
      <c r="C28" s="631">
        <v>33331342.84</v>
      </c>
      <c r="D28" s="631">
        <v>0</v>
      </c>
      <c r="E28" s="607">
        <f t="shared" si="0"/>
        <v>33331342.84</v>
      </c>
      <c r="F28" s="631">
        <v>33331342.84</v>
      </c>
      <c r="G28" s="631">
        <v>0</v>
      </c>
      <c r="H28" s="636">
        <f t="shared" si="1"/>
        <v>33331342.84</v>
      </c>
    </row>
    <row r="29" spans="1:8">
      <c r="A29" s="626">
        <v>10.199999999999999</v>
      </c>
      <c r="B29" s="616" t="s">
        <v>743</v>
      </c>
      <c r="C29" s="631">
        <v>126139895.31</v>
      </c>
      <c r="D29" s="631">
        <v>0</v>
      </c>
      <c r="E29" s="607">
        <f t="shared" si="0"/>
        <v>126139895.31</v>
      </c>
      <c r="F29" s="631">
        <v>117140512.83000001</v>
      </c>
      <c r="G29" s="631">
        <v>0</v>
      </c>
      <c r="H29" s="636">
        <f t="shared" si="1"/>
        <v>117140512.83000001</v>
      </c>
    </row>
    <row r="30" spans="1:8">
      <c r="A30" s="626">
        <v>11</v>
      </c>
      <c r="B30" s="612" t="s">
        <v>744</v>
      </c>
      <c r="C30" s="631"/>
      <c r="D30" s="631">
        <v>0</v>
      </c>
      <c r="E30" s="607">
        <f t="shared" si="0"/>
        <v>0</v>
      </c>
      <c r="F30" s="631">
        <f>SUM(F31:F32)</f>
        <v>0</v>
      </c>
      <c r="G30" s="631">
        <f>SUM(G31:G32)</f>
        <v>0</v>
      </c>
      <c r="H30" s="636">
        <f t="shared" si="1"/>
        <v>0</v>
      </c>
    </row>
    <row r="31" spans="1:8">
      <c r="A31" s="626">
        <v>11.1</v>
      </c>
      <c r="B31" s="616" t="s">
        <v>745</v>
      </c>
      <c r="C31" s="631"/>
      <c r="D31" s="631">
        <v>0</v>
      </c>
      <c r="E31" s="607">
        <f t="shared" si="0"/>
        <v>0</v>
      </c>
      <c r="F31" s="631">
        <v>0</v>
      </c>
      <c r="G31" s="631">
        <v>0</v>
      </c>
      <c r="H31" s="636">
        <f t="shared" si="1"/>
        <v>0</v>
      </c>
    </row>
    <row r="32" spans="1:8">
      <c r="A32" s="626">
        <v>11.2</v>
      </c>
      <c r="B32" s="616" t="s">
        <v>746</v>
      </c>
      <c r="C32" s="631"/>
      <c r="D32" s="631">
        <v>0</v>
      </c>
      <c r="E32" s="607">
        <f t="shared" si="0"/>
        <v>0</v>
      </c>
      <c r="F32" s="631">
        <v>0</v>
      </c>
      <c r="G32" s="631">
        <v>0</v>
      </c>
      <c r="H32" s="636">
        <f t="shared" si="1"/>
        <v>0</v>
      </c>
    </row>
    <row r="33" spans="1:8">
      <c r="A33" s="626">
        <v>13</v>
      </c>
      <c r="B33" s="612" t="s">
        <v>99</v>
      </c>
      <c r="C33" s="631">
        <v>273513729.27759165</v>
      </c>
      <c r="D33" s="631">
        <v>97524597.31159997</v>
      </c>
      <c r="E33" s="607">
        <f t="shared" si="0"/>
        <v>371038326.58919162</v>
      </c>
      <c r="F33" s="631">
        <v>79025235.342480272</v>
      </c>
      <c r="G33" s="631">
        <v>41583201.589000016</v>
      </c>
      <c r="H33" s="636">
        <f t="shared" si="1"/>
        <v>120608436.93148029</v>
      </c>
    </row>
    <row r="34" spans="1:8">
      <c r="A34" s="626">
        <v>13.1</v>
      </c>
      <c r="B34" s="617" t="s">
        <v>747</v>
      </c>
      <c r="C34" s="631">
        <v>146073969.61999995</v>
      </c>
      <c r="D34" s="631">
        <v>0</v>
      </c>
      <c r="E34" s="607">
        <f t="shared" si="0"/>
        <v>146073969.61999995</v>
      </c>
      <c r="F34" s="631">
        <v>2614164.94</v>
      </c>
      <c r="G34" s="631">
        <v>0</v>
      </c>
      <c r="H34" s="636">
        <f t="shared" si="1"/>
        <v>2614164.94</v>
      </c>
    </row>
    <row r="35" spans="1:8">
      <c r="A35" s="626">
        <v>13.2</v>
      </c>
      <c r="B35" s="617" t="s">
        <v>748</v>
      </c>
      <c r="C35" s="631">
        <v>0</v>
      </c>
      <c r="D35" s="631">
        <v>0</v>
      </c>
      <c r="E35" s="607">
        <f t="shared" si="0"/>
        <v>0</v>
      </c>
      <c r="F35" s="631">
        <v>0</v>
      </c>
      <c r="G35" s="631">
        <v>0</v>
      </c>
      <c r="H35" s="636">
        <f t="shared" si="1"/>
        <v>0</v>
      </c>
    </row>
    <row r="36" spans="1:8">
      <c r="A36" s="626">
        <v>14</v>
      </c>
      <c r="B36" s="618" t="s">
        <v>749</v>
      </c>
      <c r="C36" s="631">
        <v>13509832881.785797</v>
      </c>
      <c r="D36" s="631">
        <v>12694276056.9184</v>
      </c>
      <c r="E36" s="607">
        <f t="shared" si="0"/>
        <v>26204108938.704197</v>
      </c>
      <c r="F36" s="631">
        <f>SUM(F7,F11,F13,F14,F15,F19,F22,F23,F24,F27,F30,F33)</f>
        <v>12000291651.913877</v>
      </c>
      <c r="G36" s="631">
        <f>SUM(G7,G11,G13,G14,G15,G19,G22,G23,G24,G27,G30,G33)</f>
        <v>11160617687.323498</v>
      </c>
      <c r="H36" s="636">
        <f t="shared" si="1"/>
        <v>23160909339.237373</v>
      </c>
    </row>
    <row r="37" spans="1:8" ht="22.5" customHeight="1">
      <c r="A37" s="626"/>
      <c r="B37" s="619" t="s">
        <v>104</v>
      </c>
      <c r="C37" s="783"/>
      <c r="D37" s="783"/>
      <c r="E37" s="783"/>
      <c r="F37" s="783"/>
      <c r="G37" s="783"/>
      <c r="H37" s="784"/>
    </row>
    <row r="38" spans="1:8">
      <c r="A38" s="626">
        <v>15</v>
      </c>
      <c r="B38" s="615" t="s">
        <v>750</v>
      </c>
      <c r="C38" s="631">
        <v>28061320.780000001</v>
      </c>
      <c r="D38" s="631">
        <v>0</v>
      </c>
      <c r="E38" s="607">
        <f>C38+D38</f>
        <v>28061320.780000001</v>
      </c>
      <c r="F38" s="631">
        <f>F39</f>
        <v>6739540.0000000065</v>
      </c>
      <c r="G38" s="631">
        <f>G39</f>
        <v>75051460</v>
      </c>
      <c r="H38" s="636">
        <f>F38+G38</f>
        <v>81791000</v>
      </c>
    </row>
    <row r="39" spans="1:8">
      <c r="A39" s="626">
        <v>15.1</v>
      </c>
      <c r="B39" s="610" t="s">
        <v>730</v>
      </c>
      <c r="C39" s="631">
        <v>28061320.780000001</v>
      </c>
      <c r="D39" s="631">
        <v>0</v>
      </c>
      <c r="E39" s="607">
        <f t="shared" ref="E39:E52" si="2">C39+D39</f>
        <v>28061320.780000001</v>
      </c>
      <c r="F39" s="631">
        <v>6739540.0000000065</v>
      </c>
      <c r="G39" s="631">
        <v>75051460</v>
      </c>
      <c r="H39" s="636">
        <f t="shared" ref="H39:H53" si="3">F39+G39</f>
        <v>81791000</v>
      </c>
    </row>
    <row r="40" spans="1:8" ht="24" customHeight="1">
      <c r="A40" s="626">
        <v>16</v>
      </c>
      <c r="B40" s="615" t="s">
        <v>751</v>
      </c>
      <c r="C40" s="631"/>
      <c r="D40" s="631"/>
      <c r="E40" s="607">
        <f t="shared" si="2"/>
        <v>0</v>
      </c>
      <c r="F40" s="631"/>
      <c r="G40" s="631"/>
      <c r="H40" s="636">
        <f t="shared" si="3"/>
        <v>0</v>
      </c>
    </row>
    <row r="41" spans="1:8" ht="21">
      <c r="A41" s="626">
        <v>17</v>
      </c>
      <c r="B41" s="615" t="s">
        <v>752</v>
      </c>
      <c r="C41" s="631">
        <v>9664242622.9524994</v>
      </c>
      <c r="D41" s="631">
        <v>11367736073.442003</v>
      </c>
      <c r="E41" s="607">
        <f t="shared" si="2"/>
        <v>21031978696.394501</v>
      </c>
      <c r="F41" s="631">
        <f>SUM(F42:F45)</f>
        <v>8650052693.9428024</v>
      </c>
      <c r="G41" s="631">
        <f>SUM(G42:G45)</f>
        <v>10041002705.4072</v>
      </c>
      <c r="H41" s="636">
        <f t="shared" si="3"/>
        <v>18691055399.350002</v>
      </c>
    </row>
    <row r="42" spans="1:8">
      <c r="A42" s="626">
        <v>17.100000000000001</v>
      </c>
      <c r="B42" s="608" t="s">
        <v>753</v>
      </c>
      <c r="C42" s="631">
        <v>7616869979.9364986</v>
      </c>
      <c r="D42" s="631">
        <v>10481779932.972002</v>
      </c>
      <c r="E42" s="607">
        <f t="shared" si="2"/>
        <v>18098649912.908501</v>
      </c>
      <c r="F42" s="631">
        <v>6017241029.712801</v>
      </c>
      <c r="G42" s="631">
        <v>8443609970.287199</v>
      </c>
      <c r="H42" s="636">
        <f t="shared" si="3"/>
        <v>14460851000</v>
      </c>
    </row>
    <row r="43" spans="1:8">
      <c r="A43" s="626">
        <v>17.2</v>
      </c>
      <c r="B43" s="608" t="s">
        <v>100</v>
      </c>
      <c r="C43" s="631">
        <v>2043127421.7260001</v>
      </c>
      <c r="D43" s="631">
        <v>494482746.9400003</v>
      </c>
      <c r="E43" s="607">
        <f t="shared" si="2"/>
        <v>2537610168.6660004</v>
      </c>
      <c r="F43" s="631">
        <v>2628748083.6900001</v>
      </c>
      <c r="G43" s="631">
        <v>493508316.75999975</v>
      </c>
      <c r="H43" s="636">
        <f t="shared" si="3"/>
        <v>3122256400.4499998</v>
      </c>
    </row>
    <row r="44" spans="1:8">
      <c r="A44" s="626">
        <v>17.3</v>
      </c>
      <c r="B44" s="620" t="s">
        <v>754</v>
      </c>
      <c r="C44" s="631">
        <v>0</v>
      </c>
      <c r="D44" s="631">
        <v>301639997.35000002</v>
      </c>
      <c r="E44" s="607">
        <f t="shared" si="2"/>
        <v>301639997.35000002</v>
      </c>
      <c r="F44" s="631">
        <v>0</v>
      </c>
      <c r="G44" s="631">
        <v>1019780469.3399999</v>
      </c>
      <c r="H44" s="636">
        <f t="shared" si="3"/>
        <v>1019780469.3399999</v>
      </c>
    </row>
    <row r="45" spans="1:8">
      <c r="A45" s="626">
        <v>17.399999999999999</v>
      </c>
      <c r="B45" s="608" t="s">
        <v>755</v>
      </c>
      <c r="C45" s="631">
        <v>4245221.29</v>
      </c>
      <c r="D45" s="631">
        <v>89833396.179999992</v>
      </c>
      <c r="E45" s="607">
        <f t="shared" si="2"/>
        <v>94078617.469999999</v>
      </c>
      <c r="F45" s="631">
        <v>4063580.54</v>
      </c>
      <c r="G45" s="631">
        <v>84103949.019999996</v>
      </c>
      <c r="H45" s="636">
        <f t="shared" si="3"/>
        <v>88167529.560000002</v>
      </c>
    </row>
    <row r="46" spans="1:8">
      <c r="A46" s="626">
        <v>18</v>
      </c>
      <c r="B46" s="621" t="s">
        <v>756</v>
      </c>
      <c r="C46" s="631">
        <v>997772.08</v>
      </c>
      <c r="D46" s="631">
        <v>2640699.8477000003</v>
      </c>
      <c r="E46" s="607">
        <f t="shared" si="2"/>
        <v>3638471.9277000003</v>
      </c>
      <c r="F46" s="631">
        <v>1325876.5325</v>
      </c>
      <c r="G46" s="631">
        <v>3491549.7753999997</v>
      </c>
      <c r="H46" s="636">
        <f t="shared" si="3"/>
        <v>4817426.3078999994</v>
      </c>
    </row>
    <row r="47" spans="1:8">
      <c r="A47" s="626">
        <v>19</v>
      </c>
      <c r="B47" s="621" t="s">
        <v>757</v>
      </c>
      <c r="C47" s="633">
        <v>121173352.10241669</v>
      </c>
      <c r="D47" s="631">
        <v>0</v>
      </c>
      <c r="E47" s="607">
        <f t="shared" si="2"/>
        <v>121173352.10241669</v>
      </c>
      <c r="F47" s="633">
        <f>SUM(F48:F49)</f>
        <v>39554646.040000007</v>
      </c>
      <c r="G47" s="631">
        <f>SUM(G48:G49)</f>
        <v>0</v>
      </c>
      <c r="H47" s="636">
        <f t="shared" si="3"/>
        <v>39554646.040000007</v>
      </c>
    </row>
    <row r="48" spans="1:8">
      <c r="A48" s="626">
        <v>19.100000000000001</v>
      </c>
      <c r="B48" s="622" t="s">
        <v>758</v>
      </c>
      <c r="C48" s="631">
        <v>98824776.113609806</v>
      </c>
      <c r="D48" s="631">
        <v>0</v>
      </c>
      <c r="E48" s="607">
        <f t="shared" si="2"/>
        <v>98824776.113609806</v>
      </c>
      <c r="F48" s="631">
        <v>22426119.690000001</v>
      </c>
      <c r="G48" s="631">
        <v>0</v>
      </c>
      <c r="H48" s="636">
        <f t="shared" si="3"/>
        <v>22426119.690000001</v>
      </c>
    </row>
    <row r="49" spans="1:8">
      <c r="A49" s="626">
        <v>19.2</v>
      </c>
      <c r="B49" s="622" t="s">
        <v>759</v>
      </c>
      <c r="C49" s="631">
        <v>22348575.988806896</v>
      </c>
      <c r="D49" s="631">
        <v>0</v>
      </c>
      <c r="E49" s="607">
        <f t="shared" si="2"/>
        <v>22348575.988806896</v>
      </c>
      <c r="F49" s="631">
        <v>17128526.350000001</v>
      </c>
      <c r="G49" s="631">
        <v>0</v>
      </c>
      <c r="H49" s="636">
        <f t="shared" si="3"/>
        <v>17128526.350000001</v>
      </c>
    </row>
    <row r="50" spans="1:8">
      <c r="A50" s="626">
        <v>20</v>
      </c>
      <c r="B50" s="618" t="s">
        <v>101</v>
      </c>
      <c r="C50" s="631">
        <v>0</v>
      </c>
      <c r="D50" s="631">
        <v>784304769</v>
      </c>
      <c r="E50" s="607">
        <f t="shared" si="2"/>
        <v>784304769</v>
      </c>
      <c r="F50" s="631">
        <v>0</v>
      </c>
      <c r="G50" s="631">
        <v>995435756.43000007</v>
      </c>
      <c r="H50" s="636">
        <f t="shared" si="3"/>
        <v>995435756.43000007</v>
      </c>
    </row>
    <row r="51" spans="1:8">
      <c r="A51" s="626">
        <v>21</v>
      </c>
      <c r="B51" s="609" t="s">
        <v>89</v>
      </c>
      <c r="C51" s="631">
        <v>159958129.92952144</v>
      </c>
      <c r="D51" s="631">
        <v>41842822.421299994</v>
      </c>
      <c r="E51" s="607">
        <f t="shared" si="2"/>
        <v>201800952.35082144</v>
      </c>
      <c r="F51" s="631">
        <v>113611682.99369553</v>
      </c>
      <c r="G51" s="631">
        <v>23859201.694900006</v>
      </c>
      <c r="H51" s="636">
        <f t="shared" si="3"/>
        <v>137470884.68859553</v>
      </c>
    </row>
    <row r="52" spans="1:8">
      <c r="A52" s="626">
        <v>21.1</v>
      </c>
      <c r="B52" s="608" t="s">
        <v>760</v>
      </c>
      <c r="C52" s="631">
        <v>2327414.75</v>
      </c>
      <c r="D52" s="631"/>
      <c r="E52" s="607">
        <f t="shared" si="2"/>
        <v>2327414.75</v>
      </c>
      <c r="F52" s="631">
        <v>1702000</v>
      </c>
      <c r="G52" s="631"/>
      <c r="H52" s="636">
        <f t="shared" si="3"/>
        <v>1702000</v>
      </c>
    </row>
    <row r="53" spans="1:8">
      <c r="A53" s="626">
        <v>22</v>
      </c>
      <c r="B53" s="618" t="s">
        <v>761</v>
      </c>
      <c r="C53" s="631">
        <v>9974433197.8444386</v>
      </c>
      <c r="D53" s="631">
        <v>12196524364.711004</v>
      </c>
      <c r="E53" s="607">
        <f>C53+D53</f>
        <v>22170957562.555443</v>
      </c>
      <c r="F53" s="631">
        <f>SUM(F38,F40,F41,F46,F47,F50,F51)</f>
        <v>8811284439.5089989</v>
      </c>
      <c r="G53" s="631">
        <f>SUM(G38,G40,G41,G46,G47,G50,G51)</f>
        <v>11138840673.307501</v>
      </c>
      <c r="H53" s="636">
        <f t="shared" si="3"/>
        <v>19950125112.816498</v>
      </c>
    </row>
    <row r="54" spans="1:8" ht="24" customHeight="1">
      <c r="A54" s="626"/>
      <c r="B54" s="619" t="s">
        <v>762</v>
      </c>
      <c r="C54" s="783"/>
      <c r="D54" s="783"/>
      <c r="E54" s="783"/>
      <c r="F54" s="783"/>
      <c r="G54" s="783"/>
      <c r="H54" s="784"/>
    </row>
    <row r="55" spans="1:8">
      <c r="A55" s="626">
        <v>23</v>
      </c>
      <c r="B55" s="618" t="s">
        <v>105</v>
      </c>
      <c r="C55" s="631">
        <v>27993660.18</v>
      </c>
      <c r="D55" s="631"/>
      <c r="E55" s="607">
        <f>C55+D55</f>
        <v>27993660.18</v>
      </c>
      <c r="F55" s="631">
        <v>27993660.18</v>
      </c>
      <c r="G55" s="631"/>
      <c r="H55" s="636">
        <f>F55+G55</f>
        <v>27993660.18</v>
      </c>
    </row>
    <row r="56" spans="1:8">
      <c r="A56" s="626">
        <v>24</v>
      </c>
      <c r="B56" s="618" t="s">
        <v>763</v>
      </c>
      <c r="C56" s="631"/>
      <c r="D56" s="631"/>
      <c r="E56" s="607">
        <f t="shared" ref="E56:E69" si="4">C56+D56</f>
        <v>0</v>
      </c>
      <c r="F56" s="631"/>
      <c r="G56" s="631"/>
      <c r="H56" s="636">
        <f t="shared" ref="H56:H69" si="5">F56+G56</f>
        <v>0</v>
      </c>
    </row>
    <row r="57" spans="1:8">
      <c r="A57" s="626">
        <v>25</v>
      </c>
      <c r="B57" s="623" t="s">
        <v>102</v>
      </c>
      <c r="C57" s="631">
        <v>182642927.07627702</v>
      </c>
      <c r="D57" s="631"/>
      <c r="E57" s="607">
        <f t="shared" si="4"/>
        <v>182642927.07627702</v>
      </c>
      <c r="F57" s="631">
        <v>164148397.39627701</v>
      </c>
      <c r="G57" s="631"/>
      <c r="H57" s="636">
        <f t="shared" si="5"/>
        <v>164148397.39627701</v>
      </c>
    </row>
    <row r="58" spans="1:8">
      <c r="A58" s="626">
        <v>26</v>
      </c>
      <c r="B58" s="621" t="s">
        <v>764</v>
      </c>
      <c r="C58" s="631">
        <v>-10173</v>
      </c>
      <c r="D58" s="631"/>
      <c r="E58" s="607">
        <f t="shared" si="4"/>
        <v>-10173</v>
      </c>
      <c r="F58" s="631">
        <v>-10173</v>
      </c>
      <c r="G58" s="631"/>
      <c r="H58" s="636">
        <f t="shared" si="5"/>
        <v>-10173</v>
      </c>
    </row>
    <row r="59" spans="1:8" ht="21">
      <c r="A59" s="626">
        <v>27</v>
      </c>
      <c r="B59" s="621" t="s">
        <v>765</v>
      </c>
      <c r="C59" s="631">
        <v>0</v>
      </c>
      <c r="D59" s="631">
        <v>0</v>
      </c>
      <c r="E59" s="607">
        <f t="shared" si="4"/>
        <v>0</v>
      </c>
      <c r="F59" s="631">
        <v>0</v>
      </c>
      <c r="G59" s="631">
        <f>SUM(G60:G61)</f>
        <v>0</v>
      </c>
      <c r="H59" s="636">
        <f t="shared" si="5"/>
        <v>0</v>
      </c>
    </row>
    <row r="60" spans="1:8">
      <c r="A60" s="626">
        <v>27.1</v>
      </c>
      <c r="B60" s="624" t="s">
        <v>766</v>
      </c>
      <c r="C60" s="631"/>
      <c r="D60" s="631"/>
      <c r="E60" s="607">
        <f t="shared" si="4"/>
        <v>0</v>
      </c>
      <c r="F60" s="631"/>
      <c r="G60" s="631"/>
      <c r="H60" s="636">
        <f t="shared" si="5"/>
        <v>0</v>
      </c>
    </row>
    <row r="61" spans="1:8">
      <c r="A61" s="626">
        <v>27.2</v>
      </c>
      <c r="B61" s="620" t="s">
        <v>767</v>
      </c>
      <c r="C61" s="631"/>
      <c r="D61" s="631"/>
      <c r="E61" s="607">
        <f t="shared" si="4"/>
        <v>0</v>
      </c>
      <c r="F61" s="631"/>
      <c r="G61" s="631"/>
      <c r="H61" s="636">
        <f t="shared" si="5"/>
        <v>0</v>
      </c>
    </row>
    <row r="62" spans="1:8">
      <c r="A62" s="626">
        <v>28</v>
      </c>
      <c r="B62" s="609" t="s">
        <v>768</v>
      </c>
      <c r="C62" s="631">
        <v>0</v>
      </c>
      <c r="D62" s="631"/>
      <c r="E62" s="607">
        <f t="shared" si="4"/>
        <v>0</v>
      </c>
      <c r="F62" s="631">
        <v>0</v>
      </c>
      <c r="G62" s="631"/>
      <c r="H62" s="636">
        <f t="shared" si="5"/>
        <v>0</v>
      </c>
    </row>
    <row r="63" spans="1:8">
      <c r="A63" s="626">
        <v>29</v>
      </c>
      <c r="B63" s="621" t="s">
        <v>769</v>
      </c>
      <c r="C63" s="631">
        <v>32124322.266700003</v>
      </c>
      <c r="D63" s="631">
        <v>0</v>
      </c>
      <c r="E63" s="607">
        <f t="shared" si="4"/>
        <v>32124322.266700003</v>
      </c>
      <c r="F63" s="631">
        <v>-18309259.520000011</v>
      </c>
      <c r="G63" s="631">
        <f>SUM(G64:G66)</f>
        <v>0</v>
      </c>
      <c r="H63" s="636">
        <f t="shared" si="5"/>
        <v>-18309259.520000011</v>
      </c>
    </row>
    <row r="64" spans="1:8">
      <c r="A64" s="626">
        <v>29.1</v>
      </c>
      <c r="B64" s="614" t="s">
        <v>770</v>
      </c>
      <c r="C64" s="631">
        <v>2358668.17</v>
      </c>
      <c r="D64" s="631"/>
      <c r="E64" s="607">
        <f t="shared" si="4"/>
        <v>2358668.17</v>
      </c>
      <c r="F64" s="631">
        <v>2358668.17</v>
      </c>
      <c r="G64" s="631"/>
      <c r="H64" s="636">
        <f t="shared" si="5"/>
        <v>2358668.17</v>
      </c>
    </row>
    <row r="65" spans="1:8" ht="24.95" customHeight="1">
      <c r="A65" s="626">
        <v>29.2</v>
      </c>
      <c r="B65" s="624" t="s">
        <v>771</v>
      </c>
      <c r="C65" s="631">
        <v>858680.64</v>
      </c>
      <c r="D65" s="631"/>
      <c r="E65" s="607">
        <f t="shared" si="4"/>
        <v>858680.64</v>
      </c>
      <c r="F65" s="631">
        <v>-33821.579999999958</v>
      </c>
      <c r="G65" s="631"/>
      <c r="H65" s="636">
        <f t="shared" si="5"/>
        <v>-33821.579999999958</v>
      </c>
    </row>
    <row r="66" spans="1:8" ht="22.5" customHeight="1">
      <c r="A66" s="626">
        <v>29.3</v>
      </c>
      <c r="B66" s="616" t="s">
        <v>772</v>
      </c>
      <c r="C66" s="631">
        <v>28906973.456700005</v>
      </c>
      <c r="D66" s="631"/>
      <c r="E66" s="607">
        <f t="shared" si="4"/>
        <v>28906973.456700005</v>
      </c>
      <c r="F66" s="631">
        <v>-20634106.110000011</v>
      </c>
      <c r="G66" s="631"/>
      <c r="H66" s="636">
        <f t="shared" si="5"/>
        <v>-20634106.110000011</v>
      </c>
    </row>
    <row r="67" spans="1:8">
      <c r="A67" s="626">
        <v>30</v>
      </c>
      <c r="B67" s="612" t="s">
        <v>103</v>
      </c>
      <c r="C67" s="631">
        <v>3790400640.1257858</v>
      </c>
      <c r="D67" s="631"/>
      <c r="E67" s="607">
        <f t="shared" si="4"/>
        <v>3790400640.1257858</v>
      </c>
      <c r="F67" s="631">
        <v>3036961601.2212281</v>
      </c>
      <c r="G67" s="631"/>
      <c r="H67" s="636">
        <f t="shared" si="5"/>
        <v>3036961601.2212281</v>
      </c>
    </row>
    <row r="68" spans="1:8">
      <c r="A68" s="626">
        <v>31</v>
      </c>
      <c r="B68" s="625" t="s">
        <v>773</v>
      </c>
      <c r="C68" s="631">
        <v>4033151376.6487627</v>
      </c>
      <c r="D68" s="631">
        <v>0</v>
      </c>
      <c r="E68" s="607">
        <f t="shared" si="4"/>
        <v>4033151376.6487627</v>
      </c>
      <c r="F68" s="631">
        <f>SUM(F55,F56,F57,F58,F59,F62,F63,F67)</f>
        <v>3210784226.2775049</v>
      </c>
      <c r="G68" s="631">
        <f>SUM(G55,G56,G57,G58,G59,G62,G63,G67)</f>
        <v>0</v>
      </c>
      <c r="H68" s="636">
        <f t="shared" si="5"/>
        <v>3210784226.2775049</v>
      </c>
    </row>
    <row r="69" spans="1:8" ht="15.75" thickBot="1">
      <c r="A69" s="627">
        <v>32</v>
      </c>
      <c r="B69" s="628" t="s">
        <v>774</v>
      </c>
      <c r="C69" s="634">
        <v>14007584574.493202</v>
      </c>
      <c r="D69" s="634">
        <v>12196524364.711004</v>
      </c>
      <c r="E69" s="629">
        <f t="shared" si="4"/>
        <v>26204108939.204208</v>
      </c>
      <c r="F69" s="634">
        <f>SUM(F53,F68)</f>
        <v>12022068665.786503</v>
      </c>
      <c r="G69" s="634">
        <f>SUM(G53,G68)</f>
        <v>11138840673.307501</v>
      </c>
      <c r="H69" s="629">
        <f t="shared" si="5"/>
        <v>23160909339.094002</v>
      </c>
    </row>
    <row r="73" spans="1:8">
      <c r="H73" s="534"/>
    </row>
  </sheetData>
  <mergeCells count="7">
    <mergeCell ref="C37:H37"/>
    <mergeCell ref="C54:H54"/>
    <mergeCell ref="A4:A6"/>
    <mergeCell ref="B4:B5"/>
    <mergeCell ref="C4:E4"/>
    <mergeCell ref="F4:H4"/>
    <mergeCell ref="C6:H6"/>
  </mergeCells>
  <pageMargins left="0.7" right="0.7" top="0.75" bottom="0.75" header="0.3" footer="0.3"/>
  <pageSetup paperSize="9" scale="4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171" zoomScale="80" zoomScaleNormal="80" workbookViewId="0">
      <selection activeCell="C180" sqref="C180"/>
    </sheetView>
  </sheetViews>
  <sheetFormatPr defaultColWidth="43.5703125" defaultRowHeight="11.25"/>
  <cols>
    <col min="1" max="1" width="8" style="135" customWidth="1"/>
    <col min="2" max="2" width="66.140625" style="136" customWidth="1"/>
    <col min="3" max="3" width="131.42578125" style="137" customWidth="1"/>
    <col min="4" max="5" width="10.28515625" style="128" customWidth="1"/>
    <col min="6" max="6" width="67.5703125" style="128" customWidth="1"/>
    <col min="7" max="16384" width="43.5703125" style="128"/>
  </cols>
  <sheetData>
    <row r="1" spans="1:3" ht="12.75" thickTop="1" thickBot="1">
      <c r="A1" s="955" t="s">
        <v>186</v>
      </c>
      <c r="B1" s="956"/>
      <c r="C1" s="957"/>
    </row>
    <row r="2" spans="1:3" ht="26.25" customHeight="1">
      <c r="A2" s="363"/>
      <c r="B2" s="958" t="s">
        <v>187</v>
      </c>
      <c r="C2" s="958"/>
    </row>
    <row r="3" spans="1:3" s="133" customFormat="1" ht="11.25" customHeight="1">
      <c r="A3" s="132"/>
      <c r="B3" s="958" t="s">
        <v>262</v>
      </c>
      <c r="C3" s="958"/>
    </row>
    <row r="4" spans="1:3" ht="12" customHeight="1" thickBot="1">
      <c r="A4" s="937" t="s">
        <v>266</v>
      </c>
      <c r="B4" s="938"/>
      <c r="C4" s="939"/>
    </row>
    <row r="5" spans="1:3" ht="12" thickTop="1">
      <c r="A5" s="129"/>
      <c r="B5" s="940" t="s">
        <v>188</v>
      </c>
      <c r="C5" s="941"/>
    </row>
    <row r="6" spans="1:3">
      <c r="A6" s="363"/>
      <c r="B6" s="917" t="s">
        <v>263</v>
      </c>
      <c r="C6" s="918"/>
    </row>
    <row r="7" spans="1:3">
      <c r="A7" s="363"/>
      <c r="B7" s="917" t="s">
        <v>189</v>
      </c>
      <c r="C7" s="918"/>
    </row>
    <row r="8" spans="1:3">
      <c r="A8" s="363"/>
      <c r="B8" s="917" t="s">
        <v>264</v>
      </c>
      <c r="C8" s="918"/>
    </row>
    <row r="9" spans="1:3">
      <c r="A9" s="363"/>
      <c r="B9" s="961" t="s">
        <v>265</v>
      </c>
      <c r="C9" s="962"/>
    </row>
    <row r="10" spans="1:3">
      <c r="A10" s="363"/>
      <c r="B10" s="953" t="s">
        <v>190</v>
      </c>
      <c r="C10" s="954" t="s">
        <v>190</v>
      </c>
    </row>
    <row r="11" spans="1:3">
      <c r="A11" s="363"/>
      <c r="B11" s="953" t="s">
        <v>191</v>
      </c>
      <c r="C11" s="954" t="s">
        <v>191</v>
      </c>
    </row>
    <row r="12" spans="1:3">
      <c r="A12" s="363"/>
      <c r="B12" s="953" t="s">
        <v>192</v>
      </c>
      <c r="C12" s="954" t="s">
        <v>192</v>
      </c>
    </row>
    <row r="13" spans="1:3">
      <c r="A13" s="363"/>
      <c r="B13" s="953" t="s">
        <v>193</v>
      </c>
      <c r="C13" s="954" t="s">
        <v>193</v>
      </c>
    </row>
    <row r="14" spans="1:3">
      <c r="A14" s="363"/>
      <c r="B14" s="953" t="s">
        <v>194</v>
      </c>
      <c r="C14" s="954" t="s">
        <v>194</v>
      </c>
    </row>
    <row r="15" spans="1:3" ht="21.75" customHeight="1">
      <c r="A15" s="363"/>
      <c r="B15" s="953" t="s">
        <v>195</v>
      </c>
      <c r="C15" s="954" t="s">
        <v>195</v>
      </c>
    </row>
    <row r="16" spans="1:3">
      <c r="A16" s="363"/>
      <c r="B16" s="953" t="s">
        <v>196</v>
      </c>
      <c r="C16" s="954" t="s">
        <v>197</v>
      </c>
    </row>
    <row r="17" spans="1:6">
      <c r="A17" s="363"/>
      <c r="B17" s="953" t="s">
        <v>198</v>
      </c>
      <c r="C17" s="954" t="s">
        <v>199</v>
      </c>
    </row>
    <row r="18" spans="1:6">
      <c r="A18" s="363"/>
      <c r="B18" s="953" t="s">
        <v>200</v>
      </c>
      <c r="C18" s="954" t="s">
        <v>201</v>
      </c>
    </row>
    <row r="19" spans="1:6">
      <c r="A19" s="363"/>
      <c r="B19" s="953" t="s">
        <v>202</v>
      </c>
      <c r="C19" s="954" t="s">
        <v>202</v>
      </c>
    </row>
    <row r="20" spans="1:6">
      <c r="A20" s="363"/>
      <c r="B20" s="959" t="s">
        <v>956</v>
      </c>
      <c r="C20" s="960" t="s">
        <v>203</v>
      </c>
    </row>
    <row r="21" spans="1:6">
      <c r="A21" s="363"/>
      <c r="B21" s="953" t="s">
        <v>945</v>
      </c>
      <c r="C21" s="954" t="s">
        <v>204</v>
      </c>
    </row>
    <row r="22" spans="1:6" ht="23.25" customHeight="1">
      <c r="A22" s="363"/>
      <c r="B22" s="953" t="s">
        <v>205</v>
      </c>
      <c r="C22" s="954" t="s">
        <v>206</v>
      </c>
      <c r="F22" s="531"/>
    </row>
    <row r="23" spans="1:6">
      <c r="A23" s="363"/>
      <c r="B23" s="953" t="s">
        <v>207</v>
      </c>
      <c r="C23" s="954" t="s">
        <v>207</v>
      </c>
    </row>
    <row r="24" spans="1:6">
      <c r="A24" s="363"/>
      <c r="B24" s="953" t="s">
        <v>208</v>
      </c>
      <c r="C24" s="954" t="s">
        <v>209</v>
      </c>
    </row>
    <row r="25" spans="1:6" ht="12" thickBot="1">
      <c r="A25" s="130"/>
      <c r="B25" s="947" t="s">
        <v>210</v>
      </c>
      <c r="C25" s="948"/>
    </row>
    <row r="26" spans="1:6" ht="12.75" thickTop="1" thickBot="1">
      <c r="A26" s="937" t="s">
        <v>843</v>
      </c>
      <c r="B26" s="938"/>
      <c r="C26" s="939"/>
    </row>
    <row r="27" spans="1:6" ht="12.75" thickTop="1" thickBot="1">
      <c r="A27" s="131"/>
      <c r="B27" s="949" t="s">
        <v>844</v>
      </c>
      <c r="C27" s="950"/>
    </row>
    <row r="28" spans="1:6" ht="12.75" thickTop="1" thickBot="1">
      <c r="A28" s="937" t="s">
        <v>267</v>
      </c>
      <c r="B28" s="938"/>
      <c r="C28" s="939"/>
    </row>
    <row r="29" spans="1:6" ht="12" thickTop="1">
      <c r="A29" s="129"/>
      <c r="B29" s="951" t="s">
        <v>847</v>
      </c>
      <c r="C29" s="952" t="s">
        <v>211</v>
      </c>
    </row>
    <row r="30" spans="1:6">
      <c r="A30" s="363"/>
      <c r="B30" s="942" t="s">
        <v>215</v>
      </c>
      <c r="C30" s="943" t="s">
        <v>212</v>
      </c>
    </row>
    <row r="31" spans="1:6">
      <c r="A31" s="363"/>
      <c r="B31" s="942" t="s">
        <v>845</v>
      </c>
      <c r="C31" s="943" t="s">
        <v>213</v>
      </c>
    </row>
    <row r="32" spans="1:6">
      <c r="A32" s="363"/>
      <c r="B32" s="942" t="s">
        <v>846</v>
      </c>
      <c r="C32" s="943" t="s">
        <v>214</v>
      </c>
    </row>
    <row r="33" spans="1:3">
      <c r="A33" s="363"/>
      <c r="B33" s="942" t="s">
        <v>218</v>
      </c>
      <c r="C33" s="943" t="s">
        <v>219</v>
      </c>
    </row>
    <row r="34" spans="1:3">
      <c r="A34" s="363"/>
      <c r="B34" s="942" t="s">
        <v>848</v>
      </c>
      <c r="C34" s="943" t="s">
        <v>216</v>
      </c>
    </row>
    <row r="35" spans="1:3">
      <c r="A35" s="363"/>
      <c r="B35" s="942" t="s">
        <v>849</v>
      </c>
      <c r="C35" s="943" t="s">
        <v>217</v>
      </c>
    </row>
    <row r="36" spans="1:3">
      <c r="A36" s="363"/>
      <c r="B36" s="944" t="s">
        <v>850</v>
      </c>
      <c r="C36" s="945"/>
    </row>
    <row r="37" spans="1:3" ht="24.75" customHeight="1">
      <c r="A37" s="363"/>
      <c r="B37" s="942" t="s">
        <v>851</v>
      </c>
      <c r="C37" s="943" t="s">
        <v>220</v>
      </c>
    </row>
    <row r="38" spans="1:3" ht="23.25" customHeight="1">
      <c r="A38" s="363"/>
      <c r="B38" s="942" t="s">
        <v>852</v>
      </c>
      <c r="C38" s="943" t="s">
        <v>221</v>
      </c>
    </row>
    <row r="39" spans="1:3" ht="23.25" customHeight="1">
      <c r="A39" s="391"/>
      <c r="B39" s="944" t="s">
        <v>853</v>
      </c>
      <c r="C39" s="946"/>
    </row>
    <row r="40" spans="1:3" ht="12" customHeight="1">
      <c r="A40" s="363"/>
      <c r="B40" s="942" t="s">
        <v>854</v>
      </c>
      <c r="C40" s="943"/>
    </row>
    <row r="41" spans="1:3" ht="12" thickBot="1">
      <c r="A41" s="937" t="s">
        <v>268</v>
      </c>
      <c r="B41" s="938"/>
      <c r="C41" s="939"/>
    </row>
    <row r="42" spans="1:3" ht="12" thickTop="1">
      <c r="A42" s="129"/>
      <c r="B42" s="940" t="s">
        <v>298</v>
      </c>
      <c r="C42" s="941" t="s">
        <v>222</v>
      </c>
    </row>
    <row r="43" spans="1:3">
      <c r="A43" s="363"/>
      <c r="B43" s="917" t="s">
        <v>297</v>
      </c>
      <c r="C43" s="918"/>
    </row>
    <row r="44" spans="1:3" ht="23.25" customHeight="1" thickBot="1">
      <c r="A44" s="130"/>
      <c r="B44" s="935" t="s">
        <v>223</v>
      </c>
      <c r="C44" s="936" t="s">
        <v>224</v>
      </c>
    </row>
    <row r="45" spans="1:3" ht="11.25" customHeight="1" thickTop="1" thickBot="1">
      <c r="A45" s="937" t="s">
        <v>269</v>
      </c>
      <c r="B45" s="938"/>
      <c r="C45" s="939"/>
    </row>
    <row r="46" spans="1:3" ht="26.25" customHeight="1" thickTop="1">
      <c r="A46" s="363"/>
      <c r="B46" s="917" t="s">
        <v>270</v>
      </c>
      <c r="C46" s="918"/>
    </row>
    <row r="47" spans="1:3" ht="12" thickBot="1">
      <c r="A47" s="937" t="s">
        <v>271</v>
      </c>
      <c r="B47" s="938"/>
      <c r="C47" s="939"/>
    </row>
    <row r="48" spans="1:3" ht="12" thickTop="1">
      <c r="A48" s="129"/>
      <c r="B48" s="940" t="s">
        <v>225</v>
      </c>
      <c r="C48" s="941" t="s">
        <v>225</v>
      </c>
    </row>
    <row r="49" spans="1:3" ht="11.25" customHeight="1">
      <c r="A49" s="363"/>
      <c r="B49" s="917" t="s">
        <v>226</v>
      </c>
      <c r="C49" s="918" t="s">
        <v>226</v>
      </c>
    </row>
    <row r="50" spans="1:3">
      <c r="A50" s="363"/>
      <c r="B50" s="917" t="s">
        <v>227</v>
      </c>
      <c r="C50" s="918" t="s">
        <v>227</v>
      </c>
    </row>
    <row r="51" spans="1:3" ht="11.25" customHeight="1">
      <c r="A51" s="363"/>
      <c r="B51" s="917" t="s">
        <v>856</v>
      </c>
      <c r="C51" s="918" t="s">
        <v>228</v>
      </c>
    </row>
    <row r="52" spans="1:3" ht="33.6" customHeight="1">
      <c r="A52" s="363"/>
      <c r="B52" s="917" t="s">
        <v>229</v>
      </c>
      <c r="C52" s="918" t="s">
        <v>229</v>
      </c>
    </row>
    <row r="53" spans="1:3" ht="11.25" customHeight="1">
      <c r="A53" s="363"/>
      <c r="B53" s="917" t="s">
        <v>318</v>
      </c>
      <c r="C53" s="918" t="s">
        <v>230</v>
      </c>
    </row>
    <row r="54" spans="1:3" ht="11.25" customHeight="1" thickBot="1">
      <c r="A54" s="937" t="s">
        <v>272</v>
      </c>
      <c r="B54" s="938"/>
      <c r="C54" s="939"/>
    </row>
    <row r="55" spans="1:3" ht="12" thickTop="1">
      <c r="A55" s="129"/>
      <c r="B55" s="940" t="s">
        <v>225</v>
      </c>
      <c r="C55" s="941" t="s">
        <v>225</v>
      </c>
    </row>
    <row r="56" spans="1:3">
      <c r="A56" s="363"/>
      <c r="B56" s="917" t="s">
        <v>231</v>
      </c>
      <c r="C56" s="918" t="s">
        <v>231</v>
      </c>
    </row>
    <row r="57" spans="1:3">
      <c r="A57" s="363"/>
      <c r="B57" s="917" t="s">
        <v>275</v>
      </c>
      <c r="C57" s="918" t="s">
        <v>232</v>
      </c>
    </row>
    <row r="58" spans="1:3">
      <c r="A58" s="363"/>
      <c r="B58" s="917" t="s">
        <v>233</v>
      </c>
      <c r="C58" s="918" t="s">
        <v>233</v>
      </c>
    </row>
    <row r="59" spans="1:3">
      <c r="A59" s="363"/>
      <c r="B59" s="917" t="s">
        <v>234</v>
      </c>
      <c r="C59" s="918" t="s">
        <v>234</v>
      </c>
    </row>
    <row r="60" spans="1:3">
      <c r="A60" s="363"/>
      <c r="B60" s="917" t="s">
        <v>235</v>
      </c>
      <c r="C60" s="918" t="s">
        <v>235</v>
      </c>
    </row>
    <row r="61" spans="1:3">
      <c r="A61" s="363"/>
      <c r="B61" s="917" t="s">
        <v>276</v>
      </c>
      <c r="C61" s="918" t="s">
        <v>236</v>
      </c>
    </row>
    <row r="62" spans="1:3">
      <c r="A62" s="363"/>
      <c r="B62" s="917" t="s">
        <v>237</v>
      </c>
      <c r="C62" s="918" t="s">
        <v>237</v>
      </c>
    </row>
    <row r="63" spans="1:3" ht="12" thickBot="1">
      <c r="A63" s="130"/>
      <c r="B63" s="935" t="s">
        <v>238</v>
      </c>
      <c r="C63" s="936" t="s">
        <v>238</v>
      </c>
    </row>
    <row r="64" spans="1:3" ht="11.25" customHeight="1" thickTop="1">
      <c r="A64" s="923" t="s">
        <v>273</v>
      </c>
      <c r="B64" s="924"/>
      <c r="C64" s="925"/>
    </row>
    <row r="65" spans="1:3" ht="12" thickBot="1">
      <c r="A65" s="130"/>
      <c r="B65" s="935" t="s">
        <v>239</v>
      </c>
      <c r="C65" s="936" t="s">
        <v>239</v>
      </c>
    </row>
    <row r="66" spans="1:3" ht="11.25" customHeight="1" thickTop="1" thickBot="1">
      <c r="A66" s="937" t="s">
        <v>274</v>
      </c>
      <c r="B66" s="938"/>
      <c r="C66" s="939"/>
    </row>
    <row r="67" spans="1:3" ht="12" thickTop="1">
      <c r="A67" s="129"/>
      <c r="B67" s="940" t="s">
        <v>240</v>
      </c>
      <c r="C67" s="941" t="s">
        <v>240</v>
      </c>
    </row>
    <row r="68" spans="1:3">
      <c r="A68" s="363"/>
      <c r="B68" s="917" t="s">
        <v>858</v>
      </c>
      <c r="C68" s="918" t="s">
        <v>241</v>
      </c>
    </row>
    <row r="69" spans="1:3">
      <c r="A69" s="363"/>
      <c r="B69" s="917" t="s">
        <v>242</v>
      </c>
      <c r="C69" s="918" t="s">
        <v>242</v>
      </c>
    </row>
    <row r="70" spans="1:3" ht="54.95" customHeight="1">
      <c r="A70" s="363"/>
      <c r="B70" s="933" t="s">
        <v>687</v>
      </c>
      <c r="C70" s="934" t="s">
        <v>243</v>
      </c>
    </row>
    <row r="71" spans="1:3" ht="33.75" customHeight="1">
      <c r="A71" s="363"/>
      <c r="B71" s="933" t="s">
        <v>277</v>
      </c>
      <c r="C71" s="934" t="s">
        <v>244</v>
      </c>
    </row>
    <row r="72" spans="1:3" ht="15.75" customHeight="1">
      <c r="A72" s="363"/>
      <c r="B72" s="933" t="s">
        <v>859</v>
      </c>
      <c r="C72" s="934" t="s">
        <v>245</v>
      </c>
    </row>
    <row r="73" spans="1:3">
      <c r="A73" s="363"/>
      <c r="B73" s="917" t="s">
        <v>246</v>
      </c>
      <c r="C73" s="918" t="s">
        <v>246</v>
      </c>
    </row>
    <row r="74" spans="1:3" ht="12" thickBot="1">
      <c r="A74" s="130"/>
      <c r="B74" s="935" t="s">
        <v>247</v>
      </c>
      <c r="C74" s="936" t="s">
        <v>247</v>
      </c>
    </row>
    <row r="75" spans="1:3" ht="12" thickTop="1">
      <c r="A75" s="923" t="s">
        <v>301</v>
      </c>
      <c r="B75" s="924"/>
      <c r="C75" s="925"/>
    </row>
    <row r="76" spans="1:3">
      <c r="A76" s="363"/>
      <c r="B76" s="917" t="s">
        <v>239</v>
      </c>
      <c r="C76" s="918"/>
    </row>
    <row r="77" spans="1:3">
      <c r="A77" s="363"/>
      <c r="B77" s="917" t="s">
        <v>299</v>
      </c>
      <c r="C77" s="918"/>
    </row>
    <row r="78" spans="1:3">
      <c r="A78" s="363"/>
      <c r="B78" s="917" t="s">
        <v>300</v>
      </c>
      <c r="C78" s="918"/>
    </row>
    <row r="79" spans="1:3">
      <c r="A79" s="923" t="s">
        <v>302</v>
      </c>
      <c r="B79" s="924"/>
      <c r="C79" s="925"/>
    </row>
    <row r="80" spans="1:3">
      <c r="A80" s="363"/>
      <c r="B80" s="917" t="s">
        <v>239</v>
      </c>
      <c r="C80" s="918"/>
    </row>
    <row r="81" spans="1:3">
      <c r="A81" s="363"/>
      <c r="B81" s="917" t="s">
        <v>303</v>
      </c>
      <c r="C81" s="918"/>
    </row>
    <row r="82" spans="1:3" ht="79.5" customHeight="1">
      <c r="A82" s="363"/>
      <c r="B82" s="917" t="s">
        <v>317</v>
      </c>
      <c r="C82" s="918"/>
    </row>
    <row r="83" spans="1:3" ht="53.25" customHeight="1">
      <c r="A83" s="363"/>
      <c r="B83" s="917" t="s">
        <v>316</v>
      </c>
      <c r="C83" s="918"/>
    </row>
    <row r="84" spans="1:3">
      <c r="A84" s="363"/>
      <c r="B84" s="917" t="s">
        <v>304</v>
      </c>
      <c r="C84" s="918"/>
    </row>
    <row r="85" spans="1:3">
      <c r="A85" s="363"/>
      <c r="B85" s="917" t="s">
        <v>305</v>
      </c>
      <c r="C85" s="918"/>
    </row>
    <row r="86" spans="1:3">
      <c r="A86" s="363"/>
      <c r="B86" s="917" t="s">
        <v>306</v>
      </c>
      <c r="C86" s="918"/>
    </row>
    <row r="87" spans="1:3">
      <c r="A87" s="923" t="s">
        <v>307</v>
      </c>
      <c r="B87" s="924"/>
      <c r="C87" s="925"/>
    </row>
    <row r="88" spans="1:3">
      <c r="A88" s="363"/>
      <c r="B88" s="917" t="s">
        <v>239</v>
      </c>
      <c r="C88" s="918"/>
    </row>
    <row r="89" spans="1:3">
      <c r="A89" s="363"/>
      <c r="B89" s="917" t="s">
        <v>309</v>
      </c>
      <c r="C89" s="918"/>
    </row>
    <row r="90" spans="1:3" ht="12" customHeight="1">
      <c r="A90" s="363"/>
      <c r="B90" s="917" t="s">
        <v>310</v>
      </c>
      <c r="C90" s="918"/>
    </row>
    <row r="91" spans="1:3">
      <c r="A91" s="363"/>
      <c r="B91" s="917" t="s">
        <v>311</v>
      </c>
      <c r="C91" s="918"/>
    </row>
    <row r="92" spans="1:3" ht="24.75" customHeight="1">
      <c r="A92" s="363"/>
      <c r="B92" s="926" t="s">
        <v>347</v>
      </c>
      <c r="C92" s="927"/>
    </row>
    <row r="93" spans="1:3" ht="24" customHeight="1">
      <c r="A93" s="363"/>
      <c r="B93" s="926" t="s">
        <v>348</v>
      </c>
      <c r="C93" s="927"/>
    </row>
    <row r="94" spans="1:3" ht="13.5" customHeight="1">
      <c r="A94" s="363"/>
      <c r="B94" s="928" t="s">
        <v>312</v>
      </c>
      <c r="C94" s="929"/>
    </row>
    <row r="95" spans="1:3" ht="11.25" customHeight="1" thickBot="1">
      <c r="A95" s="930" t="s">
        <v>343</v>
      </c>
      <c r="B95" s="931"/>
      <c r="C95" s="932"/>
    </row>
    <row r="96" spans="1:3" ht="12.75" thickTop="1" thickBot="1">
      <c r="A96" s="922" t="s">
        <v>248</v>
      </c>
      <c r="B96" s="922"/>
      <c r="C96" s="922"/>
    </row>
    <row r="97" spans="1:3">
      <c r="A97" s="204">
        <v>2</v>
      </c>
      <c r="B97" s="348" t="s">
        <v>323</v>
      </c>
      <c r="C97" s="348" t="s">
        <v>344</v>
      </c>
    </row>
    <row r="98" spans="1:3">
      <c r="A98" s="134">
        <v>3</v>
      </c>
      <c r="B98" s="349" t="s">
        <v>324</v>
      </c>
      <c r="C98" s="350" t="s">
        <v>345</v>
      </c>
    </row>
    <row r="99" spans="1:3">
      <c r="A99" s="134">
        <v>4</v>
      </c>
      <c r="B99" s="349" t="s">
        <v>325</v>
      </c>
      <c r="C99" s="350" t="s">
        <v>349</v>
      </c>
    </row>
    <row r="100" spans="1:3" ht="11.25" customHeight="1">
      <c r="A100" s="134">
        <v>5</v>
      </c>
      <c r="B100" s="349" t="s">
        <v>326</v>
      </c>
      <c r="C100" s="350" t="s">
        <v>346</v>
      </c>
    </row>
    <row r="101" spans="1:3" ht="12" customHeight="1">
      <c r="A101" s="134">
        <v>6</v>
      </c>
      <c r="B101" s="349" t="s">
        <v>341</v>
      </c>
      <c r="C101" s="350" t="s">
        <v>327</v>
      </c>
    </row>
    <row r="102" spans="1:3" ht="12" customHeight="1">
      <c r="A102" s="134">
        <v>7</v>
      </c>
      <c r="B102" s="349" t="s">
        <v>328</v>
      </c>
      <c r="C102" s="350" t="s">
        <v>342</v>
      </c>
    </row>
    <row r="103" spans="1:3">
      <c r="A103" s="134">
        <v>8</v>
      </c>
      <c r="B103" s="349" t="s">
        <v>333</v>
      </c>
      <c r="C103" s="350" t="s">
        <v>353</v>
      </c>
    </row>
    <row r="104" spans="1:3" ht="11.25" customHeight="1">
      <c r="A104" s="923" t="s">
        <v>313</v>
      </c>
      <c r="B104" s="924"/>
      <c r="C104" s="925"/>
    </row>
    <row r="105" spans="1:3" ht="12" customHeight="1">
      <c r="A105" s="363"/>
      <c r="B105" s="917" t="s">
        <v>239</v>
      </c>
      <c r="C105" s="918"/>
    </row>
    <row r="106" spans="1:3">
      <c r="A106" s="923" t="s">
        <v>488</v>
      </c>
      <c r="B106" s="924"/>
      <c r="C106" s="925"/>
    </row>
    <row r="107" spans="1:3" ht="12" customHeight="1">
      <c r="A107" s="363"/>
      <c r="B107" s="917" t="s">
        <v>490</v>
      </c>
      <c r="C107" s="918"/>
    </row>
    <row r="108" spans="1:3">
      <c r="A108" s="363"/>
      <c r="B108" s="917" t="s">
        <v>491</v>
      </c>
      <c r="C108" s="918"/>
    </row>
    <row r="109" spans="1:3">
      <c r="A109" s="363"/>
      <c r="B109" s="917" t="s">
        <v>489</v>
      </c>
      <c r="C109" s="918"/>
    </row>
    <row r="110" spans="1:3">
      <c r="A110" s="914" t="s">
        <v>723</v>
      </c>
      <c r="B110" s="914"/>
      <c r="C110" s="914"/>
    </row>
    <row r="111" spans="1:3">
      <c r="A111" s="919" t="s">
        <v>186</v>
      </c>
      <c r="B111" s="919"/>
      <c r="C111" s="919"/>
    </row>
    <row r="112" spans="1:3">
      <c r="A112" s="514">
        <v>1</v>
      </c>
      <c r="B112" s="904" t="s">
        <v>606</v>
      </c>
      <c r="C112" s="905"/>
    </row>
    <row r="113" spans="1:3">
      <c r="A113" s="514">
        <v>2</v>
      </c>
      <c r="B113" s="920" t="s">
        <v>607</v>
      </c>
      <c r="C113" s="921"/>
    </row>
    <row r="114" spans="1:3">
      <c r="A114" s="514">
        <v>3</v>
      </c>
      <c r="B114" s="904" t="s">
        <v>933</v>
      </c>
      <c r="C114" s="905"/>
    </row>
    <row r="115" spans="1:3">
      <c r="A115" s="514">
        <v>4</v>
      </c>
      <c r="B115" s="904" t="s">
        <v>932</v>
      </c>
      <c r="C115" s="905"/>
    </row>
    <row r="116" spans="1:3">
      <c r="A116" s="514">
        <v>5</v>
      </c>
      <c r="B116" s="518" t="s">
        <v>931</v>
      </c>
      <c r="C116" s="517"/>
    </row>
    <row r="117" spans="1:3">
      <c r="A117" s="514">
        <v>6</v>
      </c>
      <c r="B117" s="904" t="s">
        <v>943</v>
      </c>
      <c r="C117" s="905"/>
    </row>
    <row r="118" spans="1:3" ht="48.6" customHeight="1">
      <c r="A118" s="514">
        <v>7</v>
      </c>
      <c r="B118" s="904" t="s">
        <v>944</v>
      </c>
      <c r="C118" s="905"/>
    </row>
    <row r="119" spans="1:3">
      <c r="A119" s="488">
        <v>8</v>
      </c>
      <c r="B119" s="485" t="s">
        <v>633</v>
      </c>
      <c r="C119" s="511" t="s">
        <v>930</v>
      </c>
    </row>
    <row r="120" spans="1:3" ht="22.5">
      <c r="A120" s="514">
        <v>9.01</v>
      </c>
      <c r="B120" s="485" t="s">
        <v>517</v>
      </c>
      <c r="C120" s="498" t="s">
        <v>682</v>
      </c>
    </row>
    <row r="121" spans="1:3" ht="33.75">
      <c r="A121" s="514">
        <v>9.02</v>
      </c>
      <c r="B121" s="485" t="s">
        <v>518</v>
      </c>
      <c r="C121" s="498" t="s">
        <v>685</v>
      </c>
    </row>
    <row r="122" spans="1:3">
      <c r="A122" s="514">
        <v>9.0299999999999994</v>
      </c>
      <c r="B122" s="501" t="s">
        <v>867</v>
      </c>
      <c r="C122" s="501" t="s">
        <v>608</v>
      </c>
    </row>
    <row r="123" spans="1:3">
      <c r="A123" s="514">
        <v>9.0399999999999991</v>
      </c>
      <c r="B123" s="485" t="s">
        <v>519</v>
      </c>
      <c r="C123" s="501" t="s">
        <v>609</v>
      </c>
    </row>
    <row r="124" spans="1:3">
      <c r="A124" s="514">
        <v>9.0500000000000007</v>
      </c>
      <c r="B124" s="485" t="s">
        <v>520</v>
      </c>
      <c r="C124" s="501" t="s">
        <v>610</v>
      </c>
    </row>
    <row r="125" spans="1:3" ht="22.5">
      <c r="A125" s="514">
        <v>9.06</v>
      </c>
      <c r="B125" s="485" t="s">
        <v>521</v>
      </c>
      <c r="C125" s="501" t="s">
        <v>611</v>
      </c>
    </row>
    <row r="126" spans="1:3">
      <c r="A126" s="514">
        <v>9.07</v>
      </c>
      <c r="B126" s="516" t="s">
        <v>522</v>
      </c>
      <c r="C126" s="501" t="s">
        <v>612</v>
      </c>
    </row>
    <row r="127" spans="1:3" ht="22.5">
      <c r="A127" s="514">
        <v>9.08</v>
      </c>
      <c r="B127" s="485" t="s">
        <v>523</v>
      </c>
      <c r="C127" s="501" t="s">
        <v>613</v>
      </c>
    </row>
    <row r="128" spans="1:3" ht="22.5">
      <c r="A128" s="514">
        <v>9.09</v>
      </c>
      <c r="B128" s="485" t="s">
        <v>524</v>
      </c>
      <c r="C128" s="501" t="s">
        <v>614</v>
      </c>
    </row>
    <row r="129" spans="1:3">
      <c r="A129" s="515">
        <v>9.1</v>
      </c>
      <c r="B129" s="485" t="s">
        <v>525</v>
      </c>
      <c r="C129" s="501" t="s">
        <v>615</v>
      </c>
    </row>
    <row r="130" spans="1:3">
      <c r="A130" s="514">
        <v>9.11</v>
      </c>
      <c r="B130" s="485" t="s">
        <v>526</v>
      </c>
      <c r="C130" s="501" t="s">
        <v>616</v>
      </c>
    </row>
    <row r="131" spans="1:3">
      <c r="A131" s="514">
        <v>9.1199999999999992</v>
      </c>
      <c r="B131" s="485" t="s">
        <v>527</v>
      </c>
      <c r="C131" s="501" t="s">
        <v>617</v>
      </c>
    </row>
    <row r="132" spans="1:3">
      <c r="A132" s="514">
        <v>9.1300000000000008</v>
      </c>
      <c r="B132" s="485" t="s">
        <v>528</v>
      </c>
      <c r="C132" s="501" t="s">
        <v>618</v>
      </c>
    </row>
    <row r="133" spans="1:3">
      <c r="A133" s="514">
        <v>9.14</v>
      </c>
      <c r="B133" s="485" t="s">
        <v>529</v>
      </c>
      <c r="C133" s="501" t="s">
        <v>619</v>
      </c>
    </row>
    <row r="134" spans="1:3">
      <c r="A134" s="514">
        <v>9.15</v>
      </c>
      <c r="B134" s="485" t="s">
        <v>530</v>
      </c>
      <c r="C134" s="501" t="s">
        <v>620</v>
      </c>
    </row>
    <row r="135" spans="1:3" ht="22.5">
      <c r="A135" s="514">
        <v>9.16</v>
      </c>
      <c r="B135" s="485" t="s">
        <v>531</v>
      </c>
      <c r="C135" s="501" t="s">
        <v>621</v>
      </c>
    </row>
    <row r="136" spans="1:3">
      <c r="A136" s="514">
        <v>9.17</v>
      </c>
      <c r="B136" s="501" t="s">
        <v>532</v>
      </c>
      <c r="C136" s="501" t="s">
        <v>622</v>
      </c>
    </row>
    <row r="137" spans="1:3" ht="22.5">
      <c r="A137" s="514">
        <v>9.18</v>
      </c>
      <c r="B137" s="485" t="s">
        <v>533</v>
      </c>
      <c r="C137" s="501" t="s">
        <v>623</v>
      </c>
    </row>
    <row r="138" spans="1:3">
      <c r="A138" s="514">
        <v>9.19</v>
      </c>
      <c r="B138" s="485" t="s">
        <v>534</v>
      </c>
      <c r="C138" s="501" t="s">
        <v>624</v>
      </c>
    </row>
    <row r="139" spans="1:3">
      <c r="A139" s="515">
        <v>9.1999999999999993</v>
      </c>
      <c r="B139" s="485" t="s">
        <v>535</v>
      </c>
      <c r="C139" s="501" t="s">
        <v>625</v>
      </c>
    </row>
    <row r="140" spans="1:3">
      <c r="A140" s="514">
        <v>9.2100000000000009</v>
      </c>
      <c r="B140" s="485" t="s">
        <v>536</v>
      </c>
      <c r="C140" s="501" t="s">
        <v>626</v>
      </c>
    </row>
    <row r="141" spans="1:3">
      <c r="A141" s="514">
        <v>9.2200000000000006</v>
      </c>
      <c r="B141" s="485" t="s">
        <v>537</v>
      </c>
      <c r="C141" s="501" t="s">
        <v>627</v>
      </c>
    </row>
    <row r="142" spans="1:3" ht="22.5">
      <c r="A142" s="514">
        <v>9.23</v>
      </c>
      <c r="B142" s="485" t="s">
        <v>538</v>
      </c>
      <c r="C142" s="501" t="s">
        <v>628</v>
      </c>
    </row>
    <row r="143" spans="1:3" ht="22.5">
      <c r="A143" s="514">
        <v>9.24</v>
      </c>
      <c r="B143" s="485" t="s">
        <v>539</v>
      </c>
      <c r="C143" s="501" t="s">
        <v>629</v>
      </c>
    </row>
    <row r="144" spans="1:3">
      <c r="A144" s="514">
        <v>9.2500000000000107</v>
      </c>
      <c r="B144" s="485" t="s">
        <v>540</v>
      </c>
      <c r="C144" s="501" t="s">
        <v>630</v>
      </c>
    </row>
    <row r="145" spans="1:3" ht="22.5">
      <c r="A145" s="514">
        <v>9.2600000000000193</v>
      </c>
      <c r="B145" s="485" t="s">
        <v>631</v>
      </c>
      <c r="C145" s="513" t="s">
        <v>632</v>
      </c>
    </row>
    <row r="146" spans="1:3" s="364" customFormat="1" ht="22.5">
      <c r="A146" s="514">
        <v>9.2700000000000298</v>
      </c>
      <c r="B146" s="485" t="s">
        <v>99</v>
      </c>
      <c r="C146" s="513" t="s">
        <v>683</v>
      </c>
    </row>
    <row r="147" spans="1:3" s="364" customFormat="1">
      <c r="A147" s="489"/>
      <c r="B147" s="900" t="s">
        <v>634</v>
      </c>
      <c r="C147" s="901"/>
    </row>
    <row r="148" spans="1:3" s="364" customFormat="1">
      <c r="A148" s="488">
        <v>1</v>
      </c>
      <c r="B148" s="906" t="s">
        <v>929</v>
      </c>
      <c r="C148" s="907"/>
    </row>
    <row r="149" spans="1:3" s="364" customFormat="1">
      <c r="A149" s="488">
        <v>2</v>
      </c>
      <c r="B149" s="906" t="s">
        <v>684</v>
      </c>
      <c r="C149" s="907"/>
    </row>
    <row r="150" spans="1:3" s="364" customFormat="1">
      <c r="A150" s="488">
        <v>3</v>
      </c>
      <c r="B150" s="906" t="s">
        <v>681</v>
      </c>
      <c r="C150" s="907"/>
    </row>
    <row r="151" spans="1:3" s="364" customFormat="1">
      <c r="A151" s="489"/>
      <c r="B151" s="900" t="s">
        <v>635</v>
      </c>
      <c r="C151" s="901"/>
    </row>
    <row r="152" spans="1:3" s="364" customFormat="1">
      <c r="A152" s="488">
        <v>1</v>
      </c>
      <c r="B152" s="908" t="s">
        <v>928</v>
      </c>
      <c r="C152" s="909"/>
    </row>
    <row r="153" spans="1:3" s="364" customFormat="1">
      <c r="A153" s="488">
        <v>2</v>
      </c>
      <c r="B153" s="485" t="s">
        <v>865</v>
      </c>
      <c r="C153" s="511" t="s">
        <v>948</v>
      </c>
    </row>
    <row r="154" spans="1:3" ht="22.5">
      <c r="A154" s="488">
        <v>3</v>
      </c>
      <c r="B154" s="485" t="s">
        <v>864</v>
      </c>
      <c r="C154" s="511" t="s">
        <v>927</v>
      </c>
    </row>
    <row r="155" spans="1:3">
      <c r="A155" s="488">
        <v>4</v>
      </c>
      <c r="B155" s="485" t="s">
        <v>510</v>
      </c>
      <c r="C155" s="485" t="s">
        <v>949</v>
      </c>
    </row>
    <row r="156" spans="1:3" ht="24.95" customHeight="1">
      <c r="A156" s="489"/>
      <c r="B156" s="900" t="s">
        <v>636</v>
      </c>
      <c r="C156" s="901"/>
    </row>
    <row r="157" spans="1:3" ht="33.75">
      <c r="A157" s="488"/>
      <c r="B157" s="485" t="s">
        <v>916</v>
      </c>
      <c r="C157" s="490" t="s">
        <v>950</v>
      </c>
    </row>
    <row r="158" spans="1:3">
      <c r="A158" s="489"/>
      <c r="B158" s="900" t="s">
        <v>637</v>
      </c>
      <c r="C158" s="901"/>
    </row>
    <row r="159" spans="1:3" ht="39" customHeight="1">
      <c r="A159" s="489"/>
      <c r="B159" s="902" t="s">
        <v>926</v>
      </c>
      <c r="C159" s="903"/>
    </row>
    <row r="160" spans="1:3">
      <c r="A160" s="489" t="s">
        <v>638</v>
      </c>
      <c r="B160" s="512" t="s">
        <v>548</v>
      </c>
      <c r="C160" s="503" t="s">
        <v>639</v>
      </c>
    </row>
    <row r="161" spans="1:3">
      <c r="A161" s="489" t="s">
        <v>368</v>
      </c>
      <c r="B161" s="509" t="s">
        <v>549</v>
      </c>
      <c r="C161" s="511" t="s">
        <v>925</v>
      </c>
    </row>
    <row r="162" spans="1:3" ht="22.5">
      <c r="A162" s="489" t="s">
        <v>375</v>
      </c>
      <c r="B162" s="503" t="s">
        <v>550</v>
      </c>
      <c r="C162" s="511" t="s">
        <v>640</v>
      </c>
    </row>
    <row r="163" spans="1:3">
      <c r="A163" s="489" t="s">
        <v>641</v>
      </c>
      <c r="B163" s="509" t="s">
        <v>551</v>
      </c>
      <c r="C163" s="510" t="s">
        <v>642</v>
      </c>
    </row>
    <row r="164" spans="1:3" ht="22.5">
      <c r="A164" s="489" t="s">
        <v>643</v>
      </c>
      <c r="B164" s="509" t="s">
        <v>880</v>
      </c>
      <c r="C164" s="508" t="s">
        <v>924</v>
      </c>
    </row>
    <row r="165" spans="1:3" ht="22.5">
      <c r="A165" s="489" t="s">
        <v>376</v>
      </c>
      <c r="B165" s="509" t="s">
        <v>552</v>
      </c>
      <c r="C165" s="508" t="s">
        <v>645</v>
      </c>
    </row>
    <row r="166" spans="1:3" ht="22.5">
      <c r="A166" s="489" t="s">
        <v>644</v>
      </c>
      <c r="B166" s="506" t="s">
        <v>555</v>
      </c>
      <c r="C166" s="507" t="s">
        <v>652</v>
      </c>
    </row>
    <row r="167" spans="1:3" ht="22.5">
      <c r="A167" s="489" t="s">
        <v>646</v>
      </c>
      <c r="B167" s="506" t="s">
        <v>553</v>
      </c>
      <c r="C167" s="508" t="s">
        <v>648</v>
      </c>
    </row>
    <row r="168" spans="1:3" ht="26.45" customHeight="1">
      <c r="A168" s="489" t="s">
        <v>647</v>
      </c>
      <c r="B168" s="506" t="s">
        <v>554</v>
      </c>
      <c r="C168" s="507" t="s">
        <v>650</v>
      </c>
    </row>
    <row r="169" spans="1:3" ht="22.5">
      <c r="A169" s="489" t="s">
        <v>649</v>
      </c>
      <c r="B169" s="483" t="s">
        <v>556</v>
      </c>
      <c r="C169" s="507" t="s">
        <v>654</v>
      </c>
    </row>
    <row r="170" spans="1:3" ht="22.5">
      <c r="A170" s="489" t="s">
        <v>651</v>
      </c>
      <c r="B170" s="506" t="s">
        <v>557</v>
      </c>
      <c r="C170" s="505" t="s">
        <v>655</v>
      </c>
    </row>
    <row r="171" spans="1:3">
      <c r="A171" s="489" t="s">
        <v>653</v>
      </c>
      <c r="B171" s="504" t="s">
        <v>558</v>
      </c>
      <c r="C171" s="503" t="s">
        <v>656</v>
      </c>
    </row>
    <row r="172" spans="1:3" ht="22.5">
      <c r="A172" s="489"/>
      <c r="B172" s="502" t="s">
        <v>923</v>
      </c>
      <c r="C172" s="501" t="s">
        <v>657</v>
      </c>
    </row>
    <row r="173" spans="1:3" ht="22.5">
      <c r="A173" s="489"/>
      <c r="B173" s="502" t="s">
        <v>922</v>
      </c>
      <c r="C173" s="501" t="s">
        <v>658</v>
      </c>
    </row>
    <row r="174" spans="1:3" ht="22.5">
      <c r="A174" s="489"/>
      <c r="B174" s="502" t="s">
        <v>921</v>
      </c>
      <c r="C174" s="501" t="s">
        <v>659</v>
      </c>
    </row>
    <row r="175" spans="1:3">
      <c r="A175" s="489"/>
      <c r="B175" s="900" t="s">
        <v>660</v>
      </c>
      <c r="C175" s="901"/>
    </row>
    <row r="176" spans="1:3">
      <c r="A176" s="489"/>
      <c r="B176" s="906" t="s">
        <v>920</v>
      </c>
      <c r="C176" s="907"/>
    </row>
    <row r="177" spans="1:3">
      <c r="A177" s="488">
        <v>1</v>
      </c>
      <c r="B177" s="501" t="s">
        <v>562</v>
      </c>
      <c r="C177" s="501" t="s">
        <v>562</v>
      </c>
    </row>
    <row r="178" spans="1:3" ht="33.75">
      <c r="A178" s="488">
        <v>2</v>
      </c>
      <c r="B178" s="501" t="s">
        <v>661</v>
      </c>
      <c r="C178" s="501" t="s">
        <v>662</v>
      </c>
    </row>
    <row r="179" spans="1:3">
      <c r="A179" s="488">
        <v>3</v>
      </c>
      <c r="B179" s="501" t="s">
        <v>564</v>
      </c>
      <c r="C179" s="501" t="s">
        <v>663</v>
      </c>
    </row>
    <row r="180" spans="1:3" ht="22.5">
      <c r="A180" s="488">
        <v>4</v>
      </c>
      <c r="B180" s="501" t="s">
        <v>565</v>
      </c>
      <c r="C180" s="501" t="s">
        <v>664</v>
      </c>
    </row>
    <row r="181" spans="1:3" ht="22.5">
      <c r="A181" s="488">
        <v>5</v>
      </c>
      <c r="B181" s="501" t="s">
        <v>566</v>
      </c>
      <c r="C181" s="501" t="s">
        <v>686</v>
      </c>
    </row>
    <row r="182" spans="1:3" ht="45">
      <c r="A182" s="488">
        <v>6</v>
      </c>
      <c r="B182" s="501" t="s">
        <v>567</v>
      </c>
      <c r="C182" s="501" t="s">
        <v>665</v>
      </c>
    </row>
    <row r="183" spans="1:3">
      <c r="A183" s="489"/>
      <c r="B183" s="900" t="s">
        <v>666</v>
      </c>
      <c r="C183" s="901"/>
    </row>
    <row r="184" spans="1:3">
      <c r="A184" s="489"/>
      <c r="B184" s="911" t="s">
        <v>919</v>
      </c>
      <c r="C184" s="912"/>
    </row>
    <row r="185" spans="1:3" ht="22.5">
      <c r="A185" s="489">
        <v>1.1000000000000001</v>
      </c>
      <c r="B185" s="500" t="s">
        <v>572</v>
      </c>
      <c r="C185" s="498" t="s">
        <v>667</v>
      </c>
    </row>
    <row r="186" spans="1:3" ht="50.1" customHeight="1">
      <c r="A186" s="489" t="s">
        <v>157</v>
      </c>
      <c r="B186" s="484" t="s">
        <v>573</v>
      </c>
      <c r="C186" s="498" t="s">
        <v>668</v>
      </c>
    </row>
    <row r="187" spans="1:3">
      <c r="A187" s="489" t="s">
        <v>574</v>
      </c>
      <c r="B187" s="499" t="s">
        <v>575</v>
      </c>
      <c r="C187" s="913" t="s">
        <v>918</v>
      </c>
    </row>
    <row r="188" spans="1:3">
      <c r="A188" s="489" t="s">
        <v>576</v>
      </c>
      <c r="B188" s="499" t="s">
        <v>577</v>
      </c>
      <c r="C188" s="913"/>
    </row>
    <row r="189" spans="1:3">
      <c r="A189" s="489" t="s">
        <v>578</v>
      </c>
      <c r="B189" s="499" t="s">
        <v>579</v>
      </c>
      <c r="C189" s="913"/>
    </row>
    <row r="190" spans="1:3">
      <c r="A190" s="489" t="s">
        <v>580</v>
      </c>
      <c r="B190" s="499" t="s">
        <v>581</v>
      </c>
      <c r="C190" s="913"/>
    </row>
    <row r="191" spans="1:3" ht="25.5" customHeight="1">
      <c r="A191" s="489">
        <v>1.2</v>
      </c>
      <c r="B191" s="497" t="s">
        <v>894</v>
      </c>
      <c r="C191" s="482" t="s">
        <v>951</v>
      </c>
    </row>
    <row r="192" spans="1:3" ht="22.5">
      <c r="A192" s="489" t="s">
        <v>583</v>
      </c>
      <c r="B192" s="492" t="s">
        <v>584</v>
      </c>
      <c r="C192" s="495" t="s">
        <v>669</v>
      </c>
    </row>
    <row r="193" spans="1:4" ht="22.5">
      <c r="A193" s="489" t="s">
        <v>585</v>
      </c>
      <c r="B193" s="496" t="s">
        <v>586</v>
      </c>
      <c r="C193" s="495" t="s">
        <v>670</v>
      </c>
    </row>
    <row r="194" spans="1:4" ht="26.1" customHeight="1">
      <c r="A194" s="489" t="s">
        <v>587</v>
      </c>
      <c r="B194" s="494" t="s">
        <v>588</v>
      </c>
      <c r="C194" s="482" t="s">
        <v>671</v>
      </c>
    </row>
    <row r="195" spans="1:4" ht="22.5">
      <c r="A195" s="489" t="s">
        <v>589</v>
      </c>
      <c r="B195" s="493" t="s">
        <v>590</v>
      </c>
      <c r="C195" s="482" t="s">
        <v>672</v>
      </c>
      <c r="D195" s="365"/>
    </row>
    <row r="196" spans="1:4" ht="22.5">
      <c r="A196" s="489">
        <v>1.4</v>
      </c>
      <c r="B196" s="492" t="s">
        <v>679</v>
      </c>
      <c r="C196" s="491" t="s">
        <v>673</v>
      </c>
      <c r="D196" s="366"/>
    </row>
    <row r="197" spans="1:4" ht="12.75">
      <c r="A197" s="489">
        <v>1.5</v>
      </c>
      <c r="B197" s="492" t="s">
        <v>680</v>
      </c>
      <c r="C197" s="491" t="s">
        <v>673</v>
      </c>
      <c r="D197" s="367"/>
    </row>
    <row r="198" spans="1:4" ht="12.75">
      <c r="A198" s="489"/>
      <c r="B198" s="914" t="s">
        <v>674</v>
      </c>
      <c r="C198" s="914"/>
      <c r="D198" s="367"/>
    </row>
    <row r="199" spans="1:4" ht="12.75">
      <c r="A199" s="489"/>
      <c r="B199" s="911" t="s">
        <v>917</v>
      </c>
      <c r="C199" s="911"/>
      <c r="D199" s="367"/>
    </row>
    <row r="200" spans="1:4" ht="12.75">
      <c r="A200" s="488"/>
      <c r="B200" s="485" t="s">
        <v>916</v>
      </c>
      <c r="C200" s="490" t="s">
        <v>948</v>
      </c>
      <c r="D200" s="367"/>
    </row>
    <row r="201" spans="1:4" ht="12.75">
      <c r="A201" s="489"/>
      <c r="B201" s="914" t="s">
        <v>675</v>
      </c>
      <c r="C201" s="914"/>
      <c r="D201" s="368"/>
    </row>
    <row r="202" spans="1:4" ht="12.75">
      <c r="A202" s="488"/>
      <c r="B202" s="915" t="s">
        <v>915</v>
      </c>
      <c r="C202" s="915"/>
      <c r="D202" s="369"/>
    </row>
    <row r="203" spans="1:4" ht="12.75">
      <c r="B203" s="914" t="s">
        <v>713</v>
      </c>
      <c r="C203" s="914"/>
      <c r="D203" s="370"/>
    </row>
    <row r="204" spans="1:4" ht="22.5">
      <c r="A204" s="484">
        <v>1</v>
      </c>
      <c r="B204" s="485" t="s">
        <v>689</v>
      </c>
      <c r="C204" s="482" t="s">
        <v>701</v>
      </c>
      <c r="D204" s="369"/>
    </row>
    <row r="205" spans="1:4" ht="18" customHeight="1">
      <c r="A205" s="484">
        <v>2</v>
      </c>
      <c r="B205" s="485" t="s">
        <v>690</v>
      </c>
      <c r="C205" s="482" t="s">
        <v>702</v>
      </c>
      <c r="D205" s="370"/>
    </row>
    <row r="206" spans="1:4" ht="22.5">
      <c r="A206" s="484">
        <v>3</v>
      </c>
      <c r="B206" s="485" t="s">
        <v>691</v>
      </c>
      <c r="C206" s="485" t="s">
        <v>703</v>
      </c>
      <c r="D206" s="371"/>
    </row>
    <row r="207" spans="1:4" ht="12.75">
      <c r="A207" s="484">
        <v>4</v>
      </c>
      <c r="B207" s="485" t="s">
        <v>692</v>
      </c>
      <c r="C207" s="485" t="s">
        <v>704</v>
      </c>
      <c r="D207" s="371"/>
    </row>
    <row r="208" spans="1:4" ht="22.5">
      <c r="A208" s="484">
        <v>5</v>
      </c>
      <c r="B208" s="485" t="s">
        <v>693</v>
      </c>
      <c r="C208" s="485" t="s">
        <v>705</v>
      </c>
    </row>
    <row r="209" spans="1:3" ht="24.6" customHeight="1">
      <c r="A209" s="484">
        <v>6</v>
      </c>
      <c r="B209" s="485" t="s">
        <v>694</v>
      </c>
      <c r="C209" s="485" t="s">
        <v>706</v>
      </c>
    </row>
    <row r="210" spans="1:3" ht="22.5">
      <c r="A210" s="484">
        <v>7</v>
      </c>
      <c r="B210" s="485" t="s">
        <v>695</v>
      </c>
      <c r="C210" s="485" t="s">
        <v>707</v>
      </c>
    </row>
    <row r="211" spans="1:3">
      <c r="A211" s="484">
        <v>7.1</v>
      </c>
      <c r="B211" s="487" t="s">
        <v>696</v>
      </c>
      <c r="C211" s="485" t="s">
        <v>708</v>
      </c>
    </row>
    <row r="212" spans="1:3" ht="22.5">
      <c r="A212" s="484">
        <v>7.2</v>
      </c>
      <c r="B212" s="487" t="s">
        <v>697</v>
      </c>
      <c r="C212" s="485" t="s">
        <v>709</v>
      </c>
    </row>
    <row r="213" spans="1:3">
      <c r="A213" s="484">
        <v>7.3</v>
      </c>
      <c r="B213" s="486" t="s">
        <v>698</v>
      </c>
      <c r="C213" s="485" t="s">
        <v>710</v>
      </c>
    </row>
    <row r="214" spans="1:3" ht="39.6" customHeight="1">
      <c r="A214" s="484">
        <v>8</v>
      </c>
      <c r="B214" s="485" t="s">
        <v>699</v>
      </c>
      <c r="C214" s="482" t="s">
        <v>711</v>
      </c>
    </row>
    <row r="215" spans="1:3">
      <c r="A215" s="484">
        <v>9</v>
      </c>
      <c r="B215" s="485" t="s">
        <v>700</v>
      </c>
      <c r="C215" s="482" t="s">
        <v>712</v>
      </c>
    </row>
    <row r="216" spans="1:3" ht="22.5">
      <c r="A216" s="527">
        <v>10.1</v>
      </c>
      <c r="B216" s="528" t="s">
        <v>720</v>
      </c>
      <c r="C216" s="519" t="s">
        <v>721</v>
      </c>
    </row>
    <row r="217" spans="1:3">
      <c r="A217" s="916"/>
      <c r="B217" s="529" t="s">
        <v>907</v>
      </c>
      <c r="C217" s="482" t="s">
        <v>914</v>
      </c>
    </row>
    <row r="218" spans="1:3">
      <c r="A218" s="916"/>
      <c r="B218" s="483" t="s">
        <v>571</v>
      </c>
      <c r="C218" s="482" t="s">
        <v>913</v>
      </c>
    </row>
    <row r="219" spans="1:3">
      <c r="A219" s="916"/>
      <c r="B219" s="483" t="s">
        <v>906</v>
      </c>
      <c r="C219" s="482" t="s">
        <v>952</v>
      </c>
    </row>
    <row r="220" spans="1:3">
      <c r="A220" s="916"/>
      <c r="B220" s="483" t="s">
        <v>714</v>
      </c>
      <c r="C220" s="482" t="s">
        <v>912</v>
      </c>
    </row>
    <row r="221" spans="1:3" ht="22.5">
      <c r="A221" s="916"/>
      <c r="B221" s="483" t="s">
        <v>718</v>
      </c>
      <c r="C221" s="498" t="s">
        <v>911</v>
      </c>
    </row>
    <row r="222" spans="1:3" ht="33.75">
      <c r="A222" s="916"/>
      <c r="B222" s="483" t="s">
        <v>717</v>
      </c>
      <c r="C222" s="482" t="s">
        <v>910</v>
      </c>
    </row>
    <row r="223" spans="1:3">
      <c r="A223" s="916"/>
      <c r="B223" s="483" t="s">
        <v>953</v>
      </c>
      <c r="C223" s="482" t="s">
        <v>909</v>
      </c>
    </row>
    <row r="224" spans="1:3" ht="22.5">
      <c r="A224" s="916"/>
      <c r="B224" s="483" t="s">
        <v>954</v>
      </c>
      <c r="C224" s="482" t="s">
        <v>908</v>
      </c>
    </row>
    <row r="225" spans="1:3" ht="12.75">
      <c r="A225" s="520"/>
      <c r="B225" s="521"/>
      <c r="C225" s="522"/>
    </row>
    <row r="226" spans="1:3" ht="12.75">
      <c r="A226" s="520"/>
      <c r="B226" s="522"/>
      <c r="C226" s="523"/>
    </row>
    <row r="227" spans="1:3" ht="12.75">
      <c r="A227" s="520"/>
      <c r="B227" s="522"/>
      <c r="C227" s="523"/>
    </row>
    <row r="228" spans="1:3" ht="12.75">
      <c r="A228" s="520"/>
      <c r="B228" s="524"/>
      <c r="C228" s="523"/>
    </row>
    <row r="229" spans="1:3" ht="12.75">
      <c r="A229" s="910"/>
      <c r="B229" s="525"/>
      <c r="C229" s="523"/>
    </row>
    <row r="230" spans="1:3" ht="12.75">
      <c r="A230" s="910"/>
      <c r="B230" s="525"/>
      <c r="C230" s="523"/>
    </row>
    <row r="231" spans="1:3" ht="12.75">
      <c r="A231" s="910"/>
      <c r="B231" s="525"/>
      <c r="C231" s="523"/>
    </row>
    <row r="232" spans="1:3" ht="12.75">
      <c r="A232" s="910"/>
      <c r="B232" s="525"/>
      <c r="C232" s="526"/>
    </row>
    <row r="233" spans="1:3" ht="40.5" customHeight="1">
      <c r="A233" s="910"/>
      <c r="B233" s="525"/>
      <c r="C233" s="523"/>
    </row>
    <row r="234" spans="1:3" ht="24" customHeight="1">
      <c r="A234" s="910"/>
      <c r="B234" s="525"/>
      <c r="C234" s="523"/>
    </row>
    <row r="235" spans="1:3" ht="12.75">
      <c r="A235" s="910"/>
      <c r="B235" s="525"/>
      <c r="C235" s="523"/>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zoomScaleNormal="100" zoomScaleSheetLayoutView="85" workbookViewId="0">
      <selection activeCell="B3" sqref="B3"/>
    </sheetView>
  </sheetViews>
  <sheetFormatPr defaultRowHeight="15"/>
  <cols>
    <col min="2" max="2" width="93.85546875" customWidth="1"/>
    <col min="3" max="8" width="17.85546875" style="557" customWidth="1"/>
  </cols>
  <sheetData>
    <row r="1" spans="1:8" ht="15.75">
      <c r="A1" s="15" t="s">
        <v>108</v>
      </c>
      <c r="B1" s="276" t="str">
        <f>Info!C2</f>
        <v>სს ”საქართველოს ბანკი”</v>
      </c>
      <c r="C1" s="728"/>
      <c r="D1" s="728"/>
      <c r="E1" s="541"/>
      <c r="F1" s="600"/>
      <c r="G1" s="541"/>
      <c r="H1" s="541"/>
    </row>
    <row r="2" spans="1:8" ht="15.75">
      <c r="A2" s="15" t="s">
        <v>109</v>
      </c>
      <c r="B2" s="308">
        <f>'1. key ratios'!B2</f>
        <v>45016</v>
      </c>
      <c r="C2" s="601"/>
      <c r="D2" s="602"/>
      <c r="E2" s="602"/>
      <c r="F2" s="601"/>
      <c r="G2" s="602"/>
      <c r="H2" s="602"/>
    </row>
    <row r="3" spans="1:8" ht="16.5" thickBot="1">
      <c r="A3" s="15"/>
      <c r="B3" s="14"/>
      <c r="C3" s="601"/>
      <c r="D3" s="602"/>
      <c r="E3" s="602"/>
      <c r="F3" s="601"/>
      <c r="G3" s="602"/>
      <c r="H3" s="602"/>
    </row>
    <row r="4" spans="1:8">
      <c r="A4" s="785" t="s">
        <v>25</v>
      </c>
      <c r="B4" s="792" t="s">
        <v>166</v>
      </c>
      <c r="C4" s="790" t="s">
        <v>114</v>
      </c>
      <c r="D4" s="790"/>
      <c r="E4" s="790"/>
      <c r="F4" s="790" t="s">
        <v>115</v>
      </c>
      <c r="G4" s="790"/>
      <c r="H4" s="791"/>
    </row>
    <row r="5" spans="1:8">
      <c r="A5" s="786"/>
      <c r="B5" s="793"/>
      <c r="C5" s="630" t="s">
        <v>26</v>
      </c>
      <c r="D5" s="630" t="s">
        <v>88</v>
      </c>
      <c r="E5" s="630" t="s">
        <v>66</v>
      </c>
      <c r="F5" s="630" t="s">
        <v>26</v>
      </c>
      <c r="G5" s="630" t="s">
        <v>88</v>
      </c>
      <c r="H5" s="635" t="s">
        <v>66</v>
      </c>
    </row>
    <row r="6" spans="1:8">
      <c r="A6" s="766">
        <v>1</v>
      </c>
      <c r="B6" s="768" t="s">
        <v>775</v>
      </c>
      <c r="C6" s="631">
        <f>SUM(C7:C12)</f>
        <v>432260227.8202067</v>
      </c>
      <c r="D6" s="631">
        <f>SUM(D7:D12)</f>
        <v>184851959.44489998</v>
      </c>
      <c r="E6" s="769">
        <f>C6+D6</f>
        <v>617112187.26510668</v>
      </c>
      <c r="F6" s="631">
        <v>366805763.42379999</v>
      </c>
      <c r="G6" s="631">
        <v>130872623.66120002</v>
      </c>
      <c r="H6" s="636">
        <f>F6+G6</f>
        <v>497678387.08500004</v>
      </c>
    </row>
    <row r="7" spans="1:8">
      <c r="A7" s="766">
        <v>1.1000000000000001</v>
      </c>
      <c r="B7" s="624" t="s">
        <v>729</v>
      </c>
      <c r="C7" s="631"/>
      <c r="D7" s="631"/>
      <c r="E7" s="769">
        <f t="shared" ref="E7:E45" si="0">C7+D7</f>
        <v>0</v>
      </c>
      <c r="F7" s="631"/>
      <c r="G7" s="631"/>
      <c r="H7" s="636">
        <f t="shared" ref="H7:H45" si="1">F7+G7</f>
        <v>0</v>
      </c>
    </row>
    <row r="8" spans="1:8" ht="21">
      <c r="A8" s="766">
        <v>1.2</v>
      </c>
      <c r="B8" s="624" t="s">
        <v>776</v>
      </c>
      <c r="C8" s="631"/>
      <c r="D8" s="631"/>
      <c r="E8" s="769">
        <f t="shared" si="0"/>
        <v>0</v>
      </c>
      <c r="F8" s="631"/>
      <c r="G8" s="631"/>
      <c r="H8" s="636">
        <f t="shared" si="1"/>
        <v>0</v>
      </c>
    </row>
    <row r="9" spans="1:8" ht="21">
      <c r="A9" s="766">
        <v>1.3</v>
      </c>
      <c r="B9" s="624" t="s">
        <v>777</v>
      </c>
      <c r="C9" s="631"/>
      <c r="D9" s="631"/>
      <c r="E9" s="769">
        <f t="shared" si="0"/>
        <v>0</v>
      </c>
      <c r="F9" s="631"/>
      <c r="G9" s="631"/>
      <c r="H9" s="636">
        <f t="shared" si="1"/>
        <v>0</v>
      </c>
    </row>
    <row r="10" spans="1:8">
      <c r="A10" s="766">
        <v>1.4</v>
      </c>
      <c r="B10" s="624" t="s">
        <v>733</v>
      </c>
      <c r="C10" s="631">
        <v>49336168.969999999</v>
      </c>
      <c r="D10" s="631">
        <v>23422147.170000006</v>
      </c>
      <c r="E10" s="769">
        <f t="shared" si="0"/>
        <v>72758316.140000001</v>
      </c>
      <c r="F10" s="631">
        <v>62455750.689999998</v>
      </c>
      <c r="G10" s="631">
        <v>397392.40999999642</v>
      </c>
      <c r="H10" s="636">
        <f t="shared" si="1"/>
        <v>62853143.099999994</v>
      </c>
    </row>
    <row r="11" spans="1:8">
      <c r="A11" s="766">
        <v>1.5</v>
      </c>
      <c r="B11" s="624" t="s">
        <v>736</v>
      </c>
      <c r="C11" s="639">
        <v>382022058.52819997</v>
      </c>
      <c r="D11" s="631">
        <v>161429812.27489996</v>
      </c>
      <c r="E11" s="769">
        <f t="shared" si="0"/>
        <v>543451870.80309987</v>
      </c>
      <c r="F11" s="639">
        <v>303215012.73379999</v>
      </c>
      <c r="G11" s="631">
        <v>130475231.25120002</v>
      </c>
      <c r="H11" s="636">
        <f t="shared" si="1"/>
        <v>433690243.98500001</v>
      </c>
    </row>
    <row r="12" spans="1:8">
      <c r="A12" s="766">
        <v>1.6</v>
      </c>
      <c r="B12" s="624" t="s">
        <v>99</v>
      </c>
      <c r="C12" s="631">
        <v>902000.32200677972</v>
      </c>
      <c r="D12" s="631"/>
      <c r="E12" s="769">
        <f t="shared" si="0"/>
        <v>902000.32200677972</v>
      </c>
      <c r="F12" s="631">
        <v>1135000</v>
      </c>
      <c r="G12" s="631"/>
      <c r="H12" s="636">
        <f t="shared" si="1"/>
        <v>1135000</v>
      </c>
    </row>
    <row r="13" spans="1:8">
      <c r="A13" s="766">
        <v>2</v>
      </c>
      <c r="B13" s="768" t="s">
        <v>778</v>
      </c>
      <c r="C13" s="631">
        <f>SUM(C14:C17)</f>
        <v>-214781680.02999997</v>
      </c>
      <c r="D13" s="631">
        <f>SUM(D14:D17)</f>
        <v>-39098947.530099973</v>
      </c>
      <c r="E13" s="769">
        <f t="shared" si="0"/>
        <v>-253880627.56009996</v>
      </c>
      <c r="F13" s="631">
        <v>-188457918.85999998</v>
      </c>
      <c r="G13" s="631">
        <v>-47318759.070000008</v>
      </c>
      <c r="H13" s="636">
        <f t="shared" si="1"/>
        <v>-235776677.93000001</v>
      </c>
    </row>
    <row r="14" spans="1:8">
      <c r="A14" s="766">
        <v>2.1</v>
      </c>
      <c r="B14" s="624" t="s">
        <v>779</v>
      </c>
      <c r="C14" s="631"/>
      <c r="D14" s="631"/>
      <c r="E14" s="769">
        <f t="shared" si="0"/>
        <v>0</v>
      </c>
      <c r="F14" s="631"/>
      <c r="G14" s="631"/>
      <c r="H14" s="636">
        <f t="shared" si="1"/>
        <v>0</v>
      </c>
    </row>
    <row r="15" spans="1:8" ht="21">
      <c r="A15" s="766">
        <v>2.2000000000000002</v>
      </c>
      <c r="B15" s="624" t="s">
        <v>780</v>
      </c>
      <c r="C15" s="631"/>
      <c r="D15" s="631"/>
      <c r="E15" s="769">
        <f t="shared" si="0"/>
        <v>0</v>
      </c>
      <c r="F15" s="631"/>
      <c r="G15" s="631"/>
      <c r="H15" s="636">
        <f t="shared" si="1"/>
        <v>0</v>
      </c>
    </row>
    <row r="16" spans="1:8">
      <c r="A16" s="766">
        <v>2.2999999999999998</v>
      </c>
      <c r="B16" s="624" t="s">
        <v>781</v>
      </c>
      <c r="C16" s="631">
        <v>-213604016.93999997</v>
      </c>
      <c r="D16" s="631">
        <v>-47131797.890099972</v>
      </c>
      <c r="E16" s="769">
        <f t="shared" si="0"/>
        <v>-260735814.83009994</v>
      </c>
      <c r="F16" s="631">
        <v>-187294986.36999997</v>
      </c>
      <c r="G16" s="631">
        <v>-52350841.480000004</v>
      </c>
      <c r="H16" s="636">
        <f t="shared" si="1"/>
        <v>-239645827.84999996</v>
      </c>
    </row>
    <row r="17" spans="1:8">
      <c r="A17" s="766">
        <v>2.4</v>
      </c>
      <c r="B17" s="624" t="s">
        <v>782</v>
      </c>
      <c r="C17" s="631">
        <v>-1177663.0900000001</v>
      </c>
      <c r="D17" s="631">
        <v>8032850.3600000003</v>
      </c>
      <c r="E17" s="769">
        <f t="shared" si="0"/>
        <v>6855187.2700000005</v>
      </c>
      <c r="F17" s="631">
        <v>-1162932.49</v>
      </c>
      <c r="G17" s="631">
        <v>5032082.41</v>
      </c>
      <c r="H17" s="636">
        <f t="shared" si="1"/>
        <v>3869149.92</v>
      </c>
    </row>
    <row r="18" spans="1:8">
      <c r="A18" s="766">
        <v>3</v>
      </c>
      <c r="B18" s="768" t="s">
        <v>783</v>
      </c>
      <c r="C18" s="631"/>
      <c r="D18" s="631"/>
      <c r="E18" s="769">
        <f t="shared" si="0"/>
        <v>0</v>
      </c>
      <c r="F18" s="631"/>
      <c r="G18" s="631"/>
      <c r="H18" s="636">
        <f t="shared" si="1"/>
        <v>0</v>
      </c>
    </row>
    <row r="19" spans="1:8">
      <c r="A19" s="766">
        <v>4</v>
      </c>
      <c r="B19" s="768" t="s">
        <v>784</v>
      </c>
      <c r="C19" s="631">
        <v>96943702.290000007</v>
      </c>
      <c r="D19" s="631">
        <v>49331297.709999993</v>
      </c>
      <c r="E19" s="769">
        <f t="shared" si="0"/>
        <v>146275000</v>
      </c>
      <c r="F19" s="631">
        <v>71075151.930000007</v>
      </c>
      <c r="G19" s="631">
        <v>27914848.069999993</v>
      </c>
      <c r="H19" s="636">
        <f t="shared" si="1"/>
        <v>98990000</v>
      </c>
    </row>
    <row r="20" spans="1:8">
      <c r="A20" s="766">
        <v>5</v>
      </c>
      <c r="B20" s="768" t="s">
        <v>785</v>
      </c>
      <c r="C20" s="631">
        <v>-33811209.759999998</v>
      </c>
      <c r="D20" s="631">
        <v>-43763804.190000005</v>
      </c>
      <c r="E20" s="769">
        <f t="shared" si="0"/>
        <v>-77575013.950000003</v>
      </c>
      <c r="F20" s="631">
        <v>-21364211.169999998</v>
      </c>
      <c r="G20" s="631">
        <v>-31053947.710000005</v>
      </c>
      <c r="H20" s="636">
        <f t="shared" si="1"/>
        <v>-52418158.880000003</v>
      </c>
    </row>
    <row r="21" spans="1:8" ht="31.5">
      <c r="A21" s="766">
        <v>6</v>
      </c>
      <c r="B21" s="768" t="s">
        <v>786</v>
      </c>
      <c r="C21" s="631">
        <v>2631667.73</v>
      </c>
      <c r="D21" s="631"/>
      <c r="E21" s="769">
        <f t="shared" si="0"/>
        <v>2631667.73</v>
      </c>
      <c r="F21" s="631">
        <v>2527000</v>
      </c>
      <c r="G21" s="631"/>
      <c r="H21" s="636">
        <f t="shared" si="1"/>
        <v>2527000</v>
      </c>
    </row>
    <row r="22" spans="1:8" ht="21">
      <c r="A22" s="766">
        <v>7</v>
      </c>
      <c r="B22" s="768" t="s">
        <v>787</v>
      </c>
      <c r="C22" s="631"/>
      <c r="D22" s="631"/>
      <c r="E22" s="769">
        <f t="shared" si="0"/>
        <v>0</v>
      </c>
      <c r="F22" s="631"/>
      <c r="G22" s="631"/>
      <c r="H22" s="636">
        <f t="shared" si="1"/>
        <v>0</v>
      </c>
    </row>
    <row r="23" spans="1:8" ht="21">
      <c r="A23" s="766">
        <v>8</v>
      </c>
      <c r="B23" s="770" t="s">
        <v>788</v>
      </c>
      <c r="C23" s="631">
        <v>5151000</v>
      </c>
      <c r="D23" s="631"/>
      <c r="E23" s="769">
        <f t="shared" si="0"/>
        <v>5151000</v>
      </c>
      <c r="F23" s="631">
        <v>-1437000</v>
      </c>
      <c r="G23" s="631"/>
      <c r="H23" s="636">
        <f t="shared" si="1"/>
        <v>-1437000</v>
      </c>
    </row>
    <row r="24" spans="1:8" ht="40.5" customHeight="1">
      <c r="A24" s="766">
        <v>9</v>
      </c>
      <c r="B24" s="770" t="s">
        <v>789</v>
      </c>
      <c r="C24" s="631">
        <v>-280000</v>
      </c>
      <c r="D24" s="631"/>
      <c r="E24" s="769">
        <f t="shared" si="0"/>
        <v>-280000</v>
      </c>
      <c r="F24" s="631">
        <v>271000</v>
      </c>
      <c r="G24" s="631"/>
      <c r="H24" s="636">
        <f t="shared" si="1"/>
        <v>271000</v>
      </c>
    </row>
    <row r="25" spans="1:8">
      <c r="A25" s="766">
        <v>10</v>
      </c>
      <c r="B25" s="768" t="s">
        <v>790</v>
      </c>
      <c r="C25" s="631">
        <v>61518090.5</v>
      </c>
      <c r="D25" s="631">
        <v>13243909.5</v>
      </c>
      <c r="E25" s="769">
        <f t="shared" si="0"/>
        <v>74762000</v>
      </c>
      <c r="F25" s="631">
        <v>45905961.649999999</v>
      </c>
      <c r="G25" s="631">
        <v>7090038.3499999996</v>
      </c>
      <c r="H25" s="636">
        <f t="shared" si="1"/>
        <v>52996000</v>
      </c>
    </row>
    <row r="26" spans="1:8" ht="21">
      <c r="A26" s="766">
        <v>11</v>
      </c>
      <c r="B26" s="771" t="s">
        <v>791</v>
      </c>
      <c r="C26" s="631"/>
      <c r="D26" s="631"/>
      <c r="E26" s="769">
        <f t="shared" si="0"/>
        <v>0</v>
      </c>
      <c r="F26" s="631"/>
      <c r="G26" s="631"/>
      <c r="H26" s="636">
        <f t="shared" si="1"/>
        <v>0</v>
      </c>
    </row>
    <row r="27" spans="1:8">
      <c r="A27" s="766">
        <v>12</v>
      </c>
      <c r="B27" s="768" t="s">
        <v>792</v>
      </c>
      <c r="C27" s="631">
        <v>526612.14769765129</v>
      </c>
      <c r="D27" s="631"/>
      <c r="E27" s="769">
        <f t="shared" si="0"/>
        <v>526612.14769765129</v>
      </c>
      <c r="F27" s="631">
        <v>-1403137.8010045588</v>
      </c>
      <c r="G27" s="631"/>
      <c r="H27" s="636">
        <f t="shared" si="1"/>
        <v>-1403137.8010045588</v>
      </c>
    </row>
    <row r="28" spans="1:8">
      <c r="A28" s="766">
        <v>13</v>
      </c>
      <c r="B28" s="768" t="s">
        <v>793</v>
      </c>
      <c r="C28" s="631"/>
      <c r="D28" s="631"/>
      <c r="E28" s="769">
        <f t="shared" si="0"/>
        <v>0</v>
      </c>
      <c r="F28" s="631"/>
      <c r="G28" s="631"/>
      <c r="H28" s="636">
        <f t="shared" si="1"/>
        <v>0</v>
      </c>
    </row>
    <row r="29" spans="1:8">
      <c r="A29" s="766">
        <v>14</v>
      </c>
      <c r="B29" s="768" t="s">
        <v>794</v>
      </c>
      <c r="C29" s="631">
        <f>SUM(C30:C31)</f>
        <v>-108365891.36000001</v>
      </c>
      <c r="D29" s="631">
        <f>SUM(D30:D31)</f>
        <v>0</v>
      </c>
      <c r="E29" s="769">
        <f t="shared" si="0"/>
        <v>-108365891.36000001</v>
      </c>
      <c r="F29" s="631">
        <v>-89887646.25</v>
      </c>
      <c r="G29" s="631">
        <v>0</v>
      </c>
      <c r="H29" s="636">
        <f t="shared" si="1"/>
        <v>-89887646.25</v>
      </c>
    </row>
    <row r="30" spans="1:8">
      <c r="A30" s="766">
        <v>14.1</v>
      </c>
      <c r="B30" s="616" t="s">
        <v>795</v>
      </c>
      <c r="C30" s="631">
        <v>-78701267.370000005</v>
      </c>
      <c r="D30" s="631"/>
      <c r="E30" s="769">
        <f t="shared" si="0"/>
        <v>-78701267.370000005</v>
      </c>
      <c r="F30" s="631">
        <v>-64190989.32</v>
      </c>
      <c r="G30" s="631"/>
      <c r="H30" s="636">
        <f t="shared" si="1"/>
        <v>-64190989.32</v>
      </c>
    </row>
    <row r="31" spans="1:8">
      <c r="A31" s="766">
        <v>14.2</v>
      </c>
      <c r="B31" s="616" t="s">
        <v>796</v>
      </c>
      <c r="C31" s="631">
        <v>-29664623.990000002</v>
      </c>
      <c r="D31" s="631"/>
      <c r="E31" s="769">
        <f t="shared" si="0"/>
        <v>-29664623.990000002</v>
      </c>
      <c r="F31" s="631">
        <v>-25696656.93</v>
      </c>
      <c r="G31" s="631"/>
      <c r="H31" s="636">
        <f t="shared" si="1"/>
        <v>-25696656.93</v>
      </c>
    </row>
    <row r="32" spans="1:8">
      <c r="A32" s="766">
        <v>15</v>
      </c>
      <c r="B32" s="772" t="s">
        <v>797</v>
      </c>
      <c r="C32" s="631">
        <v>-22881585.84</v>
      </c>
      <c r="D32" s="631"/>
      <c r="E32" s="769">
        <f t="shared" si="0"/>
        <v>-22881585.84</v>
      </c>
      <c r="F32" s="631">
        <v>-20283935.850000001</v>
      </c>
      <c r="G32" s="631"/>
      <c r="H32" s="636">
        <f t="shared" si="1"/>
        <v>-20283935.850000001</v>
      </c>
    </row>
    <row r="33" spans="1:8">
      <c r="A33" s="766">
        <v>16</v>
      </c>
      <c r="B33" s="612" t="s">
        <v>798</v>
      </c>
      <c r="C33" s="631">
        <v>-7291067.2199999988</v>
      </c>
      <c r="D33" s="631">
        <v>141289.85999999999</v>
      </c>
      <c r="E33" s="769">
        <f t="shared" si="0"/>
        <v>-7149777.3599999985</v>
      </c>
      <c r="F33" s="631">
        <v>-4585634.8599999994</v>
      </c>
      <c r="G33" s="631">
        <v>-673365.14</v>
      </c>
      <c r="H33" s="636">
        <f t="shared" si="1"/>
        <v>-5258999.9999999991</v>
      </c>
    </row>
    <row r="34" spans="1:8">
      <c r="A34" s="766">
        <v>17</v>
      </c>
      <c r="B34" s="768" t="s">
        <v>799</v>
      </c>
      <c r="C34" s="631">
        <f>C35+C36</f>
        <v>-137595.64990000005</v>
      </c>
      <c r="D34" s="631">
        <f>SUM(D35:D36)</f>
        <v>0</v>
      </c>
      <c r="E34" s="769">
        <f t="shared" si="0"/>
        <v>-137595.64990000005</v>
      </c>
      <c r="F34" s="631">
        <v>224143.81890000004</v>
      </c>
      <c r="G34" s="631">
        <v>0</v>
      </c>
      <c r="H34" s="636">
        <f t="shared" si="1"/>
        <v>224143.81890000004</v>
      </c>
    </row>
    <row r="35" spans="1:8">
      <c r="A35" s="766">
        <v>17.100000000000001</v>
      </c>
      <c r="B35" s="616" t="s">
        <v>800</v>
      </c>
      <c r="C35" s="631">
        <v>53733.500099999947</v>
      </c>
      <c r="D35" s="631"/>
      <c r="E35" s="769">
        <f t="shared" si="0"/>
        <v>53733.500099999947</v>
      </c>
      <c r="F35" s="631">
        <v>245780.33890000003</v>
      </c>
      <c r="G35" s="631"/>
      <c r="H35" s="636">
        <f t="shared" si="1"/>
        <v>245780.33890000003</v>
      </c>
    </row>
    <row r="36" spans="1:8">
      <c r="A36" s="766">
        <v>17.2</v>
      </c>
      <c r="B36" s="616" t="s">
        <v>801</v>
      </c>
      <c r="C36" s="631">
        <v>-191329.15</v>
      </c>
      <c r="D36" s="631"/>
      <c r="E36" s="769">
        <f t="shared" si="0"/>
        <v>-191329.15</v>
      </c>
      <c r="F36" s="631">
        <v>-21636.52</v>
      </c>
      <c r="G36" s="631"/>
      <c r="H36" s="636">
        <f t="shared" si="1"/>
        <v>-21636.52</v>
      </c>
    </row>
    <row r="37" spans="1:8" ht="21">
      <c r="A37" s="766">
        <v>18</v>
      </c>
      <c r="B37" s="773" t="s">
        <v>802</v>
      </c>
      <c r="C37" s="631">
        <f>SUM(C38:C39)</f>
        <v>-43854919.945465937</v>
      </c>
      <c r="D37" s="631">
        <f>SUM(D38:D39)</f>
        <v>0</v>
      </c>
      <c r="E37" s="769">
        <f t="shared" si="0"/>
        <v>-43854919.945465937</v>
      </c>
      <c r="F37" s="631">
        <v>-11246869.925095437</v>
      </c>
      <c r="G37" s="631">
        <v>0</v>
      </c>
      <c r="H37" s="636">
        <f t="shared" si="1"/>
        <v>-11246869.925095437</v>
      </c>
    </row>
    <row r="38" spans="1:8">
      <c r="A38" s="766">
        <v>18.100000000000001</v>
      </c>
      <c r="B38" s="624" t="s">
        <v>803</v>
      </c>
      <c r="C38" s="631">
        <v>-2025930.4400000002</v>
      </c>
      <c r="D38" s="631"/>
      <c r="E38" s="769">
        <f t="shared" si="0"/>
        <v>-2025930.4400000002</v>
      </c>
      <c r="F38" s="631">
        <v>-495949.24</v>
      </c>
      <c r="G38" s="631"/>
      <c r="H38" s="636">
        <f t="shared" si="1"/>
        <v>-495949.24</v>
      </c>
    </row>
    <row r="39" spans="1:8">
      <c r="A39" s="766">
        <v>18.2</v>
      </c>
      <c r="B39" s="624" t="s">
        <v>804</v>
      </c>
      <c r="C39" s="631">
        <v>-41828989.50546594</v>
      </c>
      <c r="D39" s="631"/>
      <c r="E39" s="769">
        <f t="shared" si="0"/>
        <v>-41828989.50546594</v>
      </c>
      <c r="F39" s="631">
        <v>-10750920.685095437</v>
      </c>
      <c r="G39" s="631"/>
      <c r="H39" s="636">
        <f t="shared" si="1"/>
        <v>-10750920.685095437</v>
      </c>
    </row>
    <row r="40" spans="1:8" ht="21">
      <c r="A40" s="766">
        <v>19</v>
      </c>
      <c r="B40" s="773" t="s">
        <v>805</v>
      </c>
      <c r="C40" s="631"/>
      <c r="D40" s="631"/>
      <c r="E40" s="769">
        <f t="shared" si="0"/>
        <v>0</v>
      </c>
      <c r="F40" s="631"/>
      <c r="G40" s="631"/>
      <c r="H40" s="636">
        <f t="shared" si="1"/>
        <v>0</v>
      </c>
    </row>
    <row r="41" spans="1:8">
      <c r="A41" s="766">
        <v>20</v>
      </c>
      <c r="B41" s="773" t="s">
        <v>806</v>
      </c>
      <c r="C41" s="631">
        <v>-1630521.5348999964</v>
      </c>
      <c r="D41" s="631"/>
      <c r="E41" s="769">
        <f t="shared" si="0"/>
        <v>-1630521.5348999964</v>
      </c>
      <c r="F41" s="631">
        <v>-1523329.2078000002</v>
      </c>
      <c r="G41" s="631"/>
      <c r="H41" s="636">
        <f t="shared" si="1"/>
        <v>-1523329.2078000002</v>
      </c>
    </row>
    <row r="42" spans="1:8" ht="21">
      <c r="A42" s="766">
        <v>21</v>
      </c>
      <c r="B42" s="774" t="s">
        <v>807</v>
      </c>
      <c r="C42" s="631"/>
      <c r="D42" s="631"/>
      <c r="E42" s="769">
        <f t="shared" si="0"/>
        <v>0</v>
      </c>
      <c r="F42" s="631"/>
      <c r="G42" s="631"/>
      <c r="H42" s="636">
        <f t="shared" si="1"/>
        <v>0</v>
      </c>
    </row>
    <row r="43" spans="1:8">
      <c r="A43" s="766">
        <v>22</v>
      </c>
      <c r="B43" s="775" t="s">
        <v>808</v>
      </c>
      <c r="C43" s="631">
        <f>SUM(C6,C13,C18,C19,C20,C21,C22,C23,C24,C25,C26,C27,C28,C29,C32,C33,C34,C37,C40,C41,C42)</f>
        <v>165996829.14763844</v>
      </c>
      <c r="D43" s="631">
        <f>SUM(D6,D13,D18,D19,D20,D21,D22,D23,D24,D25,D26,D27,D28,D29,D32,D33,D34,D37,D40,D41,D42)</f>
        <v>164705704.79479998</v>
      </c>
      <c r="E43" s="769">
        <f t="shared" si="0"/>
        <v>330702533.94243842</v>
      </c>
      <c r="F43" s="631">
        <v>146619336.89879999</v>
      </c>
      <c r="G43" s="631">
        <v>86831438.161199987</v>
      </c>
      <c r="H43" s="636">
        <f t="shared" si="1"/>
        <v>233450775.05999997</v>
      </c>
    </row>
    <row r="44" spans="1:8">
      <c r="A44" s="766">
        <v>23</v>
      </c>
      <c r="B44" s="775" t="s">
        <v>809</v>
      </c>
      <c r="C44" s="631">
        <v>48695325.907845698</v>
      </c>
      <c r="D44" s="631"/>
      <c r="E44" s="769">
        <f t="shared" si="0"/>
        <v>48695325.907845698</v>
      </c>
      <c r="F44" s="631">
        <v>24562775.059999999</v>
      </c>
      <c r="G44" s="631"/>
      <c r="H44" s="636">
        <f t="shared" si="1"/>
        <v>24562775.059999999</v>
      </c>
    </row>
    <row r="45" spans="1:8" ht="15.75" thickBot="1">
      <c r="A45" s="776">
        <v>24</v>
      </c>
      <c r="B45" s="777" t="s">
        <v>810</v>
      </c>
      <c r="C45" s="634">
        <f>C43-C44</f>
        <v>117301503.23979273</v>
      </c>
      <c r="D45" s="634">
        <f>D43-D44</f>
        <v>164705704.79479998</v>
      </c>
      <c r="E45" s="778">
        <f t="shared" si="0"/>
        <v>282007208.03459275</v>
      </c>
      <c r="F45" s="634">
        <v>122056561.83879998</v>
      </c>
      <c r="G45" s="634">
        <v>86831438.161199987</v>
      </c>
      <c r="H45" s="779">
        <f t="shared" si="1"/>
        <v>208887999.99999997</v>
      </c>
    </row>
  </sheetData>
  <mergeCells count="4">
    <mergeCell ref="B4:B5"/>
    <mergeCell ref="C4:E4"/>
    <mergeCell ref="F4:H4"/>
    <mergeCell ref="A4:A5"/>
  </mergeCells>
  <pageMargins left="0.7" right="0.7" top="0.75" bottom="0.75" header="0.3" footer="0.3"/>
  <pageSetup paperSize="9" scale="41" orientation="portrait" verticalDpi="0"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topLeftCell="A4" zoomScale="85" zoomScaleNormal="85" workbookViewId="0">
      <selection activeCell="F37" sqref="F37"/>
    </sheetView>
  </sheetViews>
  <sheetFormatPr defaultRowHeight="15"/>
  <cols>
    <col min="1" max="1" width="8.7109375" style="389"/>
    <col min="2" max="2" width="87.5703125" bestFit="1" customWidth="1"/>
    <col min="3" max="3" width="21" customWidth="1"/>
    <col min="4" max="4" width="21.42578125" customWidth="1"/>
    <col min="5" max="5" width="20.7109375" customWidth="1"/>
    <col min="6" max="6" width="20" customWidth="1"/>
    <col min="7" max="7" width="17" customWidth="1"/>
    <col min="8" max="8" width="20.85546875" customWidth="1"/>
  </cols>
  <sheetData>
    <row r="1" spans="1:8" ht="15.75">
      <c r="A1" s="15" t="s">
        <v>108</v>
      </c>
      <c r="B1" s="276" t="str">
        <f>Info!C2</f>
        <v>სს ”საქართველოს ბანკი”</v>
      </c>
      <c r="C1" s="14"/>
      <c r="D1" s="201"/>
      <c r="E1" s="201"/>
      <c r="F1" s="201"/>
      <c r="G1" s="201"/>
    </row>
    <row r="2" spans="1:8" ht="15.75">
      <c r="A2" s="15" t="s">
        <v>109</v>
      </c>
      <c r="B2" s="308">
        <f>'1. key ratios'!B2</f>
        <v>45016</v>
      </c>
      <c r="C2" s="27"/>
      <c r="D2" s="16"/>
      <c r="E2" s="16"/>
      <c r="F2" s="16"/>
      <c r="G2" s="16"/>
      <c r="H2" s="1"/>
    </row>
    <row r="3" spans="1:8" ht="15.75">
      <c r="A3" s="15"/>
      <c r="B3" s="14"/>
      <c r="C3" s="27"/>
      <c r="D3" s="16"/>
      <c r="E3" s="16"/>
      <c r="F3" s="16"/>
      <c r="G3" s="16"/>
      <c r="H3" s="1"/>
    </row>
    <row r="4" spans="1:8" ht="15.75">
      <c r="A4" s="794" t="s">
        <v>25</v>
      </c>
      <c r="B4" s="795" t="s">
        <v>151</v>
      </c>
      <c r="C4" s="796" t="s">
        <v>114</v>
      </c>
      <c r="D4" s="796"/>
      <c r="E4" s="796"/>
      <c r="F4" s="796" t="s">
        <v>115</v>
      </c>
      <c r="G4" s="796"/>
      <c r="H4" s="797"/>
    </row>
    <row r="5" spans="1:8">
      <c r="A5" s="794"/>
      <c r="B5" s="795"/>
      <c r="C5" s="374" t="s">
        <v>26</v>
      </c>
      <c r="D5" s="374" t="s">
        <v>88</v>
      </c>
      <c r="E5" s="374" t="s">
        <v>66</v>
      </c>
      <c r="F5" s="374" t="s">
        <v>26</v>
      </c>
      <c r="G5" s="374" t="s">
        <v>88</v>
      </c>
      <c r="H5" s="375" t="s">
        <v>66</v>
      </c>
    </row>
    <row r="6" spans="1:8" ht="15.75">
      <c r="A6" s="376">
        <v>1</v>
      </c>
      <c r="B6" s="377" t="s">
        <v>811</v>
      </c>
      <c r="C6" s="378"/>
      <c r="D6" s="378"/>
      <c r="E6" s="379">
        <f t="shared" ref="E6:E43" si="0">C6+D6</f>
        <v>0</v>
      </c>
      <c r="F6" s="378"/>
      <c r="G6" s="378"/>
      <c r="H6" s="380">
        <f t="shared" ref="H6:H43" si="1">F6+G6</f>
        <v>0</v>
      </c>
    </row>
    <row r="7" spans="1:8" ht="15.75">
      <c r="A7" s="376">
        <v>2</v>
      </c>
      <c r="B7" s="381" t="s">
        <v>176</v>
      </c>
      <c r="C7" s="378"/>
      <c r="D7" s="378"/>
      <c r="E7" s="379">
        <f t="shared" si="0"/>
        <v>0</v>
      </c>
      <c r="F7" s="378"/>
      <c r="G7" s="378"/>
      <c r="H7" s="380">
        <f t="shared" si="1"/>
        <v>0</v>
      </c>
    </row>
    <row r="8" spans="1:8" ht="15.75">
      <c r="A8" s="376">
        <v>3</v>
      </c>
      <c r="B8" s="381" t="s">
        <v>178</v>
      </c>
      <c r="C8" s="378">
        <f>C9+C10</f>
        <v>857041735.28999996</v>
      </c>
      <c r="D8" s="378">
        <f>D9+D10</f>
        <v>569100248.80909991</v>
      </c>
      <c r="E8" s="379">
        <f t="shared" si="0"/>
        <v>1426141984.0990999</v>
      </c>
      <c r="F8" s="378">
        <f>F9+F10</f>
        <v>835102298.30999994</v>
      </c>
      <c r="G8" s="378">
        <f>G9+G10</f>
        <v>746817247.95510006</v>
      </c>
      <c r="H8" s="380">
        <f t="shared" si="1"/>
        <v>1581919546.2651</v>
      </c>
    </row>
    <row r="9" spans="1:8" ht="15.75">
      <c r="A9" s="376">
        <v>3.1</v>
      </c>
      <c r="B9" s="382" t="s">
        <v>812</v>
      </c>
      <c r="C9" s="378">
        <v>332382426.29000002</v>
      </c>
      <c r="D9" s="378">
        <v>235153313.69</v>
      </c>
      <c r="E9" s="379">
        <f t="shared" si="0"/>
        <v>567535739.98000002</v>
      </c>
      <c r="F9" s="378">
        <v>308392950.44999999</v>
      </c>
      <c r="G9" s="378">
        <v>296009307.88</v>
      </c>
      <c r="H9" s="380">
        <f t="shared" si="1"/>
        <v>604402258.32999992</v>
      </c>
    </row>
    <row r="10" spans="1:8" ht="15.75">
      <c r="A10" s="376">
        <v>3.2</v>
      </c>
      <c r="B10" s="382" t="s">
        <v>813</v>
      </c>
      <c r="C10" s="378">
        <v>524659309</v>
      </c>
      <c r="D10" s="378">
        <v>333946935.11909997</v>
      </c>
      <c r="E10" s="379">
        <f t="shared" si="0"/>
        <v>858606244.11909997</v>
      </c>
      <c r="F10" s="378">
        <v>526709347.86000001</v>
      </c>
      <c r="G10" s="378">
        <v>450807940.0751</v>
      </c>
      <c r="H10" s="380">
        <f t="shared" si="1"/>
        <v>977517287.93510008</v>
      </c>
    </row>
    <row r="11" spans="1:8" ht="15.75">
      <c r="A11" s="376">
        <v>4</v>
      </c>
      <c r="B11" s="381" t="s">
        <v>177</v>
      </c>
      <c r="C11" s="378">
        <f>C12+C13</f>
        <v>1996554000</v>
      </c>
      <c r="D11" s="378">
        <f>D12+D13</f>
        <v>0</v>
      </c>
      <c r="E11" s="379">
        <f t="shared" si="0"/>
        <v>1996554000</v>
      </c>
      <c r="F11" s="378">
        <f>F12+F13</f>
        <v>2441595967.8800001</v>
      </c>
      <c r="G11" s="378">
        <f>G12+G13</f>
        <v>0</v>
      </c>
      <c r="H11" s="380">
        <f t="shared" si="1"/>
        <v>2441595967.8800001</v>
      </c>
    </row>
    <row r="12" spans="1:8" ht="15.75">
      <c r="A12" s="376">
        <v>4.0999999999999996</v>
      </c>
      <c r="B12" s="382" t="s">
        <v>814</v>
      </c>
      <c r="C12" s="378">
        <v>1996554000</v>
      </c>
      <c r="D12" s="378"/>
      <c r="E12" s="379">
        <f t="shared" si="0"/>
        <v>1996554000</v>
      </c>
      <c r="F12" s="378">
        <v>2441595967.8800001</v>
      </c>
      <c r="G12" s="378"/>
      <c r="H12" s="380">
        <f t="shared" si="1"/>
        <v>2441595967.8800001</v>
      </c>
    </row>
    <row r="13" spans="1:8" ht="15.75">
      <c r="A13" s="376">
        <v>4.2</v>
      </c>
      <c r="B13" s="382" t="s">
        <v>815</v>
      </c>
      <c r="C13" s="378"/>
      <c r="D13" s="378"/>
      <c r="E13" s="379">
        <f t="shared" si="0"/>
        <v>0</v>
      </c>
      <c r="F13" s="378"/>
      <c r="G13" s="378"/>
      <c r="H13" s="380">
        <f t="shared" si="1"/>
        <v>0</v>
      </c>
    </row>
    <row r="14" spans="1:8" ht="15.75">
      <c r="A14" s="376">
        <v>5</v>
      </c>
      <c r="B14" s="383" t="s">
        <v>816</v>
      </c>
      <c r="C14" s="378">
        <f>C15+C16+C17+C23+C24+C25+C26</f>
        <v>17965376891.949997</v>
      </c>
      <c r="D14" s="378">
        <f>D15+D16+D17+D23+D24+D25+D26</f>
        <v>22813542004.119999</v>
      </c>
      <c r="E14" s="379">
        <f t="shared" si="0"/>
        <v>40778918896.069992</v>
      </c>
      <c r="F14" s="378">
        <f>F15+F16+F17+F23+F24+F25+F26</f>
        <v>14420839747.49</v>
      </c>
      <c r="G14" s="378">
        <f>G15+G16+G17+G23+G24+G25+G26</f>
        <v>20294998100.049999</v>
      </c>
      <c r="H14" s="380">
        <f t="shared" si="1"/>
        <v>34715837847.540001</v>
      </c>
    </row>
    <row r="15" spans="1:8" ht="15.75">
      <c r="A15" s="376">
        <v>5.0999999999999996</v>
      </c>
      <c r="B15" s="384" t="s">
        <v>817</v>
      </c>
      <c r="C15" s="603">
        <v>328832059.66000003</v>
      </c>
      <c r="D15" s="603">
        <v>224065529.47999999</v>
      </c>
      <c r="E15" s="379">
        <f t="shared" si="0"/>
        <v>552897589.13999999</v>
      </c>
      <c r="F15" s="378">
        <v>193474923.78</v>
      </c>
      <c r="G15" s="378">
        <v>179493246.56999999</v>
      </c>
      <c r="H15" s="380">
        <v>372968170.35000002</v>
      </c>
    </row>
    <row r="16" spans="1:8" ht="15.75">
      <c r="A16" s="376">
        <v>5.2</v>
      </c>
      <c r="B16" s="384" t="s">
        <v>818</v>
      </c>
      <c r="C16" s="603">
        <v>181407561.22999999</v>
      </c>
      <c r="D16" s="603">
        <v>174413.78</v>
      </c>
      <c r="E16" s="379">
        <f t="shared" si="0"/>
        <v>181581975.00999999</v>
      </c>
      <c r="F16" s="378">
        <v>189158261.74000001</v>
      </c>
      <c r="G16" s="378">
        <v>334764.34999999998</v>
      </c>
      <c r="H16" s="380">
        <v>189493026.09</v>
      </c>
    </row>
    <row r="17" spans="1:8" ht="15.75">
      <c r="A17" s="376">
        <v>5.3</v>
      </c>
      <c r="B17" s="384" t="s">
        <v>819</v>
      </c>
      <c r="C17" s="603">
        <f>SUM(C18:C26)</f>
        <v>14865908677.709999</v>
      </c>
      <c r="D17" s="603">
        <f>SUM(D18:D26)</f>
        <v>17906555012.130001</v>
      </c>
      <c r="E17" s="379">
        <f>C17+D17</f>
        <v>32772463689.84</v>
      </c>
      <c r="F17" s="378">
        <v>11247673007.049999</v>
      </c>
      <c r="G17" s="378">
        <v>13870387635.08</v>
      </c>
      <c r="H17" s="380">
        <v>25118060642.129997</v>
      </c>
    </row>
    <row r="18" spans="1:8" ht="15.75">
      <c r="A18" s="376" t="s">
        <v>179</v>
      </c>
      <c r="B18" s="385" t="s">
        <v>820</v>
      </c>
      <c r="C18" s="603">
        <v>8607109985.8099995</v>
      </c>
      <c r="D18" s="603">
        <v>5192087251.4499998</v>
      </c>
      <c r="E18" s="379">
        <f t="shared" si="0"/>
        <v>13799197237.259998</v>
      </c>
      <c r="F18" s="378">
        <v>8039152403.54</v>
      </c>
      <c r="G18" s="378">
        <v>5651746947.0200005</v>
      </c>
      <c r="H18" s="380">
        <v>13690899350.560001</v>
      </c>
    </row>
    <row r="19" spans="1:8" ht="15.75">
      <c r="A19" s="376" t="s">
        <v>180</v>
      </c>
      <c r="B19" s="386" t="s">
        <v>821</v>
      </c>
      <c r="C19" s="603">
        <v>2410144929.5300002</v>
      </c>
      <c r="D19" s="603">
        <v>6592073407.5200005</v>
      </c>
      <c r="E19" s="379">
        <f t="shared" si="0"/>
        <v>9002218337.0500011</v>
      </c>
      <c r="F19" s="378">
        <v>1927250399.3599999</v>
      </c>
      <c r="G19" s="378">
        <v>5993741251.7399998</v>
      </c>
      <c r="H19" s="380">
        <v>7920991651.0999994</v>
      </c>
    </row>
    <row r="20" spans="1:8" ht="15.75">
      <c r="A20" s="376" t="s">
        <v>181</v>
      </c>
      <c r="B20" s="386" t="s">
        <v>822</v>
      </c>
      <c r="C20" s="603">
        <v>0</v>
      </c>
      <c r="D20" s="603">
        <v>0</v>
      </c>
      <c r="E20" s="379">
        <f t="shared" si="0"/>
        <v>0</v>
      </c>
      <c r="F20" s="378">
        <v>0</v>
      </c>
      <c r="G20" s="378">
        <v>0</v>
      </c>
      <c r="H20" s="380">
        <v>0</v>
      </c>
    </row>
    <row r="21" spans="1:8" ht="15.75">
      <c r="A21" s="376" t="s">
        <v>182</v>
      </c>
      <c r="B21" s="386" t="s">
        <v>823</v>
      </c>
      <c r="C21" s="603">
        <v>1259425169.02</v>
      </c>
      <c r="D21" s="603">
        <v>1439647304.4300001</v>
      </c>
      <c r="E21" s="379">
        <f t="shared" si="0"/>
        <v>2699072473.4499998</v>
      </c>
      <c r="F21" s="378">
        <v>1281270204.1500001</v>
      </c>
      <c r="G21" s="378">
        <v>2224899436.3200002</v>
      </c>
      <c r="H21" s="380">
        <v>3506169640.4700003</v>
      </c>
    </row>
    <row r="22" spans="1:8" ht="15.75">
      <c r="A22" s="376" t="s">
        <v>183</v>
      </c>
      <c r="B22" s="386" t="s">
        <v>540</v>
      </c>
      <c r="C22" s="603">
        <v>0</v>
      </c>
      <c r="D22" s="603">
        <v>0</v>
      </c>
      <c r="E22" s="379">
        <f t="shared" si="0"/>
        <v>0</v>
      </c>
      <c r="F22" s="378">
        <v>0</v>
      </c>
      <c r="G22" s="378">
        <v>0</v>
      </c>
      <c r="H22" s="380">
        <v>0</v>
      </c>
    </row>
    <row r="23" spans="1:8" ht="15.75">
      <c r="A23" s="376">
        <v>5.4</v>
      </c>
      <c r="B23" s="384" t="s">
        <v>824</v>
      </c>
      <c r="C23" s="603">
        <v>169626106.06</v>
      </c>
      <c r="D23" s="603">
        <v>210246587.83000001</v>
      </c>
      <c r="E23" s="379">
        <f t="shared" si="0"/>
        <v>379872693.88999999</v>
      </c>
      <c r="F23" s="378">
        <v>349047279.69999999</v>
      </c>
      <c r="G23" s="378">
        <v>384944266.68000001</v>
      </c>
      <c r="H23" s="380">
        <v>733991546.38</v>
      </c>
    </row>
    <row r="24" spans="1:8" ht="15.75">
      <c r="A24" s="376">
        <v>5.5</v>
      </c>
      <c r="B24" s="384" t="s">
        <v>825</v>
      </c>
      <c r="C24" s="603">
        <v>0</v>
      </c>
      <c r="D24" s="603">
        <v>0</v>
      </c>
      <c r="E24" s="379">
        <f t="shared" si="0"/>
        <v>0</v>
      </c>
      <c r="F24" s="378">
        <v>0</v>
      </c>
      <c r="G24" s="378">
        <v>0</v>
      </c>
      <c r="H24" s="380">
        <v>0</v>
      </c>
    </row>
    <row r="25" spans="1:8" ht="15.75">
      <c r="A25" s="376">
        <v>5.6</v>
      </c>
      <c r="B25" s="384" t="s">
        <v>826</v>
      </c>
      <c r="C25" s="603">
        <v>243510208.31</v>
      </c>
      <c r="D25" s="603">
        <v>1252925953.46</v>
      </c>
      <c r="E25" s="379">
        <f t="shared" si="0"/>
        <v>1496436161.77</v>
      </c>
      <c r="F25" s="378">
        <v>280436131.75</v>
      </c>
      <c r="G25" s="378">
        <v>1762843347.46</v>
      </c>
      <c r="H25" s="380">
        <v>2043279479.21</v>
      </c>
    </row>
    <row r="26" spans="1:8" ht="15.75">
      <c r="A26" s="376">
        <v>5.7</v>
      </c>
      <c r="B26" s="384" t="s">
        <v>540</v>
      </c>
      <c r="C26" s="603">
        <v>2176092278.98</v>
      </c>
      <c r="D26" s="603">
        <v>3219574507.4400001</v>
      </c>
      <c r="E26" s="379">
        <f t="shared" si="0"/>
        <v>5395666786.4200001</v>
      </c>
      <c r="F26" s="378">
        <v>2161050143.4699998</v>
      </c>
      <c r="G26" s="378">
        <v>4096994839.9099998</v>
      </c>
      <c r="H26" s="380">
        <v>6258044983.3799992</v>
      </c>
    </row>
    <row r="27" spans="1:8" ht="15.75">
      <c r="A27" s="376">
        <v>6</v>
      </c>
      <c r="B27" s="383" t="s">
        <v>827</v>
      </c>
      <c r="C27" s="378">
        <v>460147489.87989998</v>
      </c>
      <c r="D27" s="378">
        <v>267542576.20740005</v>
      </c>
      <c r="E27" s="379">
        <f t="shared" si="0"/>
        <v>727690066.08730006</v>
      </c>
      <c r="F27" s="378">
        <v>420601956.57999998</v>
      </c>
      <c r="G27" s="378">
        <v>437350020.20160002</v>
      </c>
      <c r="H27" s="380">
        <f t="shared" si="1"/>
        <v>857951976.7816</v>
      </c>
    </row>
    <row r="28" spans="1:8" ht="15.75">
      <c r="A28" s="376">
        <v>7</v>
      </c>
      <c r="B28" s="383" t="s">
        <v>828</v>
      </c>
      <c r="C28" s="603">
        <v>1082973826.1500001</v>
      </c>
      <c r="D28" s="603">
        <v>597141382.06060004</v>
      </c>
      <c r="E28" s="379">
        <f t="shared" si="0"/>
        <v>1680115208.2106001</v>
      </c>
      <c r="F28" s="378">
        <v>884232149.38999999</v>
      </c>
      <c r="G28" s="378">
        <v>737496661.61189997</v>
      </c>
      <c r="H28" s="380">
        <f t="shared" si="1"/>
        <v>1621728811.0019</v>
      </c>
    </row>
    <row r="29" spans="1:8" ht="15.75">
      <c r="A29" s="376">
        <v>8</v>
      </c>
      <c r="B29" s="383" t="s">
        <v>829</v>
      </c>
      <c r="C29" s="603">
        <v>0</v>
      </c>
      <c r="D29" s="644">
        <v>85993922.141299993</v>
      </c>
      <c r="E29" s="379">
        <f t="shared" si="0"/>
        <v>85993922.141299993</v>
      </c>
      <c r="F29" s="378">
        <v>0</v>
      </c>
      <c r="G29" s="378">
        <v>85062878.960500017</v>
      </c>
      <c r="H29" s="380">
        <f t="shared" si="1"/>
        <v>85062878.960500017</v>
      </c>
    </row>
    <row r="30" spans="1:8" ht="15.75">
      <c r="A30" s="376">
        <v>9</v>
      </c>
      <c r="B30" s="381" t="s">
        <v>184</v>
      </c>
      <c r="C30" s="378">
        <f>C31+C32+C33+C34+C35+C36+C37</f>
        <v>467682784.74000001</v>
      </c>
      <c r="D30" s="378">
        <f>D31+D32+D33+D34+D35+D36+D37</f>
        <v>4406648724.2577238</v>
      </c>
      <c r="E30" s="379">
        <f t="shared" si="0"/>
        <v>4874331508.9977236</v>
      </c>
      <c r="F30" s="378">
        <f>F31+F32+F33+F34+F35+F36+F37</f>
        <v>275528980.57999992</v>
      </c>
      <c r="G30" s="378">
        <f>G31+G32+G33+G34+G35+G36+G37</f>
        <v>5391476894.7420921</v>
      </c>
      <c r="H30" s="380">
        <f t="shared" si="1"/>
        <v>5667005875.3220921</v>
      </c>
    </row>
    <row r="31" spans="1:8" ht="25.5">
      <c r="A31" s="376">
        <v>9.1</v>
      </c>
      <c r="B31" s="382" t="s">
        <v>830</v>
      </c>
      <c r="C31" s="378">
        <v>465678827.74000001</v>
      </c>
      <c r="D31" s="378">
        <v>1971751748.9359396</v>
      </c>
      <c r="E31" s="379">
        <f t="shared" si="0"/>
        <v>2437430576.6759396</v>
      </c>
      <c r="F31" s="378">
        <v>245876244.07999992</v>
      </c>
      <c r="G31" s="378">
        <v>2650256278.045229</v>
      </c>
      <c r="H31" s="380">
        <f t="shared" si="1"/>
        <v>2896132522.1252289</v>
      </c>
    </row>
    <row r="32" spans="1:8" ht="25.5">
      <c r="A32" s="376">
        <v>9.1999999999999993</v>
      </c>
      <c r="B32" s="382" t="s">
        <v>831</v>
      </c>
      <c r="C32" s="378">
        <v>2003957</v>
      </c>
      <c r="D32" s="378">
        <v>2434896975.3217845</v>
      </c>
      <c r="E32" s="379">
        <f t="shared" si="0"/>
        <v>2436900932.3217845</v>
      </c>
      <c r="F32" s="378">
        <v>29652736.5</v>
      </c>
      <c r="G32" s="378">
        <v>2741220616.6968637</v>
      </c>
      <c r="H32" s="380">
        <f t="shared" si="1"/>
        <v>2770873353.1968637</v>
      </c>
    </row>
    <row r="33" spans="1:8" ht="15.75">
      <c r="A33" s="376">
        <v>9.3000000000000007</v>
      </c>
      <c r="B33" s="382" t="s">
        <v>832</v>
      </c>
      <c r="C33" s="378"/>
      <c r="D33" s="378"/>
      <c r="E33" s="379">
        <f t="shared" si="0"/>
        <v>0</v>
      </c>
      <c r="F33" s="378"/>
      <c r="G33" s="378"/>
      <c r="H33" s="380">
        <f t="shared" si="1"/>
        <v>0</v>
      </c>
    </row>
    <row r="34" spans="1:8" ht="15.75">
      <c r="A34" s="376">
        <v>9.4</v>
      </c>
      <c r="B34" s="382" t="s">
        <v>833</v>
      </c>
      <c r="C34" s="378"/>
      <c r="D34" s="378"/>
      <c r="E34" s="379">
        <f t="shared" si="0"/>
        <v>0</v>
      </c>
      <c r="F34" s="378"/>
      <c r="G34" s="378"/>
      <c r="H34" s="380">
        <f t="shared" si="1"/>
        <v>0</v>
      </c>
    </row>
    <row r="35" spans="1:8" ht="15.75">
      <c r="A35" s="376">
        <v>9.5</v>
      </c>
      <c r="B35" s="382" t="s">
        <v>834</v>
      </c>
      <c r="C35" s="378"/>
      <c r="D35" s="378"/>
      <c r="E35" s="379">
        <f t="shared" si="0"/>
        <v>0</v>
      </c>
      <c r="F35" s="378"/>
      <c r="G35" s="378"/>
      <c r="H35" s="380">
        <f t="shared" si="1"/>
        <v>0</v>
      </c>
    </row>
    <row r="36" spans="1:8" ht="25.5">
      <c r="A36" s="376">
        <v>9.6</v>
      </c>
      <c r="B36" s="382" t="s">
        <v>835</v>
      </c>
      <c r="C36" s="378"/>
      <c r="D36" s="378"/>
      <c r="E36" s="379">
        <f t="shared" si="0"/>
        <v>0</v>
      </c>
      <c r="F36" s="378"/>
      <c r="G36" s="378"/>
      <c r="H36" s="380">
        <f t="shared" si="1"/>
        <v>0</v>
      </c>
    </row>
    <row r="37" spans="1:8" ht="25.5">
      <c r="A37" s="376">
        <v>9.6999999999999993</v>
      </c>
      <c r="B37" s="382" t="s">
        <v>836</v>
      </c>
      <c r="C37" s="378"/>
      <c r="D37" s="378"/>
      <c r="E37" s="379">
        <f t="shared" si="0"/>
        <v>0</v>
      </c>
      <c r="F37" s="378"/>
      <c r="G37" s="378"/>
      <c r="H37" s="380">
        <f t="shared" si="1"/>
        <v>0</v>
      </c>
    </row>
    <row r="38" spans="1:8" ht="15.75">
      <c r="A38" s="376">
        <v>10</v>
      </c>
      <c r="B38" s="387" t="s">
        <v>837</v>
      </c>
      <c r="C38" s="378">
        <f>C39+C40+C41+C42</f>
        <v>354552208.85000002</v>
      </c>
      <c r="D38" s="378">
        <f>D39+D40+D41+D42</f>
        <v>86422900.936867997</v>
      </c>
      <c r="E38" s="379">
        <f t="shared" si="0"/>
        <v>440975109.78686804</v>
      </c>
      <c r="F38" s="378">
        <f>F39+F40+F41+F42</f>
        <v>227997534.45999998</v>
      </c>
      <c r="G38" s="378">
        <f>G39+G40+G41+G42</f>
        <v>91708866.618181989</v>
      </c>
      <c r="H38" s="380">
        <f t="shared" si="1"/>
        <v>319706401.07818198</v>
      </c>
    </row>
    <row r="39" spans="1:8" ht="15.75">
      <c r="A39" s="376">
        <v>10.1</v>
      </c>
      <c r="B39" s="382" t="s">
        <v>838</v>
      </c>
      <c r="C39" s="603">
        <v>45457235.409999996</v>
      </c>
      <c r="D39" s="603">
        <v>5047045.57</v>
      </c>
      <c r="E39" s="379">
        <f t="shared" si="0"/>
        <v>50504280.979999997</v>
      </c>
      <c r="F39" s="378">
        <v>31621393.359999999</v>
      </c>
      <c r="G39" s="378">
        <v>1675907.19</v>
      </c>
      <c r="H39" s="380">
        <f t="shared" si="1"/>
        <v>33297300.550000001</v>
      </c>
    </row>
    <row r="40" spans="1:8" ht="25.5">
      <c r="A40" s="376">
        <v>10.199999999999999</v>
      </c>
      <c r="B40" s="382" t="s">
        <v>839</v>
      </c>
      <c r="C40" s="603">
        <v>7438966.04</v>
      </c>
      <c r="D40" s="603">
        <v>907554.36557999998</v>
      </c>
      <c r="E40" s="379">
        <f t="shared" si="0"/>
        <v>8346520.40558</v>
      </c>
      <c r="F40" s="378">
        <v>5065670.47</v>
      </c>
      <c r="G40" s="378">
        <v>1170232.6233039999</v>
      </c>
      <c r="H40" s="380">
        <f t="shared" si="1"/>
        <v>6235903.0933039999</v>
      </c>
    </row>
    <row r="41" spans="1:8" ht="25.5">
      <c r="A41" s="376">
        <v>10.3</v>
      </c>
      <c r="B41" s="382" t="s">
        <v>840</v>
      </c>
      <c r="C41" s="603">
        <v>240481571.09</v>
      </c>
      <c r="D41" s="603">
        <v>61466495.859999999</v>
      </c>
      <c r="E41" s="379">
        <f t="shared" si="0"/>
        <v>301948066.94999999</v>
      </c>
      <c r="F41" s="378">
        <v>145749749.94999999</v>
      </c>
      <c r="G41" s="378">
        <v>67816094.799999997</v>
      </c>
      <c r="H41" s="380">
        <f t="shared" si="1"/>
        <v>213565844.75</v>
      </c>
    </row>
    <row r="42" spans="1:8" ht="25.5">
      <c r="A42" s="376">
        <v>10.4</v>
      </c>
      <c r="B42" s="382" t="s">
        <v>841</v>
      </c>
      <c r="C42" s="603">
        <v>61174436.310000002</v>
      </c>
      <c r="D42" s="603">
        <v>19001805.141287997</v>
      </c>
      <c r="E42" s="379">
        <f t="shared" si="0"/>
        <v>80176241.451288</v>
      </c>
      <c r="F42" s="378">
        <v>45560720.68</v>
      </c>
      <c r="G42" s="378">
        <v>21046632.004877999</v>
      </c>
      <c r="H42" s="380">
        <f t="shared" si="1"/>
        <v>66607352.684877999</v>
      </c>
    </row>
    <row r="43" spans="1:8" ht="15.75">
      <c r="A43" s="376">
        <v>11</v>
      </c>
      <c r="B43" s="388" t="s">
        <v>185</v>
      </c>
      <c r="C43" s="378"/>
      <c r="D43" s="378"/>
      <c r="E43" s="379">
        <f t="shared" si="0"/>
        <v>0</v>
      </c>
      <c r="F43" s="378"/>
      <c r="G43" s="378"/>
      <c r="H43" s="380">
        <f t="shared" si="1"/>
        <v>0</v>
      </c>
    </row>
    <row r="44" spans="1:8" ht="15.75">
      <c r="C44" s="390"/>
      <c r="D44" s="390"/>
      <c r="E44" s="390"/>
      <c r="F44" s="390"/>
      <c r="G44" s="390"/>
      <c r="H44" s="390"/>
    </row>
    <row r="45" spans="1:8" ht="15.75">
      <c r="C45" s="390"/>
      <c r="D45" s="390"/>
      <c r="E45" s="390"/>
      <c r="F45" s="390"/>
      <c r="G45" s="390"/>
      <c r="H45" s="390"/>
    </row>
    <row r="46" spans="1:8" ht="15.75">
      <c r="C46" s="390"/>
      <c r="D46" s="390"/>
      <c r="E46" s="390"/>
      <c r="F46" s="390"/>
      <c r="G46" s="390"/>
      <c r="H46" s="390"/>
    </row>
    <row r="47" spans="1:8" ht="15.75">
      <c r="C47" s="390"/>
      <c r="D47" s="390"/>
      <c r="E47" s="390"/>
      <c r="F47" s="390"/>
      <c r="G47" s="390"/>
      <c r="H47" s="39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3" sqref="B23"/>
    </sheetView>
  </sheetViews>
  <sheetFormatPr defaultColWidth="9.140625" defaultRowHeight="12.75"/>
  <cols>
    <col min="1" max="1" width="9.5703125" style="2" bestFit="1" customWidth="1"/>
    <col min="2" max="2" width="93.5703125" style="2" customWidth="1"/>
    <col min="3" max="4" width="12.7109375" style="2" customWidth="1"/>
    <col min="5" max="7" width="11.7109375" style="10" bestFit="1" customWidth="1"/>
    <col min="8" max="8" width="9.7109375" style="10" customWidth="1"/>
    <col min="9" max="16384" width="9.140625" style="10"/>
  </cols>
  <sheetData>
    <row r="1" spans="1:8" ht="15">
      <c r="A1" s="15" t="s">
        <v>108</v>
      </c>
      <c r="B1" s="14" t="str">
        <f>Info!C2</f>
        <v>სს ”საქართველოს ბანკი”</v>
      </c>
      <c r="C1" s="14"/>
      <c r="D1" s="201"/>
    </row>
    <row r="2" spans="1:8" ht="15">
      <c r="A2" s="15" t="s">
        <v>109</v>
      </c>
      <c r="B2" s="308">
        <f>'1. key ratios'!B2</f>
        <v>45016</v>
      </c>
      <c r="C2" s="27"/>
      <c r="D2" s="533"/>
      <c r="E2" s="9"/>
      <c r="F2" s="9"/>
      <c r="G2" s="9"/>
      <c r="H2" s="9"/>
    </row>
    <row r="3" spans="1:8" ht="15">
      <c r="A3" s="15"/>
      <c r="B3" s="14"/>
      <c r="C3" s="27"/>
      <c r="D3" s="16"/>
      <c r="E3" s="9"/>
      <c r="F3" s="9"/>
      <c r="G3" s="9"/>
      <c r="H3" s="9"/>
    </row>
    <row r="4" spans="1:8" ht="15" customHeight="1" thickBot="1">
      <c r="A4" s="124" t="s">
        <v>252</v>
      </c>
      <c r="B4" s="125" t="s">
        <v>107</v>
      </c>
      <c r="C4" s="126" t="s">
        <v>87</v>
      </c>
    </row>
    <row r="5" spans="1:8" ht="15" customHeight="1">
      <c r="A5" s="122" t="s">
        <v>25</v>
      </c>
      <c r="B5" s="123"/>
      <c r="C5" s="297" t="str">
        <f>INT((MONTH($B$2))/3)&amp;"Q"&amp;"-"&amp;YEAR($B$2)</f>
        <v>1Q-2023</v>
      </c>
      <c r="D5" s="297" t="str">
        <f>IF(INT(MONTH($B$2))=3, "4"&amp;"Q"&amp;"-"&amp;YEAR($B$2)-1, IF(INT(MONTH($B$2))=6, "1"&amp;"Q"&amp;"-"&amp;YEAR($B$2), IF(INT(MONTH($B$2))=9, "2"&amp;"Q"&amp;"-"&amp;YEAR($B$2),IF(INT(MONTH($B$2))=12, "3"&amp;"Q"&amp;"-"&amp;YEAR($B$2), 0))))</f>
        <v>4Q-2022</v>
      </c>
      <c r="E5" s="297" t="str">
        <f>IF(INT(MONTH($B$2))=3, "3"&amp;"Q"&amp;"-"&amp;YEAR($B$2)-1, IF(INT(MONTH($B$2))=6, "4"&amp;"Q"&amp;"-"&amp;YEAR($B$2)-1, IF(INT(MONTH($B$2))=9, "1"&amp;"Q"&amp;"-"&amp;YEAR($B$2),IF(INT(MONTH($B$2))=12, "2"&amp;"Q"&amp;"-"&amp;YEAR($B$2), 0))))</f>
        <v>3Q-2022</v>
      </c>
      <c r="F5" s="297" t="str">
        <f>IF(INT(MONTH($B$2))=3, "2"&amp;"Q"&amp;"-"&amp;YEAR($B$2)-1, IF(INT(MONTH($B$2))=6, "3"&amp;"Q"&amp;"-"&amp;YEAR($B$2)-1, IF(INT(MONTH($B$2))=9, "4"&amp;"Q"&amp;"-"&amp;YEAR($B$2)-1,IF(INT(MONTH($B$2))=12, "1"&amp;"Q"&amp;"-"&amp;YEAR($B$2), 0))))</f>
        <v>2Q-2022</v>
      </c>
      <c r="G5" s="297" t="str">
        <f>IF(INT(MONTH($B$2))=3, "1"&amp;"Q"&amp;"-"&amp;YEAR($B$2)-1, IF(INT(MONTH($B$2))=6, "2"&amp;"Q"&amp;"-"&amp;YEAR($B$2)-1, IF(INT(MONTH($B$2))=9, "3"&amp;"Q"&amp;"-"&amp;YEAR($B$2)-1,IF(INT(MONTH($B$2))=12, "4"&amp;"Q"&amp;"-"&amp;YEAR($B$2)-1, 0))))</f>
        <v>1Q-2022</v>
      </c>
    </row>
    <row r="6" spans="1:8" ht="15" customHeight="1">
      <c r="A6" s="231">
        <v>1</v>
      </c>
      <c r="B6" s="283" t="s">
        <v>112</v>
      </c>
      <c r="C6" s="232">
        <f>C7+C9+C10</f>
        <v>17087179299.749371</v>
      </c>
      <c r="D6" s="286">
        <f>D7+D9+D10</f>
        <v>17451383093.870884</v>
      </c>
      <c r="E6" s="233">
        <f t="shared" ref="E6:G6" si="0">E7+E9+E10</f>
        <v>17385480990.604816</v>
      </c>
      <c r="F6" s="232">
        <f t="shared" si="0"/>
        <v>16444434337.824961</v>
      </c>
      <c r="G6" s="287">
        <f t="shared" si="0"/>
        <v>16595665556.213942</v>
      </c>
    </row>
    <row r="7" spans="1:8" ht="15" customHeight="1">
      <c r="A7" s="231">
        <v>1.1000000000000001</v>
      </c>
      <c r="B7" s="234" t="s">
        <v>435</v>
      </c>
      <c r="C7" s="235">
        <v>16253110501.412691</v>
      </c>
      <c r="D7" s="235">
        <v>16590135222.602516</v>
      </c>
      <c r="E7" s="235">
        <v>16581105612.659035</v>
      </c>
      <c r="F7" s="235">
        <v>15893852296.720985</v>
      </c>
      <c r="G7" s="235">
        <v>15800923530.44376</v>
      </c>
    </row>
    <row r="8" spans="1:8" ht="25.5">
      <c r="A8" s="231" t="s">
        <v>157</v>
      </c>
      <c r="B8" s="236" t="s">
        <v>249</v>
      </c>
      <c r="C8" s="235">
        <v>148555914.72509998</v>
      </c>
      <c r="D8" s="235">
        <v>151804720.6652</v>
      </c>
      <c r="E8" s="235">
        <v>151781826.95207024</v>
      </c>
      <c r="F8" s="235">
        <v>151915119.46799999</v>
      </c>
      <c r="G8" s="235">
        <v>151901396.94800001</v>
      </c>
    </row>
    <row r="9" spans="1:8" ht="15" customHeight="1">
      <c r="A9" s="231">
        <v>1.2</v>
      </c>
      <c r="B9" s="234" t="s">
        <v>21</v>
      </c>
      <c r="C9" s="235">
        <v>824012837.25019991</v>
      </c>
      <c r="D9" s="235">
        <v>845605725.42429984</v>
      </c>
      <c r="E9" s="235">
        <v>792046718.06011248</v>
      </c>
      <c r="F9" s="235">
        <v>533980042.96208745</v>
      </c>
      <c r="G9" s="235">
        <v>775483378.79502511</v>
      </c>
    </row>
    <row r="10" spans="1:8" ht="15" customHeight="1">
      <c r="A10" s="231">
        <v>1.3</v>
      </c>
      <c r="B10" s="284" t="s">
        <v>74</v>
      </c>
      <c r="C10" s="235">
        <v>10055961.086479401</v>
      </c>
      <c r="D10" s="235">
        <v>15642145.844064999</v>
      </c>
      <c r="E10" s="235">
        <v>12328659.885669002</v>
      </c>
      <c r="F10" s="235">
        <v>16601998.1418876</v>
      </c>
      <c r="G10" s="235">
        <v>19258646.975155998</v>
      </c>
    </row>
    <row r="11" spans="1:8" ht="15" customHeight="1">
      <c r="A11" s="231">
        <v>2</v>
      </c>
      <c r="B11" s="283" t="s">
        <v>113</v>
      </c>
      <c r="C11" s="235">
        <v>35275073.636974022</v>
      </c>
      <c r="D11" s="235">
        <v>108999294.88707557</v>
      </c>
      <c r="E11" s="235">
        <v>95876354.65144597</v>
      </c>
      <c r="F11" s="235">
        <v>153963489.39625639</v>
      </c>
      <c r="G11" s="235">
        <v>46626056.179577142</v>
      </c>
    </row>
    <row r="12" spans="1:8" ht="15" customHeight="1">
      <c r="A12" s="246">
        <v>3</v>
      </c>
      <c r="B12" s="285" t="s">
        <v>111</v>
      </c>
      <c r="C12" s="235">
        <v>2507003750</v>
      </c>
      <c r="D12" s="235">
        <v>2507003750</v>
      </c>
      <c r="E12" s="235">
        <v>2006159999.9999998</v>
      </c>
      <c r="F12" s="235">
        <v>2006159999.9999998</v>
      </c>
      <c r="G12" s="235">
        <v>2006159999.9999998</v>
      </c>
    </row>
    <row r="13" spans="1:8" ht="15" customHeight="1" thickBot="1">
      <c r="A13" s="72">
        <v>4</v>
      </c>
      <c r="B13" s="290" t="s">
        <v>158</v>
      </c>
      <c r="C13" s="142">
        <f>C6+C11+C12</f>
        <v>19629458123.386345</v>
      </c>
      <c r="D13" s="288">
        <f>D6+D11+D12</f>
        <v>20067386138.757961</v>
      </c>
      <c r="E13" s="143">
        <f t="shared" ref="E13:G13" si="1">E6+E11+E12</f>
        <v>19487517345.256264</v>
      </c>
      <c r="F13" s="142">
        <f t="shared" si="1"/>
        <v>18604557827.221214</v>
      </c>
      <c r="G13" s="289">
        <f t="shared" si="1"/>
        <v>18648451612.393517</v>
      </c>
    </row>
    <row r="14" spans="1:8">
      <c r="B14" s="21"/>
    </row>
    <row r="15" spans="1:8" ht="25.5">
      <c r="B15" s="53" t="s">
        <v>436</v>
      </c>
      <c r="C15" s="532"/>
      <c r="D15" s="532"/>
      <c r="E15" s="532"/>
      <c r="F15" s="532"/>
      <c r="G15" s="532"/>
    </row>
    <row r="16" spans="1:8">
      <c r="B16" s="53"/>
    </row>
    <row r="17" spans="2:2">
      <c r="B17" s="53"/>
    </row>
    <row r="18" spans="2:2">
      <c r="B18" s="5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showGridLines="0" zoomScaleNormal="100" workbookViewId="0">
      <pane xSplit="1" ySplit="4" topLeftCell="B5" activePane="bottomRight" state="frozen"/>
      <selection pane="topRight" activeCell="B1" sqref="B1"/>
      <selection pane="bottomLeft" activeCell="A4" sqref="A4"/>
      <selection pane="bottomRight" activeCell="B16" sqref="B16:C16"/>
    </sheetView>
  </sheetViews>
  <sheetFormatPr defaultRowHeight="15"/>
  <cols>
    <col min="1" max="1" width="9.5703125" style="2" bestFit="1" customWidth="1"/>
    <col min="2" max="2" width="58.85546875" style="2" customWidth="1"/>
    <col min="3" max="3" width="118.7109375" style="2" customWidth="1"/>
  </cols>
  <sheetData>
    <row r="1" spans="1:3">
      <c r="A1" s="2" t="s">
        <v>108</v>
      </c>
      <c r="B1" s="201" t="str">
        <f>Info!C2</f>
        <v>სს ”საქართველოს ბანკი”</v>
      </c>
    </row>
    <row r="2" spans="1:3">
      <c r="A2" s="2" t="s">
        <v>109</v>
      </c>
      <c r="B2" s="308">
        <f>'1. key ratios'!B2</f>
        <v>45016</v>
      </c>
    </row>
    <row r="4" spans="1:3" ht="30.75" thickBot="1">
      <c r="A4" s="138" t="s">
        <v>253</v>
      </c>
      <c r="B4" s="29" t="s">
        <v>91</v>
      </c>
      <c r="C4" s="11"/>
    </row>
    <row r="5" spans="1:3" ht="15.75">
      <c r="A5" s="8"/>
      <c r="B5" s="278" t="s">
        <v>92</v>
      </c>
      <c r="C5" s="295" t="s">
        <v>449</v>
      </c>
    </row>
    <row r="6" spans="1:3">
      <c r="A6" s="12">
        <v>1</v>
      </c>
      <c r="B6" s="645" t="s">
        <v>960</v>
      </c>
      <c r="C6" s="646" t="s">
        <v>961</v>
      </c>
    </row>
    <row r="7" spans="1:3">
      <c r="A7" s="12">
        <v>2</v>
      </c>
      <c r="B7" s="647" t="s">
        <v>962</v>
      </c>
      <c r="C7" s="646" t="s">
        <v>963</v>
      </c>
    </row>
    <row r="8" spans="1:3">
      <c r="A8" s="12">
        <v>3</v>
      </c>
      <c r="B8" s="647" t="s">
        <v>964</v>
      </c>
      <c r="C8" s="646" t="s">
        <v>963</v>
      </c>
    </row>
    <row r="9" spans="1:3">
      <c r="A9" s="12">
        <v>4</v>
      </c>
      <c r="B9" s="647" t="s">
        <v>965</v>
      </c>
      <c r="C9" s="646" t="s">
        <v>963</v>
      </c>
    </row>
    <row r="10" spans="1:3">
      <c r="A10" s="12">
        <v>5</v>
      </c>
      <c r="B10" s="647" t="s">
        <v>966</v>
      </c>
      <c r="C10" s="646" t="s">
        <v>967</v>
      </c>
    </row>
    <row r="11" spans="1:3">
      <c r="A11" s="12">
        <v>6</v>
      </c>
      <c r="B11" s="647" t="s">
        <v>968</v>
      </c>
      <c r="C11" s="646" t="s">
        <v>967</v>
      </c>
    </row>
    <row r="12" spans="1:3">
      <c r="A12" s="12">
        <v>7</v>
      </c>
      <c r="B12" s="647" t="s">
        <v>969</v>
      </c>
      <c r="C12" s="646" t="s">
        <v>967</v>
      </c>
    </row>
    <row r="13" spans="1:3">
      <c r="A13" s="12">
        <v>8</v>
      </c>
      <c r="B13" s="647" t="s">
        <v>970</v>
      </c>
      <c r="C13" s="646" t="s">
        <v>967</v>
      </c>
    </row>
    <row r="14" spans="1:3">
      <c r="A14" s="12"/>
      <c r="B14" s="30"/>
      <c r="C14" s="291"/>
    </row>
    <row r="15" spans="1:3">
      <c r="A15" s="12"/>
      <c r="B15" s="30"/>
      <c r="C15" s="291"/>
    </row>
    <row r="16" spans="1:3">
      <c r="A16" s="12"/>
      <c r="B16" s="798"/>
      <c r="C16" s="799"/>
    </row>
    <row r="17" spans="1:3">
      <c r="A17" s="12"/>
      <c r="B17" s="279" t="s">
        <v>93</v>
      </c>
      <c r="C17" s="296" t="s">
        <v>450</v>
      </c>
    </row>
    <row r="18" spans="1:3">
      <c r="A18" s="12">
        <v>1</v>
      </c>
      <c r="B18" s="648" t="s">
        <v>971</v>
      </c>
      <c r="C18" s="649" t="s">
        <v>972</v>
      </c>
    </row>
    <row r="19" spans="1:3">
      <c r="A19" s="12">
        <v>2</v>
      </c>
      <c r="B19" s="650" t="s">
        <v>973</v>
      </c>
      <c r="C19" s="651" t="s">
        <v>974</v>
      </c>
    </row>
    <row r="20" spans="1:3">
      <c r="A20" s="12">
        <v>3</v>
      </c>
      <c r="B20" s="650" t="s">
        <v>975</v>
      </c>
      <c r="C20" s="651" t="s">
        <v>974</v>
      </c>
    </row>
    <row r="21" spans="1:3">
      <c r="A21" s="12">
        <v>4</v>
      </c>
      <c r="B21" s="650" t="s">
        <v>976</v>
      </c>
      <c r="C21" s="651" t="s">
        <v>974</v>
      </c>
    </row>
    <row r="22" spans="1:3">
      <c r="A22" s="12">
        <v>5</v>
      </c>
      <c r="B22" s="650" t="s">
        <v>977</v>
      </c>
      <c r="C22" s="651" t="s">
        <v>978</v>
      </c>
    </row>
    <row r="23" spans="1:3">
      <c r="A23" s="12">
        <v>6</v>
      </c>
      <c r="B23" s="650" t="s">
        <v>979</v>
      </c>
      <c r="C23" s="651" t="s">
        <v>980</v>
      </c>
    </row>
    <row r="24" spans="1:3">
      <c r="A24" s="12">
        <v>7</v>
      </c>
      <c r="B24" s="650" t="s">
        <v>981</v>
      </c>
      <c r="C24" s="651" t="s">
        <v>982</v>
      </c>
    </row>
    <row r="25" spans="1:3">
      <c r="A25" s="12">
        <v>8</v>
      </c>
      <c r="B25" s="650" t="s">
        <v>983</v>
      </c>
      <c r="C25" s="651" t="s">
        <v>984</v>
      </c>
    </row>
    <row r="26" spans="1:3" ht="15.75">
      <c r="A26" s="12"/>
      <c r="B26" s="25"/>
      <c r="C26" s="293"/>
    </row>
    <row r="27" spans="1:3" ht="15.75">
      <c r="A27" s="12"/>
      <c r="B27" s="25"/>
      <c r="C27" s="294"/>
    </row>
    <row r="28" spans="1:3" ht="15.75">
      <c r="A28" s="12"/>
      <c r="B28" s="25"/>
      <c r="C28" s="26"/>
    </row>
    <row r="29" spans="1:3">
      <c r="A29" s="12"/>
      <c r="B29" s="802" t="s">
        <v>94</v>
      </c>
      <c r="C29" s="803"/>
    </row>
    <row r="30" spans="1:3" ht="15.75">
      <c r="A30" s="12">
        <v>1</v>
      </c>
      <c r="B30" s="652" t="s">
        <v>985</v>
      </c>
      <c r="C30" s="653">
        <v>0.19770973141775675</v>
      </c>
    </row>
    <row r="31" spans="1:3">
      <c r="A31" s="12"/>
      <c r="B31" s="654" t="s">
        <v>986</v>
      </c>
      <c r="C31" s="653" t="s">
        <v>987</v>
      </c>
    </row>
    <row r="32" spans="1:3">
      <c r="A32" s="12"/>
      <c r="B32" s="800" t="s">
        <v>988</v>
      </c>
      <c r="C32" s="801"/>
    </row>
    <row r="33" spans="1:3" ht="15.75" thickBot="1">
      <c r="A33" s="12">
        <v>1</v>
      </c>
      <c r="B33" s="655" t="s">
        <v>989</v>
      </c>
      <c r="C33" s="656">
        <v>0.20300000000000001</v>
      </c>
    </row>
    <row r="34" spans="1:3" ht="16.5" thickBot="1">
      <c r="A34" s="13"/>
      <c r="B34" s="31"/>
      <c r="C34" s="292"/>
    </row>
  </sheetData>
  <mergeCells count="3">
    <mergeCell ref="B16:C16"/>
    <mergeCell ref="B32:C32"/>
    <mergeCell ref="B29:C29"/>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H37" sqref="H37"/>
    </sheetView>
  </sheetViews>
  <sheetFormatPr defaultRowHeight="15"/>
  <cols>
    <col min="1" max="1" width="9.5703125" style="2" bestFit="1" customWidth="1"/>
    <col min="2" max="2" width="74.5703125" style="2" customWidth="1"/>
    <col min="3" max="3" width="28" style="672" customWidth="1"/>
    <col min="4" max="4" width="25.5703125" style="672" customWidth="1"/>
    <col min="5" max="5" width="31.140625" style="672" customWidth="1"/>
    <col min="6" max="6" width="12" bestFit="1" customWidth="1"/>
    <col min="7" max="7" width="12.5703125" bestFit="1" customWidth="1"/>
  </cols>
  <sheetData>
    <row r="1" spans="1:7" ht="15.75">
      <c r="A1" s="15" t="s">
        <v>108</v>
      </c>
      <c r="B1" s="14" t="str">
        <f>Info!C2</f>
        <v>სს ”საქართველოს ბანკი”</v>
      </c>
    </row>
    <row r="2" spans="1:7" s="19" customFormat="1">
      <c r="A2" s="19" t="s">
        <v>109</v>
      </c>
      <c r="B2" s="308">
        <f>'1. key ratios'!B2</f>
        <v>45016</v>
      </c>
      <c r="C2" s="673"/>
      <c r="D2" s="673"/>
      <c r="E2" s="673"/>
    </row>
    <row r="3" spans="1:7" s="19" customFormat="1">
      <c r="C3" s="673"/>
      <c r="D3" s="673"/>
      <c r="E3" s="673"/>
    </row>
    <row r="4" spans="1:7" s="19" customFormat="1" ht="15.75" thickBot="1">
      <c r="A4" s="19" t="s">
        <v>254</v>
      </c>
      <c r="B4" s="732" t="s">
        <v>168</v>
      </c>
      <c r="C4" s="673"/>
      <c r="D4" s="673"/>
      <c r="E4" s="674" t="s">
        <v>87</v>
      </c>
    </row>
    <row r="5" spans="1:7" s="68" customFormat="1" ht="12.75">
      <c r="A5" s="213"/>
      <c r="B5" s="214"/>
      <c r="C5" s="675" t="s">
        <v>0</v>
      </c>
      <c r="D5" s="675" t="s">
        <v>1</v>
      </c>
      <c r="E5" s="676" t="s">
        <v>2</v>
      </c>
    </row>
    <row r="6" spans="1:7" s="76" customFormat="1">
      <c r="A6" s="736"/>
      <c r="B6" s="804" t="s">
        <v>144</v>
      </c>
      <c r="C6" s="805" t="s">
        <v>855</v>
      </c>
      <c r="D6" s="806" t="s">
        <v>143</v>
      </c>
      <c r="E6" s="807"/>
      <c r="G6"/>
    </row>
    <row r="7" spans="1:7" s="76" customFormat="1" ht="63.75">
      <c r="A7" s="736"/>
      <c r="B7" s="804"/>
      <c r="C7" s="805"/>
      <c r="D7" s="733" t="s">
        <v>142</v>
      </c>
      <c r="E7" s="737" t="s">
        <v>352</v>
      </c>
      <c r="G7"/>
    </row>
    <row r="8" spans="1:7" s="76" customFormat="1" ht="21">
      <c r="A8" s="721">
        <v>1</v>
      </c>
      <c r="B8" s="606" t="s">
        <v>842</v>
      </c>
      <c r="C8" s="734">
        <f>SUM(C9:C11)</f>
        <v>4174042999.7279997</v>
      </c>
      <c r="D8" s="734">
        <f t="shared" ref="D8:E8" si="0">SUM(D9:D11)</f>
        <v>0</v>
      </c>
      <c r="E8" s="738">
        <f t="shared" si="0"/>
        <v>4174042999.7279997</v>
      </c>
      <c r="G8"/>
    </row>
    <row r="9" spans="1:7" s="76" customFormat="1">
      <c r="A9" s="721">
        <v>1.1000000000000001</v>
      </c>
      <c r="B9" s="608" t="s">
        <v>96</v>
      </c>
      <c r="C9" s="734">
        <f>'2. SOFP'!E8</f>
        <v>740907086.68799996</v>
      </c>
      <c r="D9" s="734"/>
      <c r="E9" s="677">
        <f>C9-D9</f>
        <v>740907086.68799996</v>
      </c>
      <c r="G9"/>
    </row>
    <row r="10" spans="1:7" s="76" customFormat="1">
      <c r="A10" s="721">
        <v>1.2</v>
      </c>
      <c r="B10" s="608" t="s">
        <v>97</v>
      </c>
      <c r="C10" s="734">
        <f>'2. SOFP'!E9</f>
        <v>2442890078.1999998</v>
      </c>
      <c r="D10" s="734"/>
      <c r="E10" s="677">
        <f t="shared" ref="E10:E36" si="1">C10-D10</f>
        <v>2442890078.1999998</v>
      </c>
      <c r="G10"/>
    </row>
    <row r="11" spans="1:7" s="76" customFormat="1">
      <c r="A11" s="721">
        <v>1.3</v>
      </c>
      <c r="B11" s="608" t="s">
        <v>98</v>
      </c>
      <c r="C11" s="734">
        <f>'2. SOFP'!E10</f>
        <v>990245834.84000015</v>
      </c>
      <c r="D11" s="734"/>
      <c r="E11" s="677">
        <f t="shared" si="1"/>
        <v>990245834.84000015</v>
      </c>
      <c r="G11"/>
    </row>
    <row r="12" spans="1:7" s="76" customFormat="1">
      <c r="A12" s="721">
        <v>2</v>
      </c>
      <c r="B12" s="609" t="s">
        <v>729</v>
      </c>
      <c r="C12" s="734">
        <f>'2. SOFP'!E11</f>
        <v>19264077.770000003</v>
      </c>
      <c r="D12" s="734"/>
      <c r="E12" s="677">
        <f t="shared" si="1"/>
        <v>19264077.770000003</v>
      </c>
      <c r="G12"/>
    </row>
    <row r="13" spans="1:7" s="76" customFormat="1">
      <c r="A13" s="721">
        <v>2.1</v>
      </c>
      <c r="B13" s="610" t="s">
        <v>730</v>
      </c>
      <c r="C13" s="734">
        <f>'2. SOFP'!E12</f>
        <v>19264077.770000003</v>
      </c>
      <c r="D13" s="734"/>
      <c r="E13" s="677">
        <f t="shared" si="1"/>
        <v>19264077.770000003</v>
      </c>
      <c r="G13"/>
    </row>
    <row r="14" spans="1:7" s="76" customFormat="1" ht="21">
      <c r="A14" s="721">
        <v>3</v>
      </c>
      <c r="B14" s="611" t="s">
        <v>731</v>
      </c>
      <c r="C14" s="734">
        <f>'2. SOFP'!E13</f>
        <v>0</v>
      </c>
      <c r="D14" s="734"/>
      <c r="E14" s="677">
        <f t="shared" si="1"/>
        <v>0</v>
      </c>
      <c r="G14"/>
    </row>
    <row r="15" spans="1:7" s="76" customFormat="1" ht="21">
      <c r="A15" s="721">
        <v>4</v>
      </c>
      <c r="B15" s="612" t="s">
        <v>732</v>
      </c>
      <c r="C15" s="734">
        <f>'2. SOFP'!E14</f>
        <v>0</v>
      </c>
      <c r="D15" s="734"/>
      <c r="E15" s="677">
        <f t="shared" si="1"/>
        <v>0</v>
      </c>
      <c r="G15"/>
    </row>
    <row r="16" spans="1:7" s="76" customFormat="1" ht="21">
      <c r="A16" s="721">
        <v>5</v>
      </c>
      <c r="B16" s="612" t="s">
        <v>733</v>
      </c>
      <c r="C16" s="734">
        <f>SUM(C17:C19)</f>
        <v>3855842339.2587996</v>
      </c>
      <c r="D16" s="734">
        <f t="shared" ref="D16:E16" si="2">SUM(D17:D19)</f>
        <v>4435622.9763000002</v>
      </c>
      <c r="E16" s="738">
        <f t="shared" si="2"/>
        <v>3851406716.2824998</v>
      </c>
      <c r="G16"/>
    </row>
    <row r="17" spans="1:7" s="76" customFormat="1">
      <c r="A17" s="721">
        <v>5.0999999999999996</v>
      </c>
      <c r="B17" s="614" t="s">
        <v>734</v>
      </c>
      <c r="C17" s="734">
        <f>'2. SOFP'!E16</f>
        <v>5020756.2563000005</v>
      </c>
      <c r="D17" s="734">
        <f>'9. Capital'!C18</f>
        <v>4435622.9763000002</v>
      </c>
      <c r="E17" s="677">
        <f t="shared" si="1"/>
        <v>585133.28000000026</v>
      </c>
      <c r="G17"/>
    </row>
    <row r="18" spans="1:7" s="76" customFormat="1">
      <c r="A18" s="721">
        <v>5.2</v>
      </c>
      <c r="B18" s="614" t="s">
        <v>568</v>
      </c>
      <c r="C18" s="734">
        <f>'2. SOFP'!E17</f>
        <v>3850821583.0024996</v>
      </c>
      <c r="D18" s="734"/>
      <c r="E18" s="677">
        <f t="shared" si="1"/>
        <v>3850821583.0024996</v>
      </c>
      <c r="G18"/>
    </row>
    <row r="19" spans="1:7" s="76" customFormat="1">
      <c r="A19" s="721">
        <v>5.3</v>
      </c>
      <c r="B19" s="614" t="s">
        <v>735</v>
      </c>
      <c r="C19" s="734">
        <f>'2. SOFP'!E18</f>
        <v>0</v>
      </c>
      <c r="D19" s="734"/>
      <c r="E19" s="677">
        <f t="shared" si="1"/>
        <v>0</v>
      </c>
      <c r="G19"/>
    </row>
    <row r="20" spans="1:7" s="76" customFormat="1">
      <c r="A20" s="721">
        <v>6</v>
      </c>
      <c r="B20" s="611" t="s">
        <v>736</v>
      </c>
      <c r="C20" s="734">
        <f>SUM(C21:C22)</f>
        <v>16831819288.718208</v>
      </c>
      <c r="D20" s="734">
        <f t="shared" ref="D20:E20" si="3">SUM(D21:D22)</f>
        <v>0</v>
      </c>
      <c r="E20" s="738">
        <f t="shared" si="3"/>
        <v>16831819288.718208</v>
      </c>
      <c r="G20"/>
    </row>
    <row r="21" spans="1:7">
      <c r="A21" s="721">
        <v>6.1</v>
      </c>
      <c r="B21" s="614" t="s">
        <v>568</v>
      </c>
      <c r="C21" s="734">
        <f>'2. SOFP'!E20</f>
        <v>423897169.8707</v>
      </c>
      <c r="D21" s="735"/>
      <c r="E21" s="677">
        <f t="shared" si="1"/>
        <v>423897169.8707</v>
      </c>
    </row>
    <row r="22" spans="1:7">
      <c r="A22" s="721">
        <v>6.2</v>
      </c>
      <c r="B22" s="614" t="s">
        <v>735</v>
      </c>
      <c r="C22" s="734">
        <f>'2. SOFP'!E21</f>
        <v>16407922118.847507</v>
      </c>
      <c r="D22" s="735"/>
      <c r="E22" s="677">
        <f t="shared" si="1"/>
        <v>16407922118.847507</v>
      </c>
    </row>
    <row r="23" spans="1:7">
      <c r="A23" s="721">
        <v>7</v>
      </c>
      <c r="B23" s="615" t="s">
        <v>737</v>
      </c>
      <c r="C23" s="734">
        <f>'2. SOFP'!E22</f>
        <v>157546642.32999998</v>
      </c>
      <c r="D23" s="678">
        <v>9467557.6500000004</v>
      </c>
      <c r="E23" s="677">
        <f t="shared" si="1"/>
        <v>148079084.67999998</v>
      </c>
    </row>
    <row r="24" spans="1:7">
      <c r="A24" s="721">
        <v>8</v>
      </c>
      <c r="B24" s="615" t="s">
        <v>738</v>
      </c>
      <c r="C24" s="734">
        <f>'2. SOFP'!E23</f>
        <v>30451310.469999995</v>
      </c>
      <c r="D24" s="678">
        <v>0</v>
      </c>
      <c r="E24" s="677">
        <f t="shared" si="1"/>
        <v>30451310.469999995</v>
      </c>
    </row>
    <row r="25" spans="1:7">
      <c r="A25" s="721">
        <v>9</v>
      </c>
      <c r="B25" s="612" t="s">
        <v>739</v>
      </c>
      <c r="C25" s="735">
        <f>SUM(C26:C27)</f>
        <v>604632715.68999994</v>
      </c>
      <c r="D25" s="735">
        <f t="shared" ref="D25:E25" si="4">SUM(D26:D27)</f>
        <v>2358668.17</v>
      </c>
      <c r="E25" s="739">
        <f t="shared" si="4"/>
        <v>602274047.51999998</v>
      </c>
    </row>
    <row r="26" spans="1:7">
      <c r="A26" s="721">
        <v>9.1</v>
      </c>
      <c r="B26" s="616" t="s">
        <v>740</v>
      </c>
      <c r="C26" s="734">
        <f>'2. SOFP'!E25</f>
        <v>452259138.08999997</v>
      </c>
      <c r="D26" s="735">
        <f>'2. SOFP'!E64</f>
        <v>2358668.17</v>
      </c>
      <c r="E26" s="677">
        <f t="shared" si="1"/>
        <v>449900469.91999996</v>
      </c>
    </row>
    <row r="27" spans="1:7">
      <c r="A27" s="721">
        <v>9.1999999999999993</v>
      </c>
      <c r="B27" s="616" t="s">
        <v>741</v>
      </c>
      <c r="C27" s="734">
        <f>'2. SOFP'!E26</f>
        <v>152373577.59999999</v>
      </c>
      <c r="D27" s="735"/>
      <c r="E27" s="677">
        <f t="shared" si="1"/>
        <v>152373577.59999999</v>
      </c>
    </row>
    <row r="28" spans="1:7">
      <c r="A28" s="721">
        <v>10</v>
      </c>
      <c r="B28" s="612" t="s">
        <v>36</v>
      </c>
      <c r="C28" s="735">
        <f>SUM(C29:C30)</f>
        <v>159471238.15000001</v>
      </c>
      <c r="D28" s="735">
        <f t="shared" ref="D28:E28" si="5">SUM(D29:D30)</f>
        <v>159471238.15000001</v>
      </c>
      <c r="E28" s="739">
        <f t="shared" si="5"/>
        <v>0</v>
      </c>
    </row>
    <row r="29" spans="1:7">
      <c r="A29" s="721">
        <v>10.1</v>
      </c>
      <c r="B29" s="616" t="s">
        <v>742</v>
      </c>
      <c r="C29" s="734">
        <f>'2. SOFP'!E28</f>
        <v>33331342.84</v>
      </c>
      <c r="D29" s="735">
        <f>C29</f>
        <v>33331342.84</v>
      </c>
      <c r="E29" s="677">
        <f t="shared" si="1"/>
        <v>0</v>
      </c>
    </row>
    <row r="30" spans="1:7">
      <c r="A30" s="721">
        <v>10.199999999999999</v>
      </c>
      <c r="B30" s="616" t="s">
        <v>743</v>
      </c>
      <c r="C30" s="734">
        <f>'2. SOFP'!E29</f>
        <v>126139895.31</v>
      </c>
      <c r="D30" s="735">
        <f>C30</f>
        <v>126139895.31</v>
      </c>
      <c r="E30" s="677">
        <f t="shared" si="1"/>
        <v>0</v>
      </c>
    </row>
    <row r="31" spans="1:7">
      <c r="A31" s="721">
        <v>11</v>
      </c>
      <c r="B31" s="612" t="s">
        <v>744</v>
      </c>
      <c r="C31" s="735">
        <f>SUM(C32:C33)</f>
        <v>0</v>
      </c>
      <c r="D31" s="735">
        <f t="shared" ref="D31:E31" si="6">SUM(D32:D33)</f>
        <v>0</v>
      </c>
      <c r="E31" s="739">
        <f t="shared" si="6"/>
        <v>0</v>
      </c>
    </row>
    <row r="32" spans="1:7">
      <c r="A32" s="721">
        <v>11.1</v>
      </c>
      <c r="B32" s="616" t="s">
        <v>745</v>
      </c>
      <c r="C32" s="734">
        <f>'2. SOFP'!E31</f>
        <v>0</v>
      </c>
      <c r="D32" s="735"/>
      <c r="E32" s="677">
        <f t="shared" si="1"/>
        <v>0</v>
      </c>
    </row>
    <row r="33" spans="1:7">
      <c r="A33" s="721">
        <v>11.2</v>
      </c>
      <c r="B33" s="616" t="s">
        <v>746</v>
      </c>
      <c r="C33" s="734">
        <f>'2. SOFP'!E32</f>
        <v>0</v>
      </c>
      <c r="D33" s="735"/>
      <c r="E33" s="677">
        <f t="shared" si="1"/>
        <v>0</v>
      </c>
    </row>
    <row r="34" spans="1:7">
      <c r="A34" s="721">
        <v>13</v>
      </c>
      <c r="B34" s="612" t="s">
        <v>99</v>
      </c>
      <c r="C34" s="734">
        <f>'2. SOFP'!E33</f>
        <v>371038326.58919162</v>
      </c>
      <c r="D34" s="735"/>
      <c r="E34" s="677">
        <f t="shared" si="1"/>
        <v>371038326.58919162</v>
      </c>
    </row>
    <row r="35" spans="1:7">
      <c r="A35" s="721">
        <v>13.1</v>
      </c>
      <c r="B35" s="617" t="s">
        <v>747</v>
      </c>
      <c r="C35" s="734">
        <f>'2. SOFP'!E34</f>
        <v>146073969.61999995</v>
      </c>
      <c r="D35" s="735"/>
      <c r="E35" s="677">
        <f t="shared" si="1"/>
        <v>146073969.61999995</v>
      </c>
    </row>
    <row r="36" spans="1:7">
      <c r="A36" s="721">
        <v>13.2</v>
      </c>
      <c r="B36" s="617" t="s">
        <v>748</v>
      </c>
      <c r="C36" s="734">
        <f>'2. SOFP'!E35</f>
        <v>0</v>
      </c>
      <c r="D36" s="735"/>
      <c r="E36" s="677">
        <f t="shared" si="1"/>
        <v>0</v>
      </c>
    </row>
    <row r="37" spans="1:7" ht="26.25" thickBot="1">
      <c r="A37" s="740"/>
      <c r="B37" s="741" t="s">
        <v>319</v>
      </c>
      <c r="C37" s="742">
        <f>SUM(C8,C12,C14,C15,C16,C20,C23,C24,C25,C28,C31,C34)</f>
        <v>26204108938.704201</v>
      </c>
      <c r="D37" s="742">
        <f t="shared" ref="D37:E37" si="7">SUM(D8,D12,D14,D15,D16,D20,D23,D24,D25,D28,D31,D34)</f>
        <v>175733086.9463</v>
      </c>
      <c r="E37" s="743">
        <f t="shared" si="7"/>
        <v>26028375851.7579</v>
      </c>
      <c r="F37" s="534"/>
    </row>
    <row r="38" spans="1:7">
      <c r="A38"/>
      <c r="B38"/>
      <c r="C38" s="679"/>
      <c r="D38" s="679"/>
      <c r="E38" s="679"/>
    </row>
    <row r="39" spans="1:7">
      <c r="A39"/>
      <c r="B39"/>
      <c r="C39" s="679"/>
      <c r="D39" s="679"/>
      <c r="E39" s="679"/>
    </row>
    <row r="41" spans="1:7" s="2" customFormat="1">
      <c r="B41" s="33"/>
      <c r="C41" s="672"/>
      <c r="D41" s="672"/>
      <c r="E41" s="672"/>
      <c r="F41"/>
      <c r="G41"/>
    </row>
    <row r="42" spans="1:7" s="2" customFormat="1">
      <c r="B42" s="34"/>
      <c r="C42" s="672"/>
      <c r="D42" s="672"/>
      <c r="E42" s="672"/>
      <c r="F42"/>
      <c r="G42"/>
    </row>
    <row r="43" spans="1:7" s="2" customFormat="1">
      <c r="B43" s="33"/>
      <c r="C43" s="672"/>
      <c r="D43" s="672"/>
      <c r="E43" s="672"/>
      <c r="F43"/>
      <c r="G43"/>
    </row>
    <row r="44" spans="1:7" s="2" customFormat="1">
      <c r="B44" s="33"/>
      <c r="C44" s="672"/>
      <c r="D44" s="672"/>
      <c r="E44" s="672"/>
      <c r="F44"/>
      <c r="G44"/>
    </row>
    <row r="45" spans="1:7" s="2" customFormat="1">
      <c r="B45" s="33"/>
      <c r="C45" s="672"/>
      <c r="D45" s="672"/>
      <c r="E45" s="672"/>
      <c r="F45"/>
      <c r="G45"/>
    </row>
    <row r="46" spans="1:7" s="2" customFormat="1">
      <c r="B46" s="33"/>
      <c r="C46" s="672"/>
      <c r="D46" s="672"/>
      <c r="E46" s="672"/>
      <c r="F46"/>
      <c r="G46"/>
    </row>
    <row r="47" spans="1:7" s="2" customFormat="1">
      <c r="B47" s="33"/>
      <c r="C47" s="672"/>
      <c r="D47" s="672"/>
      <c r="E47" s="672"/>
      <c r="F47"/>
      <c r="G47"/>
    </row>
    <row r="48" spans="1:7" s="2" customFormat="1">
      <c r="B48" s="34"/>
      <c r="C48" s="672"/>
      <c r="D48" s="672"/>
      <c r="E48" s="672"/>
      <c r="F48"/>
      <c r="G48"/>
    </row>
    <row r="49" spans="2:7" s="2" customFormat="1">
      <c r="B49" s="34"/>
      <c r="C49" s="672"/>
      <c r="D49" s="672"/>
      <c r="E49" s="672"/>
      <c r="F49"/>
      <c r="G49"/>
    </row>
    <row r="50" spans="2:7" s="2" customFormat="1">
      <c r="B50" s="34"/>
      <c r="C50" s="672"/>
      <c r="D50" s="672"/>
      <c r="E50" s="672"/>
      <c r="F50"/>
      <c r="G50"/>
    </row>
    <row r="51" spans="2:7" s="2" customFormat="1">
      <c r="B51" s="34"/>
      <c r="C51" s="672"/>
      <c r="D51" s="672"/>
      <c r="E51" s="672"/>
      <c r="F51"/>
      <c r="G51"/>
    </row>
    <row r="52" spans="2:7" s="2" customFormat="1">
      <c r="B52" s="34"/>
      <c r="C52" s="672"/>
      <c r="D52" s="672"/>
      <c r="E52" s="672"/>
      <c r="F52"/>
      <c r="G52"/>
    </row>
    <row r="53" spans="2:7" s="2" customFormat="1">
      <c r="B53" s="34"/>
      <c r="C53" s="672"/>
      <c r="D53" s="672"/>
      <c r="E53" s="672"/>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108</v>
      </c>
      <c r="B1" s="14" t="str">
        <f>Info!C2</f>
        <v>სს ”საქართველოს ბანკი”</v>
      </c>
    </row>
    <row r="2" spans="1:6" s="19" customFormat="1" ht="15.75" customHeight="1">
      <c r="A2" s="19" t="s">
        <v>109</v>
      </c>
      <c r="B2" s="308">
        <f>'1. key ratios'!B2</f>
        <v>45016</v>
      </c>
      <c r="C2"/>
      <c r="D2"/>
      <c r="E2"/>
      <c r="F2"/>
    </row>
    <row r="3" spans="1:6" s="19" customFormat="1" ht="15.75" customHeight="1">
      <c r="C3"/>
      <c r="D3"/>
      <c r="E3"/>
      <c r="F3"/>
    </row>
    <row r="4" spans="1:6" s="19" customFormat="1" ht="26.25" thickBot="1">
      <c r="A4" s="19" t="s">
        <v>255</v>
      </c>
      <c r="B4" s="113" t="s">
        <v>171</v>
      </c>
      <c r="C4" s="107" t="s">
        <v>87</v>
      </c>
      <c r="D4"/>
      <c r="E4"/>
      <c r="F4"/>
    </row>
    <row r="5" spans="1:6">
      <c r="A5" s="108">
        <v>1</v>
      </c>
      <c r="B5" s="109" t="s">
        <v>726</v>
      </c>
      <c r="C5" s="144">
        <f>'7. LI1'!E37</f>
        <v>26028375851.7579</v>
      </c>
    </row>
    <row r="6" spans="1:6" s="100" customFormat="1">
      <c r="A6" s="67">
        <v>2.1</v>
      </c>
      <c r="B6" s="115" t="s">
        <v>860</v>
      </c>
      <c r="C6" s="535">
        <v>2492465084.5426002</v>
      </c>
    </row>
    <row r="7" spans="1:6" s="4" customFormat="1" ht="25.5" outlineLevel="1">
      <c r="A7" s="114">
        <v>2.2000000000000002</v>
      </c>
      <c r="B7" s="110" t="s">
        <v>861</v>
      </c>
      <c r="C7" s="536">
        <v>1451793462.3973</v>
      </c>
    </row>
    <row r="8" spans="1:6" s="4" customFormat="1" ht="26.25">
      <c r="A8" s="114">
        <v>3</v>
      </c>
      <c r="B8" s="111" t="s">
        <v>727</v>
      </c>
      <c r="C8" s="145">
        <f>SUM(C5:C7)</f>
        <v>29972634398.6978</v>
      </c>
    </row>
    <row r="9" spans="1:6" s="100" customFormat="1">
      <c r="A9" s="67">
        <v>4</v>
      </c>
      <c r="B9" s="118" t="s">
        <v>169</v>
      </c>
      <c r="C9" s="535">
        <v>0</v>
      </c>
    </row>
    <row r="10" spans="1:6" s="4" customFormat="1" ht="25.5" outlineLevel="1">
      <c r="A10" s="114">
        <v>5.0999999999999996</v>
      </c>
      <c r="B10" s="110" t="s">
        <v>174</v>
      </c>
      <c r="C10" s="535">
        <v>-1444912389.875</v>
      </c>
    </row>
    <row r="11" spans="1:6" s="4" customFormat="1" ht="25.5" outlineLevel="1">
      <c r="A11" s="114">
        <v>5.2</v>
      </c>
      <c r="B11" s="110" t="s">
        <v>175</v>
      </c>
      <c r="C11" s="536">
        <v>-1421914939.4823649</v>
      </c>
    </row>
    <row r="12" spans="1:6" s="4" customFormat="1">
      <c r="A12" s="114">
        <v>6</v>
      </c>
      <c r="B12" s="116" t="s">
        <v>437</v>
      </c>
      <c r="C12" s="215"/>
    </row>
    <row r="13" spans="1:6" s="4" customFormat="1" ht="15.75" thickBot="1">
      <c r="A13" s="117">
        <v>7</v>
      </c>
      <c r="B13" s="112" t="s">
        <v>170</v>
      </c>
      <c r="C13" s="146">
        <f>SUM(C8:C12)</f>
        <v>27105807069.340435</v>
      </c>
    </row>
    <row r="15" spans="1:6" ht="26.25">
      <c r="B15" s="21" t="s">
        <v>438</v>
      </c>
    </row>
    <row r="17" spans="2:9" s="2" customFormat="1">
      <c r="B17" s="35"/>
      <c r="C17"/>
      <c r="D17"/>
      <c r="E17"/>
      <c r="F17"/>
      <c r="G17"/>
      <c r="H17"/>
      <c r="I17"/>
    </row>
    <row r="18" spans="2:9" s="2" customFormat="1">
      <c r="B18" s="32"/>
      <c r="C18"/>
      <c r="D18"/>
      <c r="E18"/>
      <c r="F18"/>
      <c r="G18"/>
      <c r="H18"/>
      <c r="I18"/>
    </row>
    <row r="19" spans="2:9" s="2" customFormat="1">
      <c r="B19" s="32"/>
      <c r="C19"/>
      <c r="D19"/>
      <c r="E19"/>
      <c r="F19"/>
      <c r="G19"/>
      <c r="H19"/>
      <c r="I19"/>
    </row>
    <row r="20" spans="2:9" s="2" customFormat="1">
      <c r="B20" s="34"/>
      <c r="C20"/>
      <c r="D20"/>
      <c r="E20"/>
      <c r="F20"/>
      <c r="G20"/>
      <c r="H20"/>
      <c r="I20"/>
    </row>
    <row r="21" spans="2:9" s="2" customFormat="1">
      <c r="B21" s="33"/>
      <c r="C21"/>
      <c r="D21"/>
      <c r="E21"/>
      <c r="F21"/>
      <c r="G21"/>
      <c r="H21"/>
      <c r="I21"/>
    </row>
    <row r="22" spans="2:9" s="2" customFormat="1">
      <c r="B22" s="34"/>
      <c r="C22"/>
      <c r="D22"/>
      <c r="E22"/>
      <c r="F22"/>
      <c r="G22"/>
      <c r="H22"/>
      <c r="I22"/>
    </row>
    <row r="23" spans="2:9" s="2" customFormat="1">
      <c r="B23" s="33"/>
      <c r="C23"/>
      <c r="D23"/>
      <c r="E23"/>
      <c r="F23"/>
      <c r="G23"/>
      <c r="H23"/>
      <c r="I23"/>
    </row>
    <row r="24" spans="2:9" s="2" customFormat="1">
      <c r="B24" s="33"/>
      <c r="C24"/>
      <c r="D24"/>
      <c r="E24"/>
      <c r="F24"/>
      <c r="G24"/>
      <c r="H24"/>
      <c r="I24"/>
    </row>
    <row r="25" spans="2:9" s="2" customFormat="1">
      <c r="B25" s="33"/>
      <c r="C25"/>
      <c r="D25"/>
      <c r="E25"/>
      <c r="F25"/>
      <c r="G25"/>
      <c r="H25"/>
      <c r="I25"/>
    </row>
    <row r="26" spans="2:9" s="2" customFormat="1">
      <c r="B26" s="33"/>
      <c r="C26"/>
      <c r="D26"/>
      <c r="E26"/>
      <c r="F26"/>
      <c r="G26"/>
      <c r="H26"/>
      <c r="I26"/>
    </row>
    <row r="27" spans="2:9" s="2" customFormat="1">
      <c r="B27" s="33"/>
      <c r="C27"/>
      <c r="D27"/>
      <c r="E27"/>
      <c r="F27"/>
      <c r="G27"/>
      <c r="H27"/>
      <c r="I27"/>
    </row>
    <row r="28" spans="2:9" s="2" customFormat="1">
      <c r="B28" s="34"/>
      <c r="C28"/>
      <c r="D28"/>
      <c r="E28"/>
      <c r="F28"/>
      <c r="G28"/>
      <c r="H28"/>
      <c r="I28"/>
    </row>
    <row r="29" spans="2:9" s="2" customFormat="1">
      <c r="B29" s="34"/>
      <c r="C29"/>
      <c r="D29"/>
      <c r="E29"/>
      <c r="F29"/>
      <c r="G29"/>
      <c r="H29"/>
      <c r="I29"/>
    </row>
    <row r="30" spans="2:9" s="2" customFormat="1">
      <c r="B30" s="34"/>
      <c r="C30"/>
      <c r="D30"/>
      <c r="E30"/>
      <c r="F30"/>
      <c r="G30"/>
      <c r="H30"/>
      <c r="I30"/>
    </row>
    <row r="31" spans="2:9" s="2" customFormat="1">
      <c r="B31" s="34"/>
      <c r="C31"/>
      <c r="D31"/>
      <c r="E31"/>
      <c r="F31"/>
      <c r="G31"/>
      <c r="H31"/>
      <c r="I31"/>
    </row>
    <row r="32" spans="2:9" s="2" customFormat="1">
      <c r="B32" s="34"/>
      <c r="C32"/>
      <c r="D32"/>
      <c r="E32"/>
      <c r="F32"/>
      <c r="G32"/>
      <c r="H32"/>
      <c r="I32"/>
    </row>
    <row r="33" spans="2:9" s="2" customFormat="1">
      <c r="B33" s="34"/>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'3. SOPL'!Print_Area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2023-12-21T19:08:13Z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DLPManualFileClassification">
    <vt:lpwstr>{BD15A7F3-68A3-44DA-88DE-84F8F8C88452}</vt:lpwstr>
  </property>
  <property fmtid="{D5CDD505-2E9C-101B-9397-08002B2CF9AE}" pid="8" name="DLPManualFileClassificationLastModifiedBy">
    <vt:lpwstr>BOG0\ttomashvili</vt:lpwstr>
  </property>
  <property fmtid="{D5CDD505-2E9C-101B-9397-08002B2CF9AE}" pid="9" name="DLPManualFileClassificationLastModificationDate">
    <vt:lpwstr>1684165899</vt:lpwstr>
  </property>
  <property fmtid="{D5CDD505-2E9C-101B-9397-08002B2CF9AE}" pid="10" name="DLPManualFileClassificationVersion">
    <vt:lpwstr>11.6.600.21</vt:lpwstr>
  </property>
</Properties>
</file>