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200" windowHeight="6465" tabRatio="96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92"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calcMode="autoNoTable"/>
</workbook>
</file>

<file path=xl/calcChain.xml><?xml version="1.0" encoding="utf-8"?>
<calcChain xmlns="http://schemas.openxmlformats.org/spreadsheetml/2006/main">
  <c r="E48" i="69" l="1"/>
  <c r="C40" i="69"/>
  <c r="E40" i="69" s="1"/>
  <c r="E27" i="69"/>
  <c r="C37" i="69" l="1"/>
  <c r="C22" i="74" l="1"/>
  <c r="G48" i="6" l="1"/>
  <c r="F48" i="6" l="1"/>
  <c r="E48" i="6" l="1"/>
  <c r="D48" i="6" l="1"/>
  <c r="C48" i="6" l="1"/>
  <c r="G44" i="6" l="1"/>
  <c r="F44" i="6"/>
  <c r="E44" i="6"/>
  <c r="D44" i="6"/>
  <c r="C44" i="6"/>
  <c r="K25" i="36"/>
  <c r="J25" i="36"/>
  <c r="I25" i="36"/>
  <c r="H25" i="36"/>
  <c r="G25" i="36"/>
  <c r="F25" i="36"/>
  <c r="G23" i="6" l="1"/>
  <c r="F19" i="6"/>
  <c r="E22" i="6"/>
  <c r="D23" i="6"/>
  <c r="E21" i="6"/>
  <c r="E20" i="6"/>
  <c r="D22" i="6"/>
  <c r="D21" i="6"/>
  <c r="D20" i="6"/>
  <c r="E19" i="6"/>
  <c r="D19" i="6"/>
  <c r="G18" i="6"/>
  <c r="D18" i="6"/>
  <c r="G19" i="6" l="1"/>
  <c r="G20" i="6"/>
  <c r="G21" i="6"/>
  <c r="G22" i="6"/>
  <c r="F20" i="6"/>
  <c r="F21" i="6"/>
  <c r="F22" i="6"/>
  <c r="F18" i="6"/>
  <c r="F23" i="6"/>
  <c r="E18" i="6"/>
  <c r="E23" i="6"/>
  <c r="C39" i="69" l="1"/>
  <c r="C22" i="69"/>
  <c r="C26" i="69"/>
  <c r="C24" i="69"/>
  <c r="C8" i="79"/>
  <c r="C43" i="6"/>
  <c r="C42" i="6"/>
  <c r="C23" i="6" l="1"/>
  <c r="C22" i="6"/>
  <c r="C19" i="6"/>
  <c r="C21" i="6"/>
  <c r="C18" i="6"/>
  <c r="C20" i="6"/>
  <c r="C30" i="79" l="1"/>
  <c r="C18" i="79"/>
  <c r="N20" i="37"/>
  <c r="M14" i="37"/>
  <c r="E19" i="37"/>
  <c r="H14" i="37"/>
  <c r="N18" i="37"/>
  <c r="E18" i="37"/>
  <c r="N17" i="37"/>
  <c r="E17" i="37"/>
  <c r="N16" i="37"/>
  <c r="G14" i="37"/>
  <c r="F14" i="37"/>
  <c r="E16" i="37"/>
  <c r="K14" i="37"/>
  <c r="J14" i="37"/>
  <c r="I14" i="37"/>
  <c r="N15" i="37"/>
  <c r="E15" i="37"/>
  <c r="L14" i="37"/>
  <c r="C14" i="37"/>
  <c r="N13" i="37"/>
  <c r="N12" i="37"/>
  <c r="E12" i="37"/>
  <c r="N11" i="37"/>
  <c r="E11" i="37"/>
  <c r="N10" i="37"/>
  <c r="E10" i="37"/>
  <c r="N9" i="37"/>
  <c r="E9" i="37"/>
  <c r="N8" i="37"/>
  <c r="E8" i="37"/>
  <c r="E22" i="35"/>
  <c r="D22" i="74"/>
  <c r="G20" i="74"/>
  <c r="G19" i="74"/>
  <c r="G13" i="74"/>
  <c r="G12" i="74"/>
  <c r="G10" i="74"/>
  <c r="G9" i="74"/>
  <c r="C47" i="28"/>
  <c r="C43" i="28"/>
  <c r="C35" i="28"/>
  <c r="C31" i="28"/>
  <c r="C30" i="28"/>
  <c r="C12" i="28"/>
  <c r="D15" i="72"/>
  <c r="D61" i="53"/>
  <c r="C61" i="53"/>
  <c r="D53" i="53"/>
  <c r="C53" i="53"/>
  <c r="D34" i="53"/>
  <c r="D45" i="53" s="1"/>
  <c r="C34" i="53"/>
  <c r="C45" i="53" s="1"/>
  <c r="D30" i="53"/>
  <c r="C30" i="53"/>
  <c r="C9" i="53"/>
  <c r="C22" i="53" s="1"/>
  <c r="D9" i="53"/>
  <c r="D22" i="53" s="1"/>
  <c r="C40" i="62"/>
  <c r="D31" i="62"/>
  <c r="C31" i="62"/>
  <c r="D14" i="62"/>
  <c r="D20" i="62" s="1"/>
  <c r="C14" i="62"/>
  <c r="C20" i="62" s="1"/>
  <c r="C41" i="28" l="1"/>
  <c r="D54" i="53"/>
  <c r="C54" i="53"/>
  <c r="D31" i="53"/>
  <c r="C52" i="28"/>
  <c r="C36" i="79"/>
  <c r="D41" i="62"/>
  <c r="E14" i="37"/>
  <c r="N19" i="37"/>
  <c r="N14" i="37" s="1"/>
  <c r="C31" i="53"/>
  <c r="C56" i="53" s="1"/>
  <c r="C63" i="53" s="1"/>
  <c r="C65" i="53" s="1"/>
  <c r="C67" i="53" s="1"/>
  <c r="C41" i="62"/>
  <c r="D56" i="53" l="1"/>
  <c r="D63" i="53" s="1"/>
  <c r="D65" i="53" s="1"/>
  <c r="D67" i="53" s="1"/>
  <c r="B2" i="79" l="1"/>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26" i="79"/>
  <c r="M7" i="37" l="1"/>
  <c r="M21" i="37" s="1"/>
  <c r="L7" i="37"/>
  <c r="L21" i="37" s="1"/>
  <c r="J7" i="37"/>
  <c r="J21" i="37" s="1"/>
  <c r="I7" i="37"/>
  <c r="I21" i="37" s="1"/>
  <c r="H7" i="37"/>
  <c r="H21" i="37" s="1"/>
  <c r="G7" i="37"/>
  <c r="G21" i="37" s="1"/>
  <c r="F7" i="37"/>
  <c r="F21" i="37" s="1"/>
  <c r="C7" i="37"/>
  <c r="C21" i="37" s="1"/>
  <c r="E7" i="37" l="1"/>
  <c r="E21" i="37" s="1"/>
  <c r="C38" i="79" s="1"/>
  <c r="N7" i="37" l="1"/>
  <c r="N21" i="37" s="1"/>
  <c r="K7" i="37"/>
  <c r="K21" i="37" s="1"/>
  <c r="S21" i="35" l="1"/>
  <c r="F21" i="74" s="1"/>
  <c r="G21" i="74" s="1"/>
  <c r="S20" i="35"/>
  <c r="S19" i="35"/>
  <c r="S18" i="35"/>
  <c r="F18" i="74" s="1"/>
  <c r="S17" i="35"/>
  <c r="F17" i="74" s="1"/>
  <c r="S16" i="35"/>
  <c r="F16" i="74" s="1"/>
  <c r="S15" i="35"/>
  <c r="F15" i="74" s="1"/>
  <c r="S14" i="35"/>
  <c r="F14" i="74" s="1"/>
  <c r="H14" i="74" s="1"/>
  <c r="S13" i="35"/>
  <c r="S12" i="35"/>
  <c r="S11" i="35"/>
  <c r="F11" i="74" s="1"/>
  <c r="G11" i="74" s="1"/>
  <c r="S10" i="35"/>
  <c r="S9" i="35"/>
  <c r="S8" i="35"/>
  <c r="F8" i="74" s="1"/>
  <c r="G8" i="74" s="1"/>
  <c r="S22" i="35" l="1"/>
  <c r="D21" i="72" l="1"/>
  <c r="D22" i="35" l="1"/>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E22" i="53" l="1"/>
  <c r="E41" i="62" l="1"/>
  <c r="E31" i="62"/>
  <c r="E22" i="74"/>
  <c r="H22" i="74" l="1"/>
  <c r="C39" i="6"/>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E24" i="53" l="1"/>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E34" i="62"/>
  <c r="C42" i="69" s="1"/>
  <c r="E35" i="62"/>
  <c r="C43" i="69" s="1"/>
  <c r="E36" i="62"/>
  <c r="E37" i="62"/>
  <c r="C45" i="69" s="1"/>
  <c r="E38" i="62"/>
  <c r="C46" i="69" s="1"/>
  <c r="E39" i="62"/>
  <c r="C47" i="69" s="1"/>
  <c r="E40" i="62"/>
  <c r="E23" i="62"/>
  <c r="C29" i="69" s="1"/>
  <c r="E24" i="62"/>
  <c r="C30" i="69" s="1"/>
  <c r="E25" i="62"/>
  <c r="C31" i="69" s="1"/>
  <c r="E26" i="62"/>
  <c r="C32" i="69" s="1"/>
  <c r="E27" i="62"/>
  <c r="C33" i="69" s="1"/>
  <c r="E28" i="62"/>
  <c r="C34" i="69" s="1"/>
  <c r="E29" i="62"/>
  <c r="C35" i="69" s="1"/>
  <c r="E30" i="62"/>
  <c r="E22" i="62"/>
  <c r="C28" i="69" s="1"/>
  <c r="E8" i="62"/>
  <c r="E9" i="62"/>
  <c r="E10" i="62"/>
  <c r="E11" i="62"/>
  <c r="E12" i="62"/>
  <c r="C36" i="6" s="1"/>
  <c r="E13" i="62"/>
  <c r="E14" i="62"/>
  <c r="E15" i="62"/>
  <c r="E16" i="62"/>
  <c r="E17" i="62"/>
  <c r="E18" i="62"/>
  <c r="E19" i="62"/>
  <c r="E20" i="62"/>
  <c r="E7" i="62"/>
  <c r="C8" i="72" s="1"/>
  <c r="C15" i="72" l="1"/>
  <c r="C23" i="69"/>
  <c r="C19" i="72"/>
  <c r="E19" i="72" s="1"/>
  <c r="C17" i="69"/>
  <c r="C16" i="72"/>
  <c r="E16" i="72" s="1"/>
  <c r="C41" i="69"/>
  <c r="C7" i="28"/>
  <c r="C44" i="69"/>
  <c r="C8" i="28"/>
  <c r="C18" i="69"/>
  <c r="C17" i="72"/>
  <c r="E17" i="72" s="1"/>
  <c r="C19" i="69"/>
  <c r="C18" i="72"/>
  <c r="E18" i="72" s="1"/>
  <c r="E8" i="72"/>
  <c r="C25" i="69"/>
  <c r="C20" i="72"/>
  <c r="E20" i="72" s="1"/>
  <c r="C11" i="72"/>
  <c r="E11" i="72" s="1"/>
  <c r="C10" i="72"/>
  <c r="E10" i="72" s="1"/>
  <c r="C14" i="72"/>
  <c r="E14" i="72" s="1"/>
  <c r="C13" i="72"/>
  <c r="C9" i="72"/>
  <c r="C12" i="72"/>
  <c r="E12" i="72" s="1"/>
  <c r="C33" i="6"/>
  <c r="C34" i="6"/>
  <c r="C35" i="6"/>
  <c r="C40" i="6"/>
  <c r="C48" i="69" l="1"/>
  <c r="C6" i="28"/>
  <c r="C21" i="72"/>
  <c r="C16" i="69"/>
  <c r="C27" i="69" s="1"/>
  <c r="E9" i="72"/>
  <c r="E15" i="72"/>
  <c r="E13" i="72"/>
  <c r="C28" i="28" l="1"/>
  <c r="E21" i="72"/>
  <c r="C5" i="73" l="1"/>
  <c r="C8" i="73" s="1"/>
  <c r="C13" i="73" s="1"/>
</calcChain>
</file>

<file path=xl/sharedStrings.xml><?xml version="1.0" encoding="utf-8"?>
<sst xmlns="http://schemas.openxmlformats.org/spreadsheetml/2006/main" count="945" uniqueCount="677">
  <si>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</si>
  <si>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</si>
  <si>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</si>
  <si>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</si>
  <si>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</si>
  <si>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</si>
  <si>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</si>
  <si>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</si>
  <si>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</si>
  <si>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</si>
  <si>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</si>
  <si>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</si>
  <si>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</si>
  <si>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</si>
  <si>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</si>
  <si>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</si>
  <si>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</si>
  <si>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</si>
  <si>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</si>
  <si>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</si>
  <si>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</si>
  <si>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</si>
  <si>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</si>
  <si>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</si>
  <si>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</si>
  <si>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</si>
  <si>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</si>
  <si>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</si>
  <si>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</si>
  <si>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</si>
  <si>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</si>
  <si>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</si>
  <si>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</si>
  <si>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</si>
  <si>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</si>
  <si>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</si>
  <si>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</si>
  <si>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</si>
  <si>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</si>
  <si>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</si>
  <si>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</si>
  <si>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</si>
  <si>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</si>
  <si>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</si>
  <si>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</si>
  <si>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</si>
  <si>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</si>
  <si>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</si>
  <si>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</si>
  <si>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</si>
  <si>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</si>
  <si>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</si>
  <si>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</si>
  <si>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</si>
  <si>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</si>
  <si>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</si>
  <si>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</si>
  <si>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</si>
  <si>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</si>
  <si>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</si>
  <si>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</si>
  <si>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</si>
  <si>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</si>
  <si>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</si>
  <si>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</si>
  <si>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</si>
  <si>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</si>
  <si>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</si>
  <si>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</si>
  <si>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</si>
  <si>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</si>
  <si>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</si>
  <si>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</si>
  <si>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</si>
  <si>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</si>
  <si>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</si>
  <si>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</si>
  <si>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</si>
  <si>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</si>
  <si>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</si>
  <si>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</si>
  <si>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</si>
  <si>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</si>
  <si>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</si>
  <si>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</si>
  <si>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</si>
  <si>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</si>
  <si>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</si>
  <si>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</si>
  <si>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</si>
  <si>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</si>
  <si>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</si>
  <si>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</si>
  <si>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</si>
  <si>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</si>
  <si>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</si>
  <si>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</si>
  <si>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</si>
  <si>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</si>
  <si>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</si>
  <si>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</si>
  <si>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</si>
  <si>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</si>
  <si>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</si>
  <si>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</si>
  <si>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</si>
  <si>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</si>
  <si>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</si>
  <si>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</si>
  <si>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</si>
  <si>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</si>
  <si>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</si>
  <si>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</si>
  <si>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</si>
  <si>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</si>
  <si>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</si>
  <si>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</si>
  <si>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</si>
  <si>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</si>
  <si>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</si>
  <si>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</si>
  <si>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</si>
  <si>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</si>
  <si>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</si>
  <si>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</si>
  <si>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</si>
  <si>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</si>
  <si>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</si>
  <si>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</si>
  <si>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</si>
  <si>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</si>
  <si>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</si>
  <si>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</si>
  <si>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</si>
  <si>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</si>
  <si>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</si>
  <si>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</si>
  <si>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</si>
  <si>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</si>
  <si>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</si>
  <si>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</si>
  <si>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</si>
  <si>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</si>
  <si>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</si>
  <si>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</si>
  <si>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</si>
  <si>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</si>
  <si>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</si>
  <si>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</si>
  <si>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</si>
  <si>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</si>
  <si>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</si>
  <si>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</si>
  <si>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</si>
  <si>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</si>
  <si>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</si>
  <si>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</si>
  <si>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</si>
  <si>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</si>
  <si>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</si>
  <si>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</si>
  <si>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</si>
  <si>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</si>
  <si>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</si>
  <si>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</si>
  <si>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</si>
  <si>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</si>
  <si>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</si>
  <si>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</si>
  <si>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</si>
  <si>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</si>
  <si>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</si>
  <si>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</si>
  <si>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</si>
  <si>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</si>
  <si>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</si>
  <si>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</si>
  <si>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</si>
  <si>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</si>
  <si>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</si>
  <si>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</si>
  <si>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</si>
  <si>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</si>
  <si>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</si>
  <si>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</si>
  <si>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</si>
  <si>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</si>
  <si>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</si>
  <si>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</si>
  <si>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</si>
  <si>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</si>
  <si>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</si>
  <si>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</si>
  <si>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</si>
  <si>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</si>
  <si>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</si>
  <si>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</si>
  <si>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</si>
  <si>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</si>
  <si>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</si>
  <si>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</si>
  <si>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</si>
  <si>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</si>
  <si>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</si>
  <si>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</si>
  <si>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</si>
  <si>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</si>
  <si>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</si>
  <si>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</si>
  <si>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</si>
  <si>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</si>
  <si>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</si>
  <si>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</si>
  <si>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</si>
  <si>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</si>
  <si>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</si>
  <si>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</si>
  <si>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</si>
  <si>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</si>
  <si>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</si>
  <si>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</si>
  <si>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</si>
  <si>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</si>
  <si>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</si>
  <si>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</si>
  <si>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</si>
  <si>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</si>
  <si>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</si>
  <si>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</si>
  <si>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</si>
  <si>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</si>
  <si>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</si>
  <si>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</si>
  <si>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</si>
  <si>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</si>
  <si>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</si>
  <si>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</si>
  <si>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</si>
  <si>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</si>
  <si>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</si>
  <si>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</si>
  <si>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</si>
  <si>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</si>
  <si>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</si>
  <si>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</si>
  <si>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</si>
  <si>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</si>
  <si>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</si>
  <si>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</si>
  <si>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</si>
  <si>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</si>
  <si>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</si>
  <si>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</si>
  <si>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</si>
  <si>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</si>
  <si>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</si>
  <si>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</si>
  <si>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</si>
  <si>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</si>
  <si>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</si>
  <si>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</si>
  <si>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</si>
  <si>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</si>
  <si>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</si>
  <si>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</si>
  <si>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</si>
  <si>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</si>
  <si>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</si>
  <si>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</si>
  <si>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</si>
  <si>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</si>
  <si>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</si>
  <si>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</si>
  <si>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</si>
  <si>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</si>
  <si>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</si>
  <si>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</si>
  <si>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</si>
  <si>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</si>
  <si>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</si>
  <si>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</si>
  <si>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</si>
  <si>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</si>
  <si>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</si>
  <si>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</si>
  <si>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</si>
  <si>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</si>
  <si>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</si>
  <si>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</si>
  <si>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</si>
  <si>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</si>
  <si>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</si>
  <si>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</si>
  <si>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</si>
  <si>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</si>
  <si>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</si>
  <si>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</si>
  <si>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</si>
  <si>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</si>
  <si>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</si>
  <si>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</si>
  <si>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</si>
  <si>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</si>
  <si>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</si>
  <si>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</si>
  <si>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</si>
  <si>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</si>
  <si>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</si>
  <si>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</si>
  <si>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</si>
  <si>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</si>
  <si>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</si>
  <si>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</si>
  <si>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</si>
  <si>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</si>
  <si>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</si>
  <si>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</si>
  <si>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</si>
  <si>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</si>
  <si>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</si>
  <si>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</si>
  <si>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</si>
  <si>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</si>
  <si>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</si>
  <si>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</si>
  <si>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</si>
  <si>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</si>
  <si>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</si>
  <si>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</si>
  <si>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</si>
  <si>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</si>
  <si>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</si>
  <si>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</si>
  <si>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</si>
  <si>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</si>
  <si>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</si>
  <si>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</si>
  <si>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</si>
  <si>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</si>
  <si>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</si>
  <si>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</si>
  <si>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</si>
  <si>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</si>
  <si>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</si>
  <si>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</si>
  <si>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</si>
  <si>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</si>
  <si>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</si>
  <si>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</si>
  <si>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</si>
  <si>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</si>
  <si>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</si>
  <si>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</si>
  <si>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</si>
  <si>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</si>
  <si>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</si>
  <si>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</si>
  <si>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</si>
  <si>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</si>
  <si>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</si>
  <si>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</si>
  <si>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</si>
  <si>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</si>
  <si>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</si>
  <si>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</si>
  <si>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</si>
  <si>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</si>
  <si>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</si>
  <si>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</si>
  <si>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</si>
  <si>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</si>
  <si>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</si>
  <si>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</si>
  <si>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</si>
  <si>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</si>
  <si>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</si>
  <si>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</si>
  <si>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</si>
  <si>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</si>
  <si>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</si>
  <si>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</si>
  <si>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</si>
  <si>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</si>
  <si>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</si>
  <si>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</si>
  <si>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</si>
  <si>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</si>
  <si>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</si>
  <si>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</si>
  <si>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</si>
  <si>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</si>
  <si>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</si>
  <si>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</si>
  <si>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</si>
  <si>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</si>
  <si>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</si>
  <si>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</si>
  <si>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</si>
  <si>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</si>
  <si>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</si>
  <si>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</si>
  <si>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</si>
  <si>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</si>
  <si>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</si>
  <si>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</si>
  <si>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</si>
  <si>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</si>
  <si>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</si>
  <si>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</si>
  <si>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</si>
  <si>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</si>
  <si>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</si>
  <si>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</si>
  <si>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</si>
  <si>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</si>
  <si>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</si>
  <si>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</si>
  <si>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</si>
  <si>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</si>
  <si>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</si>
  <si>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</si>
  <si>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</si>
  <si>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</si>
  <si>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</si>
  <si>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</si>
  <si>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</si>
  <si>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</si>
  <si>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</si>
  <si>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</si>
  <si>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</si>
  <si>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</si>
  <si>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</si>
  <si>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</si>
  <si>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</si>
  <si>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</si>
  <si>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</si>
  <si>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</si>
  <si>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</si>
  <si>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</si>
  <si>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</si>
  <si>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</si>
  <si>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</si>
  <si>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</si>
  <si>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</si>
  <si>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</si>
  <si>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</si>
  <si>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</si>
  <si>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</si>
  <si>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</si>
  <si>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</si>
  <si>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</si>
  <si>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</si>
  <si>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</si>
  <si>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</si>
  <si>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</si>
  <si>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</si>
  <si>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</si>
  <si>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</si>
  <si>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</si>
  <si>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</si>
  <si>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</si>
  <si>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</si>
  <si>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</si>
  <si>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</si>
  <si>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</si>
  <si>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</si>
  <si>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</si>
  <si>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</si>
  <si>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</si>
  <si>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</si>
  <si>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</si>
  <si>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</si>
  <si>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</si>
  <si>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</si>
  <si>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</si>
  <si>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</si>
  <si>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</si>
  <si>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</si>
  <si>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</si>
  <si>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</si>
  <si>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</si>
  <si>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</si>
  <si>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</si>
  <si>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</si>
  <si>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</si>
  <si>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</si>
  <si>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</si>
  <si>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</si>
  <si>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</si>
  <si>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</si>
  <si>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</si>
  <si>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</si>
  <si>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</si>
  <si>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</si>
  <si>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</si>
  <si>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</si>
  <si>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</si>
  <si>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</si>
  <si>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</si>
  <si>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</si>
  <si>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</si>
  <si>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</si>
  <si>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</si>
  <si>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</si>
  <si>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</si>
  <si>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</si>
  <si>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</si>
  <si>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</si>
  <si>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</si>
  <si>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</si>
  <si>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</si>
  <si>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</si>
  <si>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</si>
  <si>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</si>
  <si>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</si>
  <si>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</si>
  <si>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</si>
  <si>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</si>
  <si>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</si>
  <si>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</si>
  <si>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</si>
  <si>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</si>
  <si>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</si>
  <si>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</si>
  <si>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</si>
  <si>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</si>
  <si>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</si>
  <si>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</si>
  <si>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</si>
  <si>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</si>
  <si>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</si>
  <si>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</si>
  <si>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</si>
  <si>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</si>
  <si>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</si>
  <si>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</si>
  <si>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</si>
  <si>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</si>
  <si>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</si>
  <si>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</si>
  <si>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</si>
  <si>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</si>
  <si>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</si>
  <si>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</si>
  <si>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</si>
  <si>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</si>
  <si>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</si>
  <si>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</si>
  <si>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</si>
  <si>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</si>
  <si>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</si>
  <si>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</si>
  <si>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</si>
  <si>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</si>
  <si>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</si>
  <si>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</si>
  <si>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</si>
  <si>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</si>
  <si>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</si>
  <si>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</si>
  <si>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</si>
  <si>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</si>
  <si>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</si>
  <si>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</si>
  <si>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</si>
  <si>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</si>
  <si>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</si>
  <si>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</si>
  <si>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</si>
  <si>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</si>
  <si>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</si>
  <si>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</si>
  <si>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</si>
  <si>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</si>
  <si>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</si>
  <si>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</si>
  <si>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</si>
  <si>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</si>
  <si>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</si>
  <si>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</si>
  <si>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</si>
  <si>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</si>
  <si>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</si>
  <si>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</si>
  <si>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</si>
  <si>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</si>
  <si>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</si>
  <si>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</si>
  <si>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</si>
  <si>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</si>
  <si>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</si>
  <si>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</si>
  <si>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</si>
  <si>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</si>
  <si>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</si>
  <si>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</si>
  <si>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</si>
  <si>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</si>
  <si>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</si>
  <si>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</si>
  <si>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</si>
  <si>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</si>
  <si>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</si>
  <si>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</si>
  <si>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</si>
  <si>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</si>
  <si>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</si>
  <si>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</si>
  <si>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</si>
  <si>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</si>
  <si>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</si>
  <si>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</si>
  <si>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</si>
  <si>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</si>
  <si>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</si>
  <si>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</si>
  <si>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</si>
  <si>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</si>
  <si>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</si>
  <si>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</si>
  <si>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</si>
  <si>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</si>
  <si>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</si>
  <si>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</si>
  <si>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</si>
  <si>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</si>
  <si>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</si>
  <si>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</si>
  <si>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ნილ ჯანინი</t>
  </si>
  <si>
    <t>თამაზ გიორგაძე</t>
  </si>
  <si>
    <t>ალასდაირ ბრიჩი</t>
  </si>
  <si>
    <t>ჰანნა ლოიკაინენი</t>
  </si>
  <si>
    <t>ჯონათან მუირი</t>
  </si>
  <si>
    <t>სესილ დაერ ქუილენ</t>
  </si>
  <si>
    <t>ვერონიკ მაკქეროლ</t>
  </si>
  <si>
    <t>არჩილ გაჩეჩილაძე</t>
  </si>
  <si>
    <t>ლევან ყულიჯანიშვილი</t>
  </si>
  <si>
    <t>მიხეილ გომართელი</t>
  </si>
  <si>
    <t>გიორგი ჭილაძე</t>
  </si>
  <si>
    <t>ვახტანგ ბობოხიძე</t>
  </si>
  <si>
    <t>სულხან გვალია</t>
  </si>
  <si>
    <t>თავმჯდომარე</t>
  </si>
  <si>
    <t>დამოუკიდებელი წევრი</t>
  </si>
  <si>
    <t>არადამოუკიდებელი წევრი</t>
  </si>
  <si>
    <t>გენერალური დირექტორი</t>
  </si>
  <si>
    <t>გენერალური დირექტორის მოადგილე/საოპერაციო მიმართულება</t>
  </si>
  <si>
    <t>ეთერ ირემაძე</t>
  </si>
  <si>
    <t>გენერალური დირექტორის მოადგილე/საოპერაციო მიმართულება/SOLO ბიზნეს მიმართულება</t>
  </si>
  <si>
    <t>ზურაბ ქოქოსაძე</t>
  </si>
  <si>
    <t>გენერალური დირექტორის მოადგილე/კორპორაციული საბანკო მომსახურების მიმართულება</t>
  </si>
  <si>
    <t>გენერალური დირექტორის მოადგილე/საცალო საბანკო ბიზნესი</t>
  </si>
  <si>
    <t>გენერალური დირექტორის მოადგილე/ფინანსები</t>
  </si>
  <si>
    <t>გენერალური დირექტორის მოადგილე/ინფორმაციული ტექნოლოგიები</t>
  </si>
  <si>
    <t>გენერალური დირექტორის მოადგილე/საკრედიტო რისკები</t>
  </si>
  <si>
    <t/>
  </si>
  <si>
    <t>სს ”საქართველოს ბანკი”</t>
  </si>
  <si>
    <t>არჩილ  გაჩეჩილაძე</t>
  </si>
  <si>
    <t>www.bog.ge</t>
  </si>
  <si>
    <t>Bank of Georgia Group Plc</t>
  </si>
  <si>
    <t>JSC BGEO Group</t>
  </si>
  <si>
    <t> 79.75%</t>
  </si>
  <si>
    <t>Georgia Capital JSC</t>
  </si>
  <si>
    <t>Fidelity Investments</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</si>
  <si>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</si>
  <si>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ცხრილი 9 (Capital), N39</t>
  </si>
  <si>
    <t>ცხრილი 9 (Capital), N17</t>
  </si>
  <si>
    <t>ცხრილი 9 (Capital), N13</t>
  </si>
  <si>
    <t>ცხრილი 9 (Capital), N18</t>
  </si>
  <si>
    <t>ცხრილი 9 (Capital), N15</t>
  </si>
  <si>
    <t>ცხრილი 9 (Capital), N37</t>
  </si>
  <si>
    <t>ცხრილი 9 (Capital), N28</t>
  </si>
  <si>
    <t>მათ შორის 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</si>
  <si>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ცხრილი 9 (Capital), N2</t>
  </si>
  <si>
    <t>ცხრილი 9 (Capital), N12</t>
  </si>
  <si>
    <t>ცხრილი 9 (Capital), N3</t>
  </si>
  <si>
    <t>ცხრილი 9 (Capital), N6</t>
  </si>
  <si>
    <t>ცხრილი 9 (Capital), N4,N8</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</si>
</sst>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
  </numFmts>
  <fonts count="11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Times New Roman"/>
      <family val="1"/>
    </font>
    <font>
      <sz val="12"/>
      <color theme="1"/>
      <name val="Sylfaen"/>
      <family val="1"/>
    </font>
    <font>
      <sz val="10"/>
      <color rgb="FF000000"/>
      <name val="Times New Roma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EECE1"/>
        <bgColor rgb="FF000000"/>
      </patternFill>
    </fill>
    <fill>
      <patternFill patternType="solid">
        <fgColor rgb="FFFFFFFF"/>
        <bgColor rgb="FF000000"/>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indexed="64"/>
      </right>
      <top/>
      <bottom style="medium">
        <color indexed="64"/>
      </bottom>
      <diagonal/>
    </border>
    <border>
      <left style="thin">
        <color theme="6" tint="-0.499984740745262"/>
      </left>
      <right style="medium">
        <color indexed="64"/>
      </right>
      <top style="thin">
        <color indexed="64"/>
      </top>
      <bottom style="thin">
        <color theme="6" tint="-0.499984740745262"/>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42" applyNumberFormat="0" applyAlignment="0" applyProtection="0"/>
    <xf numFmtId="0" fontId="38" fillId="9" borderId="36"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168" fontId="39"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168" fontId="39"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169" fontId="39"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6"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6"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6"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6"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6"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6"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6"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168" fontId="39" fillId="64" borderId="42" applyNumberFormat="0" applyAlignment="0" applyProtection="0"/>
    <xf numFmtId="169" fontId="39" fillId="64" borderId="42" applyNumberFormat="0" applyAlignment="0" applyProtection="0"/>
    <xf numFmtId="168" fontId="39" fillId="64" borderId="42" applyNumberFormat="0" applyAlignment="0" applyProtection="0"/>
    <xf numFmtId="168" fontId="39" fillId="64" borderId="42" applyNumberFormat="0" applyAlignment="0" applyProtection="0"/>
    <xf numFmtId="169" fontId="39" fillId="64" borderId="42" applyNumberFormat="0" applyAlignment="0" applyProtection="0"/>
    <xf numFmtId="168" fontId="39" fillId="64" borderId="42" applyNumberFormat="0" applyAlignment="0" applyProtection="0"/>
    <xf numFmtId="168" fontId="39" fillId="64" borderId="42" applyNumberFormat="0" applyAlignment="0" applyProtection="0"/>
    <xf numFmtId="169" fontId="39" fillId="64" borderId="42" applyNumberFormat="0" applyAlignment="0" applyProtection="0"/>
    <xf numFmtId="168" fontId="39" fillId="64" borderId="42" applyNumberFormat="0" applyAlignment="0" applyProtection="0"/>
    <xf numFmtId="168" fontId="39" fillId="64" borderId="42" applyNumberFormat="0" applyAlignment="0" applyProtection="0"/>
    <xf numFmtId="169" fontId="39" fillId="64" borderId="42" applyNumberFormat="0" applyAlignment="0" applyProtection="0"/>
    <xf numFmtId="168" fontId="39" fillId="64" borderId="42" applyNumberFormat="0" applyAlignment="0" applyProtection="0"/>
    <xf numFmtId="0" fontId="37" fillId="64" borderId="42" applyNumberFormat="0" applyAlignment="0" applyProtection="0"/>
    <xf numFmtId="0" fontId="40" fillId="65" borderId="43" applyNumberFormat="0" applyAlignment="0" applyProtection="0"/>
    <xf numFmtId="0" fontId="41" fillId="10" borderId="39" applyNumberFormat="0" applyAlignment="0" applyProtection="0"/>
    <xf numFmtId="168"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0" fontId="40"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0" fontId="41" fillId="10" borderId="39"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0" fontId="40"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4">
      <alignment vertical="center"/>
    </xf>
    <xf numFmtId="38" fontId="25" fillId="0" borderId="44">
      <alignment vertical="center"/>
    </xf>
    <xf numFmtId="38" fontId="25" fillId="0" borderId="44">
      <alignment vertical="center"/>
    </xf>
    <xf numFmtId="38" fontId="25" fillId="0" borderId="44">
      <alignment vertical="center"/>
    </xf>
    <xf numFmtId="38" fontId="25" fillId="0" borderId="44">
      <alignment vertical="center"/>
    </xf>
    <xf numFmtId="38" fontId="25" fillId="0" borderId="44">
      <alignment vertical="center"/>
    </xf>
    <xf numFmtId="38" fontId="25" fillId="0" borderId="44">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34" applyNumberFormat="0" applyAlignment="0" applyProtection="0">
      <alignment horizontal="left" vertical="center"/>
    </xf>
    <xf numFmtId="0" fontId="53" fillId="0" borderId="34" applyNumberFormat="0" applyAlignment="0" applyProtection="0">
      <alignment horizontal="left" vertical="center"/>
    </xf>
    <xf numFmtId="168" fontId="53" fillId="0" borderId="34"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5" applyNumberFormat="0" applyFill="0" applyAlignment="0" applyProtection="0"/>
    <xf numFmtId="169" fontId="54" fillId="0" borderId="45" applyNumberFormat="0" applyFill="0" applyAlignment="0" applyProtection="0"/>
    <xf numFmtId="0"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4" fillId="0" borderId="45" applyNumberFormat="0" applyFill="0" applyAlignment="0" applyProtection="0"/>
    <xf numFmtId="0" fontId="55" fillId="0" borderId="46" applyNumberFormat="0" applyFill="0" applyAlignment="0" applyProtection="0"/>
    <xf numFmtId="169" fontId="55" fillId="0" borderId="46" applyNumberFormat="0" applyFill="0" applyAlignment="0" applyProtection="0"/>
    <xf numFmtId="0"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42" applyNumberFormat="0" applyAlignment="0" applyProtection="0"/>
    <xf numFmtId="0" fontId="66" fillId="8" borderId="36"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168" fontId="67"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168" fontId="67"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169" fontId="67"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6"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6"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6"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6"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6"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6"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6"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168" fontId="67" fillId="43" borderId="42" applyNumberFormat="0" applyAlignment="0" applyProtection="0"/>
    <xf numFmtId="169" fontId="67" fillId="43" borderId="42" applyNumberFormat="0" applyAlignment="0" applyProtection="0"/>
    <xf numFmtId="168" fontId="67" fillId="43" borderId="42" applyNumberFormat="0" applyAlignment="0" applyProtection="0"/>
    <xf numFmtId="168" fontId="67" fillId="43" borderId="42" applyNumberFormat="0" applyAlignment="0" applyProtection="0"/>
    <xf numFmtId="169" fontId="67" fillId="43" borderId="42" applyNumberFormat="0" applyAlignment="0" applyProtection="0"/>
    <xf numFmtId="168" fontId="67" fillId="43" borderId="42" applyNumberFormat="0" applyAlignment="0" applyProtection="0"/>
    <xf numFmtId="168" fontId="67" fillId="43" borderId="42" applyNumberFormat="0" applyAlignment="0" applyProtection="0"/>
    <xf numFmtId="169" fontId="67" fillId="43" borderId="42" applyNumberFormat="0" applyAlignment="0" applyProtection="0"/>
    <xf numFmtId="168" fontId="67" fillId="43" borderId="42" applyNumberFormat="0" applyAlignment="0" applyProtection="0"/>
    <xf numFmtId="168" fontId="67" fillId="43" borderId="42" applyNumberFormat="0" applyAlignment="0" applyProtection="0"/>
    <xf numFmtId="169" fontId="67" fillId="43" borderId="42" applyNumberFormat="0" applyAlignment="0" applyProtection="0"/>
    <xf numFmtId="168" fontId="67" fillId="43" borderId="42" applyNumberFormat="0" applyAlignment="0" applyProtection="0"/>
    <xf numFmtId="0" fontId="65" fillId="43" borderId="42"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8" applyNumberFormat="0" applyFill="0" applyAlignment="0" applyProtection="0"/>
    <xf numFmtId="0" fontId="69" fillId="0" borderId="38" applyNumberFormat="0" applyFill="0" applyAlignment="0" applyProtection="0"/>
    <xf numFmtId="168" fontId="70" fillId="0" borderId="48" applyNumberFormat="0" applyFill="0" applyAlignment="0" applyProtection="0"/>
    <xf numFmtId="168" fontId="70" fillId="0" borderId="48" applyNumberFormat="0" applyFill="0" applyAlignment="0" applyProtection="0"/>
    <xf numFmtId="169" fontId="70" fillId="0" borderId="48" applyNumberFormat="0" applyFill="0" applyAlignment="0" applyProtection="0"/>
    <xf numFmtId="0" fontId="68" fillId="0" borderId="48" applyNumberFormat="0" applyFill="0" applyAlignment="0" applyProtection="0"/>
    <xf numFmtId="0" fontId="69" fillId="0" borderId="38" applyNumberFormat="0" applyFill="0" applyAlignment="0" applyProtection="0"/>
    <xf numFmtId="0" fontId="69" fillId="0" borderId="38" applyNumberFormat="0" applyFill="0" applyAlignment="0" applyProtection="0"/>
    <xf numFmtId="0" fontId="69" fillId="0" borderId="38" applyNumberFormat="0" applyFill="0" applyAlignment="0" applyProtection="0"/>
    <xf numFmtId="0" fontId="69" fillId="0" borderId="38" applyNumberFormat="0" applyFill="0" applyAlignment="0" applyProtection="0"/>
    <xf numFmtId="0" fontId="69" fillId="0" borderId="38" applyNumberFormat="0" applyFill="0" applyAlignment="0" applyProtection="0"/>
    <xf numFmtId="0" fontId="69" fillId="0" borderId="38" applyNumberFormat="0" applyFill="0" applyAlignment="0" applyProtection="0"/>
    <xf numFmtId="0" fontId="69" fillId="0" borderId="38" applyNumberFormat="0" applyFill="0" applyAlignment="0" applyProtection="0"/>
    <xf numFmtId="168" fontId="70" fillId="0" borderId="48" applyNumberFormat="0" applyFill="0" applyAlignment="0" applyProtection="0"/>
    <xf numFmtId="169" fontId="70" fillId="0" borderId="48" applyNumberFormat="0" applyFill="0" applyAlignment="0" applyProtection="0"/>
    <xf numFmtId="168" fontId="70" fillId="0" borderId="48" applyNumberFormat="0" applyFill="0" applyAlignment="0" applyProtection="0"/>
    <xf numFmtId="168" fontId="70" fillId="0" borderId="48" applyNumberFormat="0" applyFill="0" applyAlignment="0" applyProtection="0"/>
    <xf numFmtId="169" fontId="70" fillId="0" borderId="48" applyNumberFormat="0" applyFill="0" applyAlignment="0" applyProtection="0"/>
    <xf numFmtId="168" fontId="70" fillId="0" borderId="48" applyNumberFormat="0" applyFill="0" applyAlignment="0" applyProtection="0"/>
    <xf numFmtId="168" fontId="70" fillId="0" borderId="48" applyNumberFormat="0" applyFill="0" applyAlignment="0" applyProtection="0"/>
    <xf numFmtId="169" fontId="70" fillId="0" borderId="48" applyNumberFormat="0" applyFill="0" applyAlignment="0" applyProtection="0"/>
    <xf numFmtId="168" fontId="70" fillId="0" borderId="48" applyNumberFormat="0" applyFill="0" applyAlignment="0" applyProtection="0"/>
    <xf numFmtId="168" fontId="70" fillId="0" borderId="48" applyNumberFormat="0" applyFill="0" applyAlignment="0" applyProtection="0"/>
    <xf numFmtId="169" fontId="70" fillId="0" borderId="48" applyNumberFormat="0" applyFill="0" applyAlignment="0" applyProtection="0"/>
    <xf numFmtId="168" fontId="70" fillId="0" borderId="48" applyNumberFormat="0" applyFill="0" applyAlignment="0" applyProtection="0"/>
    <xf numFmtId="0" fontId="68"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9"/>
    <xf numFmtId="169" fontId="25" fillId="0" borderId="49"/>
    <xf numFmtId="168" fontId="25"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5" fillId="0" borderId="0"/>
    <xf numFmtId="0" fontId="6"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6"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6"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6" fillId="0" borderId="0"/>
    <xf numFmtId="0" fontId="75" fillId="0" borderId="0"/>
    <xf numFmtId="168" fontId="6" fillId="0" borderId="0"/>
    <xf numFmtId="0" fontId="75" fillId="0" borderId="0"/>
    <xf numFmtId="168" fontId="6"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6"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5"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168" fontId="2" fillId="0" borderId="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 fillId="74" borderId="50" applyNumberFormat="0" applyFont="0" applyAlignment="0" applyProtection="0"/>
    <xf numFmtId="0" fontId="26" fillId="74" borderId="50" applyNumberFormat="0" applyFont="0" applyAlignment="0" applyProtection="0"/>
    <xf numFmtId="168" fontId="2" fillId="0" borderId="0"/>
    <xf numFmtId="0" fontId="26" fillId="74" borderId="50" applyNumberFormat="0" applyFont="0" applyAlignment="0" applyProtection="0"/>
    <xf numFmtId="0" fontId="26"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6" fillId="74" borderId="50" applyNumberFormat="0" applyFont="0" applyAlignment="0" applyProtection="0"/>
    <xf numFmtId="0" fontId="2"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169" fontId="2" fillId="0" borderId="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 fillId="74" borderId="50" applyNumberFormat="0" applyFont="0" applyAlignment="0" applyProtection="0"/>
    <xf numFmtId="0" fontId="2" fillId="0" borderId="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7" fillId="11" borderId="4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51" applyNumberFormat="0" applyAlignment="0" applyProtection="0"/>
    <xf numFmtId="0" fontId="83" fillId="9" borderId="37"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168" fontId="84"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168" fontId="84"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169" fontId="84"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7"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7"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7"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7"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7"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7"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7"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168" fontId="84" fillId="64" borderId="51" applyNumberFormat="0" applyAlignment="0" applyProtection="0"/>
    <xf numFmtId="169" fontId="84" fillId="64" borderId="51" applyNumberFormat="0" applyAlignment="0" applyProtection="0"/>
    <xf numFmtId="168" fontId="84" fillId="64" borderId="51" applyNumberFormat="0" applyAlignment="0" applyProtection="0"/>
    <xf numFmtId="168" fontId="84" fillId="64" borderId="51" applyNumberFormat="0" applyAlignment="0" applyProtection="0"/>
    <xf numFmtId="169" fontId="84" fillId="64" borderId="51" applyNumberFormat="0" applyAlignment="0" applyProtection="0"/>
    <xf numFmtId="168" fontId="84" fillId="64" borderId="51" applyNumberFormat="0" applyAlignment="0" applyProtection="0"/>
    <xf numFmtId="168" fontId="84" fillId="64" borderId="51" applyNumberFormat="0" applyAlignment="0" applyProtection="0"/>
    <xf numFmtId="169" fontId="84" fillId="64" borderId="51" applyNumberFormat="0" applyAlignment="0" applyProtection="0"/>
    <xf numFmtId="168" fontId="84" fillId="64" borderId="51" applyNumberFormat="0" applyAlignment="0" applyProtection="0"/>
    <xf numFmtId="168" fontId="84" fillId="64" borderId="51" applyNumberFormat="0" applyAlignment="0" applyProtection="0"/>
    <xf numFmtId="169" fontId="84" fillId="64" borderId="51" applyNumberFormat="0" applyAlignment="0" applyProtection="0"/>
    <xf numFmtId="168" fontId="84" fillId="64" borderId="51" applyNumberFormat="0" applyAlignment="0" applyProtection="0"/>
    <xf numFmtId="0" fontId="82" fillId="64" borderId="51"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52" applyNumberFormat="0" applyFill="0" applyAlignment="0" applyProtection="0"/>
    <xf numFmtId="0" fontId="4" fillId="0" borderId="41"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168" fontId="93"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168" fontId="93"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169" fontId="93"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1"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1"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1"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1"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1"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1"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1"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168" fontId="93" fillId="0" borderId="52" applyNumberFormat="0" applyFill="0" applyAlignment="0" applyProtection="0"/>
    <xf numFmtId="169" fontId="93" fillId="0" borderId="52" applyNumberFormat="0" applyFill="0" applyAlignment="0" applyProtection="0"/>
    <xf numFmtId="168" fontId="93" fillId="0" borderId="52" applyNumberFormat="0" applyFill="0" applyAlignment="0" applyProtection="0"/>
    <xf numFmtId="168" fontId="93" fillId="0" borderId="52" applyNumberFormat="0" applyFill="0" applyAlignment="0" applyProtection="0"/>
    <xf numFmtId="169" fontId="93" fillId="0" borderId="52" applyNumberFormat="0" applyFill="0" applyAlignment="0" applyProtection="0"/>
    <xf numFmtId="168" fontId="93" fillId="0" borderId="52" applyNumberFormat="0" applyFill="0" applyAlignment="0" applyProtection="0"/>
    <xf numFmtId="168" fontId="93" fillId="0" borderId="52" applyNumberFormat="0" applyFill="0" applyAlignment="0" applyProtection="0"/>
    <xf numFmtId="169" fontId="93" fillId="0" borderId="52" applyNumberFormat="0" applyFill="0" applyAlignment="0" applyProtection="0"/>
    <xf numFmtId="168" fontId="93" fillId="0" borderId="52" applyNumberFormat="0" applyFill="0" applyAlignment="0" applyProtection="0"/>
    <xf numFmtId="168" fontId="93" fillId="0" borderId="52" applyNumberFormat="0" applyFill="0" applyAlignment="0" applyProtection="0"/>
    <xf numFmtId="169" fontId="93" fillId="0" borderId="52" applyNumberFormat="0" applyFill="0" applyAlignment="0" applyProtection="0"/>
    <xf numFmtId="168" fontId="93" fillId="0" borderId="52" applyNumberFormat="0" applyFill="0" applyAlignment="0" applyProtection="0"/>
    <xf numFmtId="0" fontId="46" fillId="0" borderId="52" applyNumberFormat="0" applyFill="0" applyAlignment="0" applyProtection="0"/>
    <xf numFmtId="0" fontId="24" fillId="0" borderId="53"/>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10" applyNumberFormat="0" applyFill="0" applyAlignment="0" applyProtection="0"/>
    <xf numFmtId="168" fontId="93" fillId="0" borderId="110" applyNumberFormat="0" applyFill="0" applyAlignment="0" applyProtection="0"/>
    <xf numFmtId="169" fontId="93" fillId="0" borderId="110" applyNumberFormat="0" applyFill="0" applyAlignment="0" applyProtection="0"/>
    <xf numFmtId="168" fontId="93" fillId="0" borderId="110" applyNumberFormat="0" applyFill="0" applyAlignment="0" applyProtection="0"/>
    <xf numFmtId="168" fontId="93" fillId="0" borderId="110" applyNumberFormat="0" applyFill="0" applyAlignment="0" applyProtection="0"/>
    <xf numFmtId="169" fontId="93" fillId="0" borderId="110" applyNumberFormat="0" applyFill="0" applyAlignment="0" applyProtection="0"/>
    <xf numFmtId="168" fontId="93" fillId="0" borderId="110" applyNumberFormat="0" applyFill="0" applyAlignment="0" applyProtection="0"/>
    <xf numFmtId="168" fontId="93" fillId="0" borderId="110" applyNumberFormat="0" applyFill="0" applyAlignment="0" applyProtection="0"/>
    <xf numFmtId="169" fontId="93" fillId="0" borderId="110" applyNumberFormat="0" applyFill="0" applyAlignment="0" applyProtection="0"/>
    <xf numFmtId="168" fontId="93" fillId="0" borderId="110" applyNumberFormat="0" applyFill="0" applyAlignment="0" applyProtection="0"/>
    <xf numFmtId="168" fontId="93" fillId="0" borderId="110" applyNumberFormat="0" applyFill="0" applyAlignment="0" applyProtection="0"/>
    <xf numFmtId="169" fontId="93" fillId="0" borderId="110" applyNumberFormat="0" applyFill="0" applyAlignment="0" applyProtection="0"/>
    <xf numFmtId="168" fontId="93"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169" fontId="93"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168" fontId="93"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168" fontId="93"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0" fontId="46" fillId="0" borderId="110" applyNumberFormat="0" applyFill="0" applyAlignment="0" applyProtection="0"/>
    <xf numFmtId="188" fontId="2" fillId="70" borderId="104" applyFont="0">
      <alignment horizontal="right" vertical="center"/>
    </xf>
    <xf numFmtId="3" fontId="2" fillId="70" borderId="104" applyFont="0">
      <alignment horizontal="right" vertical="center"/>
    </xf>
    <xf numFmtId="0" fontId="82" fillId="64" borderId="109" applyNumberFormat="0" applyAlignment="0" applyProtection="0"/>
    <xf numFmtId="168" fontId="84" fillId="64" borderId="109" applyNumberFormat="0" applyAlignment="0" applyProtection="0"/>
    <xf numFmtId="169" fontId="84" fillId="64" borderId="109" applyNumberFormat="0" applyAlignment="0" applyProtection="0"/>
    <xf numFmtId="168" fontId="84" fillId="64" borderId="109" applyNumberFormat="0" applyAlignment="0" applyProtection="0"/>
    <xf numFmtId="168" fontId="84" fillId="64" borderId="109" applyNumberFormat="0" applyAlignment="0" applyProtection="0"/>
    <xf numFmtId="169" fontId="84" fillId="64" borderId="109" applyNumberFormat="0" applyAlignment="0" applyProtection="0"/>
    <xf numFmtId="168" fontId="84" fillId="64" borderId="109" applyNumberFormat="0" applyAlignment="0" applyProtection="0"/>
    <xf numFmtId="168" fontId="84" fillId="64" borderId="109" applyNumberFormat="0" applyAlignment="0" applyProtection="0"/>
    <xf numFmtId="169" fontId="84" fillId="64" borderId="109" applyNumberFormat="0" applyAlignment="0" applyProtection="0"/>
    <xf numFmtId="168" fontId="84" fillId="64" borderId="109" applyNumberFormat="0" applyAlignment="0" applyProtection="0"/>
    <xf numFmtId="168" fontId="84" fillId="64" borderId="109" applyNumberFormat="0" applyAlignment="0" applyProtection="0"/>
    <xf numFmtId="169" fontId="84" fillId="64" borderId="109" applyNumberFormat="0" applyAlignment="0" applyProtection="0"/>
    <xf numFmtId="168" fontId="84"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169" fontId="84"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168" fontId="84"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168" fontId="84"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0" fontId="82" fillId="64" borderId="109" applyNumberFormat="0" applyAlignment="0" applyProtection="0"/>
    <xf numFmtId="3" fontId="2" fillId="75" borderId="104"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 fillId="74" borderId="108" applyNumberFormat="0" applyFont="0" applyAlignment="0" applyProtection="0"/>
    <xf numFmtId="0" fontId="26"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0" fontId="26" fillId="74" borderId="108" applyNumberFormat="0" applyFont="0" applyAlignment="0" applyProtection="0"/>
    <xf numFmtId="3" fontId="2" fillId="72" borderId="104" applyFont="0">
      <alignment horizontal="right" vertical="center"/>
      <protection locked="0"/>
    </xf>
    <xf numFmtId="0" fontId="65" fillId="43" borderId="107" applyNumberFormat="0" applyAlignment="0" applyProtection="0"/>
    <xf numFmtId="168" fontId="67" fillId="43" borderId="107" applyNumberFormat="0" applyAlignment="0" applyProtection="0"/>
    <xf numFmtId="169" fontId="67" fillId="43" borderId="107" applyNumberFormat="0" applyAlignment="0" applyProtection="0"/>
    <xf numFmtId="168" fontId="67" fillId="43" borderId="107" applyNumberFormat="0" applyAlignment="0" applyProtection="0"/>
    <xf numFmtId="168" fontId="67" fillId="43" borderId="107" applyNumberFormat="0" applyAlignment="0" applyProtection="0"/>
    <xf numFmtId="169" fontId="67" fillId="43" borderId="107" applyNumberFormat="0" applyAlignment="0" applyProtection="0"/>
    <xf numFmtId="168" fontId="67" fillId="43" borderId="107" applyNumberFormat="0" applyAlignment="0" applyProtection="0"/>
    <xf numFmtId="168" fontId="67" fillId="43" borderId="107" applyNumberFormat="0" applyAlignment="0" applyProtection="0"/>
    <xf numFmtId="169" fontId="67" fillId="43" borderId="107" applyNumberFormat="0" applyAlignment="0" applyProtection="0"/>
    <xf numFmtId="168" fontId="67" fillId="43" borderId="107" applyNumberFormat="0" applyAlignment="0" applyProtection="0"/>
    <xf numFmtId="168" fontId="67" fillId="43" borderId="107" applyNumberFormat="0" applyAlignment="0" applyProtection="0"/>
    <xf numFmtId="169" fontId="67" fillId="43" borderId="107" applyNumberFormat="0" applyAlignment="0" applyProtection="0"/>
    <xf numFmtId="168" fontId="67"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169" fontId="67"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168" fontId="67"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168" fontId="67"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65" fillId="43" borderId="107" applyNumberFormat="0" applyAlignment="0" applyProtection="0"/>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1" fillId="70" borderId="105" applyFont="0" applyBorder="0">
      <alignment horizontal="center" wrapText="1"/>
    </xf>
    <xf numFmtId="168" fontId="53" fillId="0" borderId="102">
      <alignment horizontal="left" vertical="center"/>
    </xf>
    <xf numFmtId="0" fontId="53" fillId="0" borderId="102">
      <alignment horizontal="left" vertical="center"/>
    </xf>
    <xf numFmtId="0" fontId="53" fillId="0" borderId="102">
      <alignment horizontal="left" vertical="center"/>
    </xf>
    <xf numFmtId="0" fontId="2" fillId="69" borderId="104" applyNumberFormat="0" applyFont="0" applyBorder="0" applyProtection="0">
      <alignment horizontal="center" vertical="center"/>
    </xf>
    <xf numFmtId="0" fontId="35" fillId="0" borderId="104" applyNumberFormat="0" applyAlignment="0">
      <alignment horizontal="right"/>
      <protection locked="0"/>
    </xf>
    <xf numFmtId="0" fontId="35" fillId="0" borderId="104" applyNumberFormat="0" applyAlignment="0">
      <alignment horizontal="right"/>
      <protection locked="0"/>
    </xf>
    <xf numFmtId="0" fontId="35" fillId="0" borderId="104" applyNumberFormat="0" applyAlignment="0">
      <alignment horizontal="right"/>
      <protection locked="0"/>
    </xf>
    <xf numFmtId="0" fontId="35" fillId="0" borderId="104" applyNumberFormat="0" applyAlignment="0">
      <alignment horizontal="right"/>
      <protection locked="0"/>
    </xf>
    <xf numFmtId="0" fontId="35" fillId="0" borderId="104" applyNumberFormat="0" applyAlignment="0">
      <alignment horizontal="right"/>
      <protection locked="0"/>
    </xf>
    <xf numFmtId="0" fontId="35" fillId="0" borderId="104" applyNumberFormat="0" applyAlignment="0">
      <alignment horizontal="right"/>
      <protection locked="0"/>
    </xf>
    <xf numFmtId="0" fontId="35" fillId="0" borderId="104" applyNumberFormat="0" applyAlignment="0">
      <alignment horizontal="right"/>
      <protection locked="0"/>
    </xf>
    <xf numFmtId="0" fontId="35" fillId="0" borderId="104" applyNumberFormat="0" applyAlignment="0">
      <alignment horizontal="right"/>
      <protection locked="0"/>
    </xf>
    <xf numFmtId="0" fontId="35" fillId="0" borderId="104" applyNumberFormat="0" applyAlignment="0">
      <alignment horizontal="right"/>
      <protection locked="0"/>
    </xf>
    <xf numFmtId="0" fontId="35" fillId="0" borderId="104" applyNumberFormat="0" applyAlignment="0">
      <alignment horizontal="right"/>
      <protection locked="0"/>
    </xf>
    <xf numFmtId="0" fontId="37" fillId="64" borderId="107" applyNumberFormat="0" applyAlignment="0" applyProtection="0"/>
    <xf numFmtId="168" fontId="39" fillId="64" borderId="107" applyNumberFormat="0" applyAlignment="0" applyProtection="0"/>
    <xf numFmtId="169" fontId="39" fillId="64" borderId="107" applyNumberFormat="0" applyAlignment="0" applyProtection="0"/>
    <xf numFmtId="168" fontId="39" fillId="64" borderId="107" applyNumberFormat="0" applyAlignment="0" applyProtection="0"/>
    <xf numFmtId="168" fontId="39" fillId="64" borderId="107" applyNumberFormat="0" applyAlignment="0" applyProtection="0"/>
    <xf numFmtId="169" fontId="39" fillId="64" borderId="107" applyNumberFormat="0" applyAlignment="0" applyProtection="0"/>
    <xf numFmtId="168" fontId="39" fillId="64" borderId="107" applyNumberFormat="0" applyAlignment="0" applyProtection="0"/>
    <xf numFmtId="168" fontId="39" fillId="64" borderId="107" applyNumberFormat="0" applyAlignment="0" applyProtection="0"/>
    <xf numFmtId="169" fontId="39" fillId="64" borderId="107" applyNumberFormat="0" applyAlignment="0" applyProtection="0"/>
    <xf numFmtId="168" fontId="39" fillId="64" borderId="107" applyNumberFormat="0" applyAlignment="0" applyProtection="0"/>
    <xf numFmtId="168" fontId="39" fillId="64" borderId="107" applyNumberFormat="0" applyAlignment="0" applyProtection="0"/>
    <xf numFmtId="169" fontId="39" fillId="64" borderId="107" applyNumberFormat="0" applyAlignment="0" applyProtection="0"/>
    <xf numFmtId="168" fontId="39"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169" fontId="39"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168" fontId="39"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168" fontId="39"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37" fillId="64" borderId="107"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cellStyleXfs>
  <cellXfs count="652">
    <xf numFmtId="0" fontId="0" fillId="0" borderId="0" xfId="0"/>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6" fillId="0" borderId="0" xfId="0" applyFont="1" applyAlignment="1">
      <alignment vertical="center"/>
    </xf>
    <xf numFmtId="0" fontId="7"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3" fillId="0" borderId="22" xfId="0" applyFont="1" applyBorder="1"/>
    <xf numFmtId="0" fontId="22" fillId="0" borderId="3" xfId="0" applyFont="1" applyBorder="1"/>
    <xf numFmtId="0" fontId="21"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164"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2" borderId="25" xfId="0" applyFont="1" applyFill="1" applyBorder="1" applyAlignment="1">
      <alignment horizontal="right" vertical="center"/>
    </xf>
    <xf numFmtId="0" fontId="17" fillId="0" borderId="19" xfId="0" applyFont="1" applyFill="1" applyBorder="1" applyAlignment="1">
      <alignment horizontal="left" vertical="center" indent="1"/>
    </xf>
    <xf numFmtId="0" fontId="17" fillId="0" borderId="20" xfId="0" applyFont="1" applyFill="1" applyBorder="1" applyAlignment="1">
      <alignment horizontal="left" vertical="center"/>
    </xf>
    <xf numFmtId="0" fontId="17" fillId="0" borderId="22" xfId="0" applyFont="1" applyFill="1" applyBorder="1" applyAlignment="1">
      <alignment horizontal="left" vertical="center" indent="1"/>
    </xf>
    <xf numFmtId="0" fontId="17" fillId="0" borderId="23" xfId="0" applyFont="1" applyFill="1" applyBorder="1" applyAlignment="1">
      <alignment horizontal="center" vertical="center" wrapText="1"/>
    </xf>
    <xf numFmtId="0" fontId="17" fillId="0" borderId="22" xfId="0" applyFont="1" applyFill="1" applyBorder="1" applyAlignment="1">
      <alignment horizontal="left" indent="1"/>
    </xf>
    <xf numFmtId="38" fontId="17" fillId="0" borderId="23" xfId="0" applyNumberFormat="1" applyFont="1" applyFill="1" applyBorder="1" applyAlignment="1" applyProtection="1">
      <alignment horizontal="right"/>
      <protection locked="0"/>
    </xf>
    <xf numFmtId="0" fontId="17" fillId="0" borderId="25" xfId="0" applyFont="1" applyFill="1" applyBorder="1" applyAlignment="1">
      <alignment horizontal="left" vertical="center" indent="1"/>
    </xf>
    <xf numFmtId="0" fontId="18" fillId="0" borderId="26" xfId="0" applyFont="1" applyFill="1" applyBorder="1" applyAlignment="1"/>
    <xf numFmtId="0" fontId="3" fillId="0" borderId="58" xfId="0" applyFont="1" applyBorder="1"/>
    <xf numFmtId="0" fontId="19" fillId="0" borderId="25" xfId="0" applyFont="1" applyBorder="1" applyAlignment="1">
      <alignment horizontal="center" vertical="center" wrapText="1"/>
    </xf>
    <xf numFmtId="0" fontId="3" fillId="0" borderId="59"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0" fontId="22" fillId="0" borderId="22" xfId="0" applyFont="1" applyBorder="1" applyAlignment="1">
      <alignment horizontal="center"/>
    </xf>
    <xf numFmtId="167" fontId="22" fillId="0" borderId="65" xfId="0" applyNumberFormat="1" applyFont="1" applyBorder="1" applyAlignment="1">
      <alignment horizontal="center"/>
    </xf>
    <xf numFmtId="167" fontId="22" fillId="0" borderId="67" xfId="0" applyNumberFormat="1" applyFont="1" applyBorder="1" applyAlignment="1">
      <alignment horizontal="center"/>
    </xf>
    <xf numFmtId="167" fontId="21" fillId="36" borderId="60" xfId="0" applyNumberFormat="1" applyFont="1" applyFill="1" applyBorder="1" applyAlignment="1">
      <alignment horizontal="center"/>
    </xf>
    <xf numFmtId="167" fontId="22" fillId="0" borderId="64" xfId="0" applyNumberFormat="1" applyFont="1" applyBorder="1" applyAlignment="1">
      <alignment horizontal="center"/>
    </xf>
    <xf numFmtId="167" fontId="22" fillId="0" borderId="68" xfId="0" applyNumberFormat="1" applyFont="1" applyBorder="1" applyAlignment="1">
      <alignment horizontal="center"/>
    </xf>
    <xf numFmtId="0" fontId="22" fillId="0" borderId="25" xfId="0" applyFont="1" applyBorder="1" applyAlignment="1">
      <alignment horizontal="center"/>
    </xf>
    <xf numFmtId="167" fontId="21" fillId="36" borderId="63"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0" fillId="0" borderId="0" xfId="0" applyFont="1" applyFill="1"/>
    <xf numFmtId="0" fontId="3" fillId="0" borderId="69"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4" fontId="8" fillId="36" borderId="27" xfId="1" applyNumberFormat="1" applyFont="1" applyFill="1" applyBorder="1" applyAlignment="1" applyProtection="1">
      <protection locked="0"/>
    </xf>
    <xf numFmtId="0" fontId="3" fillId="0" borderId="58" xfId="0" applyFont="1" applyBorder="1" applyAlignment="1">
      <alignment horizontal="center"/>
    </xf>
    <xf numFmtId="0" fontId="3" fillId="0" borderId="5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101"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4"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3" fillId="0" borderId="6"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7" fillId="0" borderId="0" xfId="0" applyFont="1" applyFill="1" applyBorder="1" applyAlignment="1">
      <alignment horizontal="center"/>
    </xf>
    <xf numFmtId="0" fontId="7" fillId="0" borderId="0" xfId="0" applyFont="1" applyFill="1" applyAlignment="1">
      <alignment horizontal="center"/>
    </xf>
    <xf numFmtId="0" fontId="15"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5" fillId="0" borderId="10"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82" xfId="0" applyNumberFormat="1" applyFont="1" applyFill="1" applyBorder="1" applyAlignment="1">
      <alignment horizontal="right" vertical="center"/>
    </xf>
    <xf numFmtId="49" fontId="105" fillId="0" borderId="85" xfId="0" applyNumberFormat="1" applyFont="1" applyFill="1" applyBorder="1" applyAlignment="1">
      <alignment horizontal="right" vertical="center"/>
    </xf>
    <xf numFmtId="49" fontId="105" fillId="0" borderId="90"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90"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167" fontId="15" fillId="77" borderId="65" xfId="0" applyNumberFormat="1" applyFont="1" applyFill="1" applyBorder="1" applyAlignment="1">
      <alignment horizontal="center"/>
    </xf>
    <xf numFmtId="193" fontId="7" fillId="2" borderId="26"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36" borderId="26" xfId="7"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18" fillId="0" borderId="3" xfId="0" applyNumberFormat="1" applyFont="1" applyFill="1" applyBorder="1" applyAlignment="1">
      <alignment horizontal="center"/>
    </xf>
    <xf numFmtId="193" fontId="7" fillId="36" borderId="3" xfId="7" applyNumberFormat="1" applyFont="1" applyFill="1" applyBorder="1" applyAlignment="1" applyProtection="1"/>
    <xf numFmtId="193" fontId="17" fillId="36" borderId="26" xfId="0" applyNumberFormat="1" applyFont="1" applyFill="1" applyBorder="1" applyAlignment="1">
      <alignment horizontal="right"/>
    </xf>
    <xf numFmtId="193" fontId="7" fillId="36" borderId="3" xfId="0" applyNumberFormat="1" applyFont="1" applyFill="1" applyBorder="1" applyAlignment="1" applyProtection="1">
      <alignment horizontal="right"/>
    </xf>
    <xf numFmtId="193" fontId="7" fillId="0" borderId="26" xfId="0"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3" fontId="20" fillId="36" borderId="26" xfId="0" applyNumberFormat="1" applyFont="1" applyFill="1" applyBorder="1" applyAlignment="1">
      <alignment vertical="center" wrapText="1"/>
    </xf>
    <xf numFmtId="3" fontId="20"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7" xfId="0" applyNumberFormat="1" applyFill="1" applyBorder="1" applyAlignment="1">
      <alignment horizontal="center" vertical="center" wrapText="1"/>
    </xf>
    <xf numFmtId="193" fontId="5" fillId="36" borderId="27" xfId="2" applyNumberFormat="1" applyFont="1" applyFill="1" applyBorder="1" applyAlignment="1" applyProtection="1">
      <alignment vertical="top" wrapText="1"/>
    </xf>
    <xf numFmtId="193" fontId="22" fillId="0" borderId="14" xfId="0" applyNumberFormat="1" applyFont="1" applyBorder="1" applyAlignment="1">
      <alignment vertical="center"/>
    </xf>
    <xf numFmtId="193" fontId="16" fillId="0" borderId="14" xfId="0" applyNumberFormat="1" applyFont="1" applyBorder="1" applyAlignment="1">
      <alignment vertical="center"/>
    </xf>
    <xf numFmtId="193" fontId="22" fillId="0" borderId="15" xfId="0" applyNumberFormat="1" applyFont="1" applyBorder="1" applyAlignment="1">
      <alignment vertical="center"/>
    </xf>
    <xf numFmtId="193" fontId="21" fillId="36" borderId="17" xfId="0" applyNumberFormat="1" applyFont="1" applyFill="1" applyBorder="1" applyAlignment="1">
      <alignment vertical="center"/>
    </xf>
    <xf numFmtId="193" fontId="22" fillId="0" borderId="18" xfId="0" applyNumberFormat="1" applyFont="1" applyBorder="1" applyAlignment="1">
      <alignment vertical="center"/>
    </xf>
    <xf numFmtId="193" fontId="16" fillId="0" borderId="15" xfId="0" applyNumberFormat="1" applyFont="1" applyBorder="1" applyAlignment="1">
      <alignment vertical="center"/>
    </xf>
    <xf numFmtId="193" fontId="21" fillId="36" borderId="62" xfId="0" applyNumberFormat="1" applyFont="1" applyFill="1" applyBorder="1" applyAlignment="1">
      <alignment vertical="center"/>
    </xf>
    <xf numFmtId="193" fontId="22" fillId="36" borderId="14" xfId="0" applyNumberFormat="1" applyFont="1" applyFill="1" applyBorder="1" applyAlignment="1">
      <alignment vertical="center"/>
    </xf>
    <xf numFmtId="193" fontId="3" fillId="36" borderId="26" xfId="0" applyNumberFormat="1" applyFont="1" applyFill="1" applyBorder="1"/>
    <xf numFmtId="193" fontId="3" fillId="36" borderId="55" xfId="0" applyNumberFormat="1" applyFont="1" applyFill="1" applyBorder="1" applyAlignment="1"/>
    <xf numFmtId="193" fontId="3" fillId="36" borderId="25" xfId="0" applyNumberFormat="1" applyFont="1" applyFill="1" applyBorder="1"/>
    <xf numFmtId="193" fontId="3" fillId="36" borderId="27" xfId="0" applyNumberFormat="1" applyFont="1" applyFill="1" applyBorder="1"/>
    <xf numFmtId="193" fontId="3" fillId="36" borderId="56" xfId="0" applyNumberFormat="1" applyFont="1" applyFill="1" applyBorder="1"/>
    <xf numFmtId="193" fontId="7" fillId="36" borderId="3" xfId="5" applyNumberFormat="1" applyFont="1" applyFill="1" applyBorder="1" applyProtection="1">
      <protection locked="0"/>
    </xf>
    <xf numFmtId="193" fontId="8" fillId="36" borderId="26" xfId="16" applyNumberFormat="1" applyFont="1" applyFill="1" applyBorder="1" applyAlignment="1" applyProtection="1">
      <protection locked="0"/>
    </xf>
    <xf numFmtId="193" fontId="7" fillId="36" borderId="3" xfId="1" applyNumberFormat="1" applyFont="1" applyFill="1" applyBorder="1" applyProtection="1">
      <protection locked="0"/>
    </xf>
    <xf numFmtId="193" fontId="8" fillId="36" borderId="26" xfId="1" applyNumberFormat="1" applyFont="1" applyFill="1" applyBorder="1" applyAlignment="1" applyProtection="1">
      <protection locked="0"/>
    </xf>
    <xf numFmtId="193" fontId="7" fillId="3" borderId="26" xfId="5" applyNumberFormat="1" applyFont="1" applyFill="1" applyBorder="1" applyProtection="1">
      <protection locked="0"/>
    </xf>
    <xf numFmtId="193" fontId="22" fillId="0" borderId="0" xfId="0" applyNumberFormat="1" applyFont="1"/>
    <xf numFmtId="0" fontId="3" fillId="0" borderId="30" xfId="0" applyFont="1" applyBorder="1" applyAlignment="1">
      <alignment horizontal="center" vertical="center"/>
    </xf>
    <xf numFmtId="0" fontId="3" fillId="0" borderId="30" xfId="0" applyFont="1" applyBorder="1" applyAlignment="1">
      <alignment wrapText="1"/>
    </xf>
    <xf numFmtId="193" fontId="3" fillId="0" borderId="24" xfId="0" applyNumberFormat="1" applyFont="1" applyBorder="1" applyAlignment="1"/>
    <xf numFmtId="193"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6"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3" xfId="20961" applyFont="1" applyBorder="1"/>
    <xf numFmtId="9" fontId="3" fillId="36" borderId="27" xfId="20961" applyFont="1" applyFill="1" applyBorder="1"/>
    <xf numFmtId="167" fontId="3" fillId="0" borderId="23" xfId="0" applyNumberFormat="1" applyFont="1" applyBorder="1" applyAlignment="1"/>
    <xf numFmtId="0" fontId="3" fillId="36" borderId="27" xfId="0" applyFont="1" applyFill="1" applyBorder="1"/>
    <xf numFmtId="167" fontId="4" fillId="36" borderId="26" xfId="0" applyNumberFormat="1" applyFont="1" applyFill="1" applyBorder="1" applyAlignment="1">
      <alignment horizontal="center" vertical="center"/>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169" fontId="25" fillId="37" borderId="0" xfId="20" applyBorder="1"/>
    <xf numFmtId="0" fontId="3" fillId="0" borderId="7" xfId="0" applyFont="1" applyFill="1" applyBorder="1" applyAlignment="1">
      <alignment vertical="center"/>
    </xf>
    <xf numFmtId="0" fontId="3" fillId="0" borderId="104" xfId="0" applyFont="1" applyFill="1" applyBorder="1" applyAlignment="1">
      <alignment vertical="center"/>
    </xf>
    <xf numFmtId="0" fontId="4" fillId="0" borderId="104" xfId="0" applyFont="1" applyFill="1" applyBorder="1" applyAlignment="1">
      <alignment vertical="center"/>
    </xf>
    <xf numFmtId="0" fontId="3" fillId="0" borderId="20" xfId="0" applyFont="1" applyFill="1" applyBorder="1" applyAlignment="1">
      <alignment vertical="center"/>
    </xf>
    <xf numFmtId="0" fontId="3" fillId="0" borderId="99" xfId="0" applyFont="1" applyFill="1" applyBorder="1" applyAlignment="1">
      <alignment vertical="center"/>
    </xf>
    <xf numFmtId="0" fontId="3" fillId="0" borderId="101" xfId="0" applyFont="1" applyFill="1" applyBorder="1" applyAlignment="1">
      <alignment vertical="center"/>
    </xf>
    <xf numFmtId="0" fontId="3" fillId="0" borderId="19"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114" xfId="0" applyFont="1" applyFill="1" applyBorder="1" applyAlignment="1">
      <alignment horizontal="center" vertical="center"/>
    </xf>
    <xf numFmtId="169" fontId="25" fillId="37" borderId="34" xfId="20" applyBorder="1"/>
    <xf numFmtId="169" fontId="25" fillId="37" borderId="116" xfId="20" applyBorder="1"/>
    <xf numFmtId="169" fontId="25" fillId="37" borderId="106" xfId="20" applyBorder="1"/>
    <xf numFmtId="169" fontId="25" fillId="37" borderId="59" xfId="20" applyBorder="1"/>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75" xfId="0" applyFont="1" applyFill="1" applyBorder="1" applyAlignment="1">
      <alignment horizontal="center" vertical="center"/>
    </xf>
    <xf numFmtId="0" fontId="3" fillId="3" borderId="102" xfId="0" applyFont="1" applyFill="1" applyBorder="1" applyAlignment="1">
      <alignment vertical="center"/>
    </xf>
    <xf numFmtId="0" fontId="12" fillId="3" borderId="117" xfId="0" applyFont="1" applyFill="1" applyBorder="1" applyAlignment="1">
      <alignment horizontal="left"/>
    </xf>
    <xf numFmtId="0" fontId="12" fillId="3" borderId="118" xfId="0" applyFont="1" applyFill="1" applyBorder="1" applyAlignment="1">
      <alignment horizontal="left"/>
    </xf>
    <xf numFmtId="0" fontId="3" fillId="0" borderId="0" xfId="0" applyFont="1"/>
    <xf numFmtId="0" fontId="3" fillId="0" borderId="0" xfId="0" applyFont="1" applyFill="1"/>
    <xf numFmtId="0" fontId="3" fillId="0" borderId="104" xfId="0" applyFont="1" applyFill="1" applyBorder="1" applyAlignment="1">
      <alignment horizontal="center" vertical="center" wrapText="1"/>
    </xf>
    <xf numFmtId="0" fontId="105" fillId="0" borderId="92" xfId="0" applyFont="1" applyFill="1" applyBorder="1" applyAlignment="1">
      <alignment horizontal="right" vertical="center"/>
    </xf>
    <xf numFmtId="0" fontId="3" fillId="0" borderId="119" xfId="0" applyFont="1" applyFill="1" applyBorder="1" applyAlignment="1">
      <alignment horizontal="center" vertical="center" wrapText="1"/>
    </xf>
    <xf numFmtId="0" fontId="4" fillId="3" borderId="120" xfId="0" applyFont="1" applyFill="1" applyBorder="1" applyAlignment="1">
      <alignment vertical="center"/>
    </xf>
    <xf numFmtId="0" fontId="3" fillId="3" borderId="24" xfId="0" applyFont="1" applyFill="1" applyBorder="1" applyAlignment="1">
      <alignment vertical="center"/>
    </xf>
    <xf numFmtId="0" fontId="3" fillId="0" borderId="121" xfId="0" applyFont="1" applyFill="1" applyBorder="1" applyAlignment="1">
      <alignment horizontal="center" vertical="center"/>
    </xf>
    <xf numFmtId="0" fontId="4" fillId="0" borderId="26" xfId="0" applyFont="1" applyFill="1" applyBorder="1" applyAlignment="1">
      <alignment vertical="center"/>
    </xf>
    <xf numFmtId="169" fontId="25" fillId="37" borderId="28" xfId="20" applyBorder="1"/>
    <xf numFmtId="0" fontId="3" fillId="0" borderId="7"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21" xfId="0" applyBorder="1"/>
    <xf numFmtId="0" fontId="0" fillId="0" borderId="121" xfId="0" applyBorder="1" applyAlignment="1">
      <alignment horizontal="center"/>
    </xf>
    <xf numFmtId="0" fontId="3" fillId="0" borderId="103" xfId="0" applyFont="1" applyBorder="1" applyAlignment="1">
      <alignment vertical="center" wrapText="1"/>
    </xf>
    <xf numFmtId="0" fontId="12" fillId="0" borderId="103" xfId="0" applyFont="1" applyBorder="1" applyAlignment="1">
      <alignment vertical="center" wrapText="1"/>
    </xf>
    <xf numFmtId="0" fontId="0" fillId="0" borderId="25" xfId="0" applyBorder="1"/>
    <xf numFmtId="0" fontId="4" fillId="36" borderId="122" xfId="0" applyFont="1" applyFill="1" applyBorder="1" applyAlignment="1">
      <alignment vertical="center" wrapText="1"/>
    </xf>
    <xf numFmtId="167" fontId="4" fillId="36" borderId="27" xfId="0" applyNumberFormat="1" applyFont="1" applyFill="1" applyBorder="1" applyAlignment="1">
      <alignment horizontal="center" vertical="center"/>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121" xfId="0" applyFont="1" applyFill="1" applyBorder="1" applyAlignment="1">
      <alignment horizontal="left" vertical="center" wrapText="1"/>
    </xf>
    <xf numFmtId="0" fontId="4" fillId="36" borderId="104" xfId="0" applyFont="1" applyFill="1" applyBorder="1" applyAlignment="1">
      <alignment horizontal="left" vertical="center" wrapText="1"/>
    </xf>
    <xf numFmtId="0" fontId="3" fillId="0" borderId="121" xfId="0" applyFont="1" applyFill="1" applyBorder="1" applyAlignment="1">
      <alignment horizontal="right" vertical="center" wrapText="1"/>
    </xf>
    <xf numFmtId="0" fontId="3" fillId="0" borderId="104" xfId="0" applyFont="1" applyFill="1" applyBorder="1" applyAlignment="1">
      <alignment horizontal="left" vertical="center" wrapText="1"/>
    </xf>
    <xf numFmtId="0" fontId="108" fillId="0" borderId="121" xfId="0" applyFont="1" applyFill="1" applyBorder="1" applyAlignment="1">
      <alignment horizontal="right" vertical="center" wrapText="1"/>
    </xf>
    <xf numFmtId="0" fontId="108" fillId="0" borderId="104" xfId="0" applyFont="1" applyFill="1" applyBorder="1" applyAlignment="1">
      <alignment horizontal="left" vertical="center" wrapText="1"/>
    </xf>
    <xf numFmtId="0" fontId="4" fillId="0" borderId="121"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19" fillId="0" borderId="121" xfId="0" applyFont="1" applyBorder="1" applyAlignment="1">
      <alignment horizontal="center" vertical="center" wrapText="1"/>
    </xf>
    <xf numFmtId="3" fontId="20" fillId="36" borderId="104" xfId="0" applyNumberFormat="1" applyFont="1" applyFill="1" applyBorder="1" applyAlignment="1">
      <alignment vertical="center" wrapText="1"/>
    </xf>
    <xf numFmtId="3" fontId="20" fillId="36" borderId="119" xfId="0" applyNumberFormat="1" applyFont="1" applyFill="1" applyBorder="1" applyAlignment="1">
      <alignment vertical="center" wrapText="1"/>
    </xf>
    <xf numFmtId="14" fontId="5" fillId="3" borderId="104" xfId="8" quotePrefix="1" applyNumberFormat="1" applyFont="1" applyFill="1" applyBorder="1" applyAlignment="1" applyProtection="1">
      <alignment horizontal="left" vertical="center" wrapText="1" indent="2"/>
      <protection locked="0"/>
    </xf>
    <xf numFmtId="3" fontId="20" fillId="0" borderId="104" xfId="0" applyNumberFormat="1" applyFont="1" applyBorder="1" applyAlignment="1">
      <alignment vertical="center" wrapText="1"/>
    </xf>
    <xf numFmtId="14" fontId="5" fillId="3" borderId="104" xfId="8" quotePrefix="1" applyNumberFormat="1" applyFont="1" applyFill="1" applyBorder="1" applyAlignment="1" applyProtection="1">
      <alignment horizontal="left" vertical="center" wrapText="1" indent="3"/>
      <protection locked="0"/>
    </xf>
    <xf numFmtId="3" fontId="20" fillId="0" borderId="104" xfId="0" applyNumberFormat="1" applyFont="1" applyFill="1" applyBorder="1" applyAlignment="1">
      <alignment vertical="center" wrapText="1"/>
    </xf>
    <xf numFmtId="0" fontId="9" fillId="0" borderId="104" xfId="17" applyFill="1" applyBorder="1" applyAlignment="1" applyProtection="1"/>
    <xf numFmtId="49" fontId="108" fillId="0" borderId="121" xfId="0" applyNumberFormat="1" applyFont="1" applyFill="1" applyBorder="1" applyAlignment="1">
      <alignment horizontal="right" vertical="center" wrapText="1"/>
    </xf>
    <xf numFmtId="0" fontId="5" fillId="3" borderId="104" xfId="20960" applyFont="1" applyFill="1" applyBorder="1" applyAlignment="1" applyProtection="1"/>
    <xf numFmtId="0" fontId="102" fillId="0" borderId="104" xfId="20960" applyFont="1" applyFill="1" applyBorder="1" applyAlignment="1" applyProtection="1">
      <alignment horizontal="center" vertical="center"/>
    </xf>
    <xf numFmtId="0" fontId="3" fillId="0" borderId="104" xfId="0" applyFont="1" applyBorder="1"/>
    <xf numFmtId="0" fontId="9" fillId="0" borderId="104" xfId="17" applyFill="1" applyBorder="1" applyAlignment="1" applyProtection="1">
      <alignment horizontal="left" vertical="center" wrapText="1"/>
    </xf>
    <xf numFmtId="49" fontId="108" fillId="0" borderId="104" xfId="0" applyNumberFormat="1" applyFont="1" applyFill="1" applyBorder="1" applyAlignment="1">
      <alignment horizontal="right" vertical="center" wrapText="1"/>
    </xf>
    <xf numFmtId="0" fontId="9" fillId="0" borderId="104" xfId="17" applyFill="1" applyBorder="1" applyAlignment="1" applyProtection="1">
      <alignment horizontal="left" vertical="center"/>
    </xf>
    <xf numFmtId="0" fontId="9" fillId="0" borderId="104" xfId="17" applyBorder="1" applyAlignment="1" applyProtection="1"/>
    <xf numFmtId="0" fontId="3" fillId="0" borderId="104" xfId="0" applyFont="1" applyFill="1" applyBorder="1"/>
    <xf numFmtId="0" fontId="19" fillId="0" borderId="121" xfId="0" applyFont="1" applyFill="1" applyBorder="1" applyAlignment="1">
      <alignment horizontal="center" vertical="center" wrapText="1"/>
    </xf>
    <xf numFmtId="0" fontId="111" fillId="78" borderId="105" xfId="21412" applyFont="1" applyFill="1" applyBorder="1" applyAlignment="1" applyProtection="1">
      <alignment vertical="center" wrapText="1"/>
      <protection locked="0"/>
    </xf>
    <xf numFmtId="0" fontId="112" fillId="70" borderId="99" xfId="21412" applyFont="1" applyFill="1" applyBorder="1" applyAlignment="1" applyProtection="1">
      <alignment horizontal="center" vertical="center"/>
      <protection locked="0"/>
    </xf>
    <xf numFmtId="0" fontId="111" fillId="79" borderId="104" xfId="21412" applyFont="1" applyFill="1" applyBorder="1" applyAlignment="1" applyProtection="1">
      <alignment horizontal="center" vertical="center"/>
      <protection locked="0"/>
    </xf>
    <xf numFmtId="0" fontId="111" fillId="78" borderId="105" xfId="21412" applyFont="1" applyFill="1" applyBorder="1" applyAlignment="1" applyProtection="1">
      <alignment vertical="center"/>
      <protection locked="0"/>
    </xf>
    <xf numFmtId="0" fontId="113" fillId="70" borderId="99" xfId="21412" applyFont="1" applyFill="1" applyBorder="1" applyAlignment="1" applyProtection="1">
      <alignment horizontal="center" vertical="center"/>
      <protection locked="0"/>
    </xf>
    <xf numFmtId="0" fontId="113" fillId="3" borderId="99" xfId="21412" applyFont="1" applyFill="1" applyBorder="1" applyAlignment="1" applyProtection="1">
      <alignment horizontal="center" vertical="center"/>
      <protection locked="0"/>
    </xf>
    <xf numFmtId="0" fontId="113" fillId="0" borderId="99" xfId="21412" applyFont="1" applyFill="1" applyBorder="1" applyAlignment="1" applyProtection="1">
      <alignment horizontal="center" vertical="center"/>
      <protection locked="0"/>
    </xf>
    <xf numFmtId="0" fontId="114" fillId="79" borderId="104" xfId="21412" applyFont="1" applyFill="1" applyBorder="1" applyAlignment="1" applyProtection="1">
      <alignment horizontal="center" vertical="center"/>
      <protection locked="0"/>
    </xf>
    <xf numFmtId="0" fontId="111" fillId="78" borderId="105" xfId="21412" applyFont="1" applyFill="1" applyBorder="1" applyAlignment="1" applyProtection="1">
      <alignment horizontal="center" vertical="center"/>
      <protection locked="0"/>
    </xf>
    <xf numFmtId="0" fontId="61" fillId="78" borderId="105" xfId="21412" applyFont="1" applyFill="1" applyBorder="1" applyAlignment="1" applyProtection="1">
      <alignment vertical="center"/>
      <protection locked="0"/>
    </xf>
    <xf numFmtId="0" fontId="113" fillId="70" borderId="104" xfId="21412" applyFont="1" applyFill="1" applyBorder="1" applyAlignment="1" applyProtection="1">
      <alignment horizontal="center" vertical="center"/>
      <protection locked="0"/>
    </xf>
    <xf numFmtId="0" fontId="35" fillId="70" borderId="104" xfId="21412" applyFont="1" applyFill="1" applyBorder="1" applyAlignment="1" applyProtection="1">
      <alignment horizontal="center" vertical="center"/>
      <protection locked="0"/>
    </xf>
    <xf numFmtId="0" fontId="61" fillId="78" borderId="103" xfId="21412" applyFont="1" applyFill="1" applyBorder="1" applyAlignment="1" applyProtection="1">
      <alignment vertical="center"/>
      <protection locked="0"/>
    </xf>
    <xf numFmtId="0" fontId="112" fillId="0" borderId="103" xfId="21412" applyFont="1" applyFill="1" applyBorder="1" applyAlignment="1" applyProtection="1">
      <alignment horizontal="left" vertical="center" wrapText="1"/>
      <protection locked="0"/>
    </xf>
    <xf numFmtId="164" fontId="112" fillId="0" borderId="104" xfId="948" applyNumberFormat="1" applyFont="1" applyFill="1" applyBorder="1" applyAlignment="1" applyProtection="1">
      <alignment horizontal="right" vertical="center"/>
      <protection locked="0"/>
    </xf>
    <xf numFmtId="0" fontId="111" fillId="79" borderId="103" xfId="21412" applyFont="1" applyFill="1" applyBorder="1" applyAlignment="1" applyProtection="1">
      <alignment vertical="top" wrapText="1"/>
      <protection locked="0"/>
    </xf>
    <xf numFmtId="164" fontId="112" fillId="79" borderId="104" xfId="948" applyNumberFormat="1" applyFont="1" applyFill="1" applyBorder="1" applyAlignment="1" applyProtection="1">
      <alignment horizontal="right" vertical="center"/>
    </xf>
    <xf numFmtId="164" fontId="61" fillId="78" borderId="103" xfId="948" applyNumberFormat="1" applyFont="1" applyFill="1" applyBorder="1" applyAlignment="1" applyProtection="1">
      <alignment horizontal="right" vertical="center"/>
      <protection locked="0"/>
    </xf>
    <xf numFmtId="0" fontId="112" fillId="70" borderId="103" xfId="21412" applyFont="1" applyFill="1" applyBorder="1" applyAlignment="1" applyProtection="1">
      <alignment vertical="center" wrapText="1"/>
      <protection locked="0"/>
    </xf>
    <xf numFmtId="0" fontId="112" fillId="70" borderId="103" xfId="21412" applyFont="1" applyFill="1" applyBorder="1" applyAlignment="1" applyProtection="1">
      <alignment horizontal="left" vertical="center" wrapText="1"/>
      <protection locked="0"/>
    </xf>
    <xf numFmtId="0" fontId="112" fillId="0" borderId="103" xfId="21412" applyFont="1" applyFill="1" applyBorder="1" applyAlignment="1" applyProtection="1">
      <alignment vertical="center" wrapText="1"/>
      <protection locked="0"/>
    </xf>
    <xf numFmtId="0" fontId="112" fillId="3" borderId="103" xfId="21412" applyFont="1" applyFill="1" applyBorder="1" applyAlignment="1" applyProtection="1">
      <alignment horizontal="left" vertical="center" wrapText="1"/>
      <protection locked="0"/>
    </xf>
    <xf numFmtId="0" fontId="111" fillId="79" borderId="103" xfId="21412" applyFont="1" applyFill="1" applyBorder="1" applyAlignment="1" applyProtection="1">
      <alignment vertical="center" wrapText="1"/>
      <protection locked="0"/>
    </xf>
    <xf numFmtId="164" fontId="111" fillId="78" borderId="103" xfId="948" applyNumberFormat="1" applyFont="1" applyFill="1" applyBorder="1" applyAlignment="1" applyProtection="1">
      <alignment horizontal="right" vertical="center"/>
      <protection locked="0"/>
    </xf>
    <xf numFmtId="164" fontId="112" fillId="3" borderId="104" xfId="948" applyNumberFormat="1" applyFont="1" applyFill="1" applyBorder="1" applyAlignment="1" applyProtection="1">
      <alignment horizontal="right" vertical="center"/>
      <protection locked="0"/>
    </xf>
    <xf numFmtId="10" fontId="5" fillId="0" borderId="104" xfId="20961" applyNumberFormat="1" applyFont="1" applyFill="1" applyBorder="1" applyAlignment="1">
      <alignment horizontal="left" vertical="center" wrapText="1"/>
    </xf>
    <xf numFmtId="10" fontId="3" fillId="0" borderId="104" xfId="20961" applyNumberFormat="1" applyFont="1" applyFill="1" applyBorder="1" applyAlignment="1">
      <alignment horizontal="left" vertical="center" wrapText="1"/>
    </xf>
    <xf numFmtId="10" fontId="4" fillId="36" borderId="104" xfId="0" applyNumberFormat="1" applyFont="1" applyFill="1" applyBorder="1" applyAlignment="1">
      <alignment horizontal="left" vertical="center" wrapText="1"/>
    </xf>
    <xf numFmtId="10" fontId="108" fillId="0" borderId="104" xfId="20961" applyNumberFormat="1" applyFont="1" applyFill="1" applyBorder="1" applyAlignment="1">
      <alignment horizontal="left" vertical="center" wrapText="1"/>
    </xf>
    <xf numFmtId="10" fontId="4" fillId="36" borderId="104" xfId="20961" applyNumberFormat="1" applyFont="1" applyFill="1" applyBorder="1" applyAlignment="1">
      <alignment horizontal="left" vertical="center" wrapText="1"/>
    </xf>
    <xf numFmtId="10" fontId="4" fillId="36" borderId="104"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5" fillId="0" borderId="0" xfId="7" applyFont="1"/>
    <xf numFmtId="0" fontId="106" fillId="0" borderId="0" xfId="0" applyFont="1" applyAlignment="1">
      <alignment wrapText="1"/>
    </xf>
    <xf numFmtId="0" fontId="8" fillId="0" borderId="30" xfId="0" applyFont="1" applyBorder="1" applyAlignment="1">
      <alignment horizontal="center" wrapText="1"/>
    </xf>
    <xf numFmtId="0" fontId="8" fillId="0" borderId="8" xfId="0" applyFont="1" applyBorder="1" applyAlignment="1">
      <alignment horizontal="center" vertical="center" wrapText="1"/>
    </xf>
    <xf numFmtId="0" fontId="7" fillId="0" borderId="121" xfId="0" applyFont="1" applyBorder="1" applyAlignment="1">
      <alignment horizontal="right" vertical="center" wrapText="1"/>
    </xf>
    <xf numFmtId="0" fontId="7" fillId="0" borderId="121" xfId="0" applyFont="1" applyFill="1" applyBorder="1" applyAlignment="1">
      <alignment horizontal="right" vertical="center" wrapText="1"/>
    </xf>
    <xf numFmtId="0" fontId="5" fillId="0" borderId="104" xfId="0" applyFont="1" applyFill="1" applyBorder="1" applyAlignment="1">
      <alignment vertical="center" wrapText="1"/>
    </xf>
    <xf numFmtId="0" fontId="3" fillId="0" borderId="104" xfId="0" applyFont="1" applyBorder="1" applyAlignment="1">
      <alignment vertical="center" wrapText="1"/>
    </xf>
    <xf numFmtId="0" fontId="3" fillId="0" borderId="104" xfId="0" applyFont="1" applyFill="1" applyBorder="1" applyAlignment="1">
      <alignment horizontal="left" vertical="center" wrapText="1" indent="2"/>
    </xf>
    <xf numFmtId="0" fontId="3" fillId="0" borderId="104" xfId="0" applyFont="1" applyFill="1" applyBorder="1" applyAlignment="1">
      <alignment vertical="center" wrapText="1"/>
    </xf>
    <xf numFmtId="0" fontId="4" fillId="0" borderId="26" xfId="0" applyFont="1" applyBorder="1" applyAlignment="1">
      <alignment vertical="center" wrapText="1"/>
    </xf>
    <xf numFmtId="0" fontId="3" fillId="0" borderId="119" xfId="0" applyFont="1" applyBorder="1" applyAlignment="1"/>
    <xf numFmtId="0" fontId="3" fillId="0" borderId="27" xfId="0" applyFont="1" applyBorder="1" applyAlignment="1"/>
    <xf numFmtId="0" fontId="7" fillId="0" borderId="119" xfId="0" applyFont="1" applyBorder="1" applyAlignment="1"/>
    <xf numFmtId="0" fontId="7" fillId="0" borderId="119" xfId="0" applyFont="1" applyBorder="1" applyAlignment="1">
      <alignment wrapText="1"/>
    </xf>
    <xf numFmtId="0" fontId="8" fillId="0" borderId="21" xfId="0" applyFont="1" applyBorder="1" applyAlignment="1">
      <alignment horizontal="center"/>
    </xf>
    <xf numFmtId="0" fontId="8" fillId="0" borderId="119" xfId="0" applyFont="1" applyBorder="1" applyAlignment="1">
      <alignment horizontal="center" vertical="center" wrapText="1"/>
    </xf>
    <xf numFmtId="14" fontId="5"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7" fillId="0" borderId="121" xfId="0" applyFont="1" applyFill="1" applyBorder="1" applyAlignment="1">
      <alignment horizontal="center" vertical="center" wrapText="1"/>
    </xf>
    <xf numFmtId="0" fontId="13" fillId="0" borderId="104" xfId="0" applyFont="1" applyFill="1" applyBorder="1" applyAlignment="1">
      <alignment horizontal="center" vertical="center" wrapText="1"/>
    </xf>
    <xf numFmtId="0" fontId="14" fillId="0" borderId="104" xfId="0" applyFont="1" applyFill="1" applyBorder="1" applyAlignment="1">
      <alignment horizontal="left" vertical="center" wrapText="1"/>
    </xf>
    <xf numFmtId="193" fontId="5" fillId="0" borderId="104" xfId="0" applyNumberFormat="1" applyFont="1" applyFill="1" applyBorder="1" applyAlignment="1" applyProtection="1">
      <alignment vertical="center" wrapText="1"/>
      <protection locked="0"/>
    </xf>
    <xf numFmtId="193" fontId="5" fillId="0" borderId="104" xfId="0" applyNumberFormat="1" applyFont="1" applyFill="1" applyBorder="1" applyAlignment="1" applyProtection="1">
      <alignment horizontal="right" vertical="center" wrapText="1"/>
      <protection locked="0"/>
    </xf>
    <xf numFmtId="0" fontId="5" fillId="0" borderId="104" xfId="0" applyFont="1" applyBorder="1" applyAlignment="1">
      <alignment vertical="center" wrapText="1"/>
    </xf>
    <xf numFmtId="0" fontId="7" fillId="2" borderId="121" xfId="0" applyFont="1" applyFill="1" applyBorder="1" applyAlignment="1">
      <alignment horizontal="right" vertical="center"/>
    </xf>
    <xf numFmtId="0" fontId="7" fillId="2" borderId="104" xfId="0" applyFont="1" applyFill="1" applyBorder="1" applyAlignment="1">
      <alignment vertical="center"/>
    </xf>
    <xf numFmtId="193" fontId="7" fillId="2" borderId="104" xfId="0" applyNumberFormat="1" applyFont="1" applyFill="1" applyBorder="1" applyAlignment="1" applyProtection="1">
      <alignment vertical="center"/>
      <protection locked="0"/>
    </xf>
    <xf numFmtId="0" fontId="13" fillId="0" borderId="121" xfId="0" applyFont="1" applyFill="1" applyBorder="1" applyAlignment="1">
      <alignment horizontal="center" vertical="center" wrapText="1"/>
    </xf>
    <xf numFmtId="14" fontId="3" fillId="0" borderId="0" xfId="0" applyNumberFormat="1" applyFont="1"/>
    <xf numFmtId="10" fontId="3" fillId="0" borderId="104" xfId="20961" applyNumberFormat="1" applyFont="1" applyFill="1" applyBorder="1" applyAlignment="1" applyProtection="1">
      <alignment horizontal="right" vertical="center" wrapText="1"/>
      <protection locked="0"/>
    </xf>
    <xf numFmtId="169" fontId="25" fillId="37" borderId="104" xfId="20" applyBorder="1"/>
    <xf numFmtId="164" fontId="3" fillId="0" borderId="104" xfId="7" applyNumberFormat="1" applyFont="1" applyFill="1" applyBorder="1" applyAlignment="1">
      <alignment vertical="center"/>
    </xf>
    <xf numFmtId="0" fontId="7" fillId="0" borderId="104" xfId="0" applyFont="1" applyFill="1" applyBorder="1" applyAlignment="1">
      <alignment horizontal="left" vertical="center" wrapText="1"/>
    </xf>
    <xf numFmtId="0" fontId="105" fillId="0" borderId="90" xfId="0" applyFont="1" applyFill="1" applyBorder="1" applyAlignment="1">
      <alignment vertical="center" wrapText="1"/>
    </xf>
    <xf numFmtId="49" fontId="105" fillId="0" borderId="104" xfId="0" applyNumberFormat="1" applyFont="1" applyFill="1" applyBorder="1" applyAlignment="1">
      <alignment horizontal="right" vertical="center"/>
    </xf>
    <xf numFmtId="193" fontId="7" fillId="0" borderId="104" xfId="7" applyNumberFormat="1" applyFont="1" applyFill="1" applyBorder="1" applyAlignment="1" applyProtection="1">
      <alignment horizontal="right"/>
    </xf>
    <xf numFmtId="193" fontId="7" fillId="36" borderId="104" xfId="7" applyNumberFormat="1" applyFont="1" applyFill="1" applyBorder="1" applyAlignment="1" applyProtection="1">
      <alignment horizontal="right"/>
    </xf>
    <xf numFmtId="193" fontId="7" fillId="0" borderId="104" xfId="7" applyNumberFormat="1" applyFont="1" applyFill="1" applyBorder="1" applyAlignment="1" applyProtection="1">
      <alignment horizontal="right"/>
      <protection locked="0"/>
    </xf>
    <xf numFmtId="193" fontId="17" fillId="0" borderId="104" xfId="0" applyNumberFormat="1" applyFont="1" applyFill="1" applyBorder="1" applyAlignment="1" applyProtection="1">
      <alignment horizontal="right"/>
      <protection locked="0"/>
    </xf>
    <xf numFmtId="193" fontId="17" fillId="36" borderId="104" xfId="0" applyNumberFormat="1" applyFont="1" applyFill="1" applyBorder="1" applyAlignment="1">
      <alignment horizontal="right"/>
    </xf>
    <xf numFmtId="193" fontId="18" fillId="0" borderId="104" xfId="0" applyNumberFormat="1" applyFont="1" applyFill="1" applyBorder="1" applyAlignment="1">
      <alignment horizontal="center"/>
    </xf>
    <xf numFmtId="193" fontId="17" fillId="36" borderId="104" xfId="0" applyNumberFormat="1" applyFont="1" applyFill="1" applyBorder="1" applyAlignment="1" applyProtection="1">
      <alignment horizontal="right"/>
    </xf>
    <xf numFmtId="193" fontId="17" fillId="0" borderId="104" xfId="0" applyNumberFormat="1" applyFont="1" applyFill="1" applyBorder="1" applyAlignment="1" applyProtection="1">
      <alignment horizontal="right" vertical="center"/>
      <protection locked="0"/>
    </xf>
    <xf numFmtId="193" fontId="7" fillId="0" borderId="104" xfId="0" applyNumberFormat="1" applyFont="1" applyFill="1" applyBorder="1" applyAlignment="1" applyProtection="1">
      <alignment horizontal="right"/>
    </xf>
    <xf numFmtId="38" fontId="17" fillId="0" borderId="49" xfId="0" applyNumberFormat="1" applyFont="1" applyFill="1" applyBorder="1" applyAlignment="1" applyProtection="1">
      <alignment horizontal="right"/>
      <protection locked="0"/>
    </xf>
    <xf numFmtId="193" fontId="3" fillId="0" borderId="104" xfId="0" applyNumberFormat="1" applyFont="1" applyBorder="1" applyAlignment="1">
      <alignment horizontal="center" vertical="center"/>
    </xf>
    <xf numFmtId="193" fontId="3" fillId="0" borderId="119" xfId="0" applyNumberFormat="1" applyFont="1" applyBorder="1" applyAlignment="1">
      <alignment horizontal="center" vertical="center"/>
    </xf>
    <xf numFmtId="3" fontId="0" fillId="0" borderId="119" xfId="0" applyNumberFormat="1" applyBorder="1" applyAlignment="1"/>
    <xf numFmtId="3" fontId="0" fillId="0" borderId="119" xfId="0" applyNumberFormat="1" applyBorder="1" applyAlignment="1">
      <alignment wrapText="1"/>
    </xf>
    <xf numFmtId="193" fontId="5" fillId="36" borderId="119" xfId="2" applyNumberFormat="1" applyFont="1" applyFill="1" applyBorder="1" applyAlignment="1" applyProtection="1">
      <alignment vertical="top"/>
    </xf>
    <xf numFmtId="193" fontId="5" fillId="3" borderId="119" xfId="2" applyNumberFormat="1" applyFont="1" applyFill="1" applyBorder="1" applyAlignment="1" applyProtection="1">
      <alignment vertical="top"/>
      <protection locked="0"/>
    </xf>
    <xf numFmtId="193" fontId="5" fillId="36" borderId="119" xfId="2" applyNumberFormat="1" applyFont="1" applyFill="1" applyBorder="1" applyAlignment="1" applyProtection="1">
      <alignment vertical="top" wrapText="1"/>
    </xf>
    <xf numFmtId="193" fontId="5" fillId="3" borderId="119" xfId="2" applyNumberFormat="1" applyFont="1" applyFill="1" applyBorder="1" applyAlignment="1" applyProtection="1">
      <alignment vertical="top" wrapText="1"/>
      <protection locked="0"/>
    </xf>
    <xf numFmtId="193" fontId="5" fillId="36" borderId="119" xfId="2" applyNumberFormat="1" applyFont="1" applyFill="1" applyBorder="1" applyAlignment="1" applyProtection="1">
      <alignment vertical="top" wrapText="1"/>
      <protection locked="0"/>
    </xf>
    <xf numFmtId="0" fontId="22" fillId="0" borderId="121" xfId="0" applyFont="1" applyBorder="1" applyAlignment="1">
      <alignment horizontal="center"/>
    </xf>
    <xf numFmtId="193" fontId="22" fillId="0" borderId="125" xfId="0" applyNumberFormat="1" applyFont="1" applyBorder="1" applyAlignment="1">
      <alignment vertical="center"/>
    </xf>
    <xf numFmtId="193" fontId="16" fillId="0" borderId="125" xfId="0" applyNumberFormat="1" applyFont="1" applyBorder="1" applyAlignment="1">
      <alignment vertical="center"/>
    </xf>
    <xf numFmtId="193" fontId="22" fillId="0" borderId="126" xfId="0" applyNumberFormat="1" applyFont="1" applyBorder="1" applyAlignment="1">
      <alignment vertical="center"/>
    </xf>
    <xf numFmtId="193" fontId="3" fillId="0" borderId="104" xfId="0" applyNumberFormat="1" applyFont="1" applyBorder="1" applyAlignment="1"/>
    <xf numFmtId="193" fontId="3" fillId="0" borderId="105" xfId="0" applyNumberFormat="1" applyFont="1" applyBorder="1" applyAlignment="1"/>
    <xf numFmtId="193" fontId="3" fillId="0" borderId="121" xfId="0" applyNumberFormat="1" applyFont="1" applyBorder="1" applyAlignment="1"/>
    <xf numFmtId="193" fontId="3" fillId="0" borderId="104" xfId="0" applyNumberFormat="1" applyFont="1" applyFill="1" applyBorder="1"/>
    <xf numFmtId="193" fontId="7" fillId="3" borderId="104" xfId="5" applyNumberFormat="1" applyFont="1" applyFill="1" applyBorder="1" applyProtection="1">
      <protection locked="0"/>
    </xf>
    <xf numFmtId="165" fontId="7" fillId="3" borderId="104" xfId="8" applyNumberFormat="1" applyFont="1" applyFill="1" applyBorder="1" applyAlignment="1" applyProtection="1">
      <alignment horizontal="right" wrapText="1"/>
      <protection locked="0"/>
    </xf>
    <xf numFmtId="193" fontId="7" fillId="36" borderId="104" xfId="1" applyNumberFormat="1" applyFont="1" applyFill="1" applyBorder="1" applyProtection="1">
      <protection locked="0"/>
    </xf>
    <xf numFmtId="3" fontId="7" fillId="36" borderId="119" xfId="5" applyNumberFormat="1" applyFont="1" applyFill="1" applyBorder="1" applyProtection="1">
      <protection locked="0"/>
    </xf>
    <xf numFmtId="165" fontId="7" fillId="4" borderId="104" xfId="8" applyNumberFormat="1" applyFont="1" applyFill="1" applyBorder="1" applyAlignment="1" applyProtection="1">
      <alignment horizontal="right" wrapText="1"/>
      <protection locked="0"/>
    </xf>
    <xf numFmtId="193" fontId="7" fillId="36" borderId="104" xfId="5" applyNumberFormat="1" applyFont="1" applyFill="1" applyBorder="1" applyProtection="1">
      <protection locked="0"/>
    </xf>
    <xf numFmtId="0" fontId="7" fillId="3" borderId="104" xfId="5" applyFont="1" applyFill="1" applyBorder="1" applyProtection="1">
      <protection locked="0"/>
    </xf>
    <xf numFmtId="193" fontId="7" fillId="0" borderId="104" xfId="1" applyNumberFormat="1" applyFont="1" applyFill="1" applyBorder="1" applyProtection="1">
      <protection locked="0"/>
    </xf>
    <xf numFmtId="10" fontId="7" fillId="2" borderId="104" xfId="20961" applyNumberFormat="1" applyFont="1" applyFill="1" applyBorder="1" applyAlignment="1" applyProtection="1">
      <alignment vertical="center"/>
      <protection locked="0"/>
    </xf>
    <xf numFmtId="165" fontId="3" fillId="0" borderId="104" xfId="20961" applyNumberFormat="1" applyFont="1" applyFill="1" applyBorder="1" applyAlignment="1" applyProtection="1">
      <alignment horizontal="right" vertical="center" wrapText="1"/>
      <protection locked="0"/>
    </xf>
    <xf numFmtId="3" fontId="0" fillId="0" borderId="0" xfId="0" applyNumberFormat="1"/>
    <xf numFmtId="193" fontId="7" fillId="0" borderId="104" xfId="0" applyNumberFormat="1" applyFont="1" applyBorder="1" applyAlignment="1">
      <alignment horizontal="right"/>
    </xf>
    <xf numFmtId="193" fontId="7" fillId="0" borderId="103" xfId="0" applyNumberFormat="1" applyFont="1" applyBorder="1" applyAlignment="1">
      <alignment horizontal="right"/>
    </xf>
    <xf numFmtId="193" fontId="7" fillId="80" borderId="104" xfId="0" applyNumberFormat="1" applyFont="1" applyFill="1" applyBorder="1" applyAlignment="1">
      <alignment horizontal="right"/>
    </xf>
    <xf numFmtId="193" fontId="7" fillId="0" borderId="7" xfId="0" applyNumberFormat="1" applyFont="1" applyBorder="1" applyAlignment="1">
      <alignment horizontal="right"/>
    </xf>
    <xf numFmtId="193" fontId="7" fillId="0" borderId="11" xfId="0" applyNumberFormat="1" applyFont="1" applyBorder="1" applyAlignment="1">
      <alignment horizontal="right"/>
    </xf>
    <xf numFmtId="193" fontId="7" fillId="80" borderId="7" xfId="0" applyNumberFormat="1" applyFont="1" applyFill="1" applyBorder="1" applyAlignment="1">
      <alignment horizontal="right"/>
    </xf>
    <xf numFmtId="193" fontId="7" fillId="80" borderId="11" xfId="0" applyNumberFormat="1" applyFont="1" applyFill="1" applyBorder="1" applyAlignment="1">
      <alignment horizontal="right"/>
    </xf>
    <xf numFmtId="193" fontId="7" fillId="0" borderId="7" xfId="0" applyNumberFormat="1" applyFont="1" applyBorder="1" applyAlignment="1" applyProtection="1">
      <alignment horizontal="right"/>
      <protection locked="0"/>
    </xf>
    <xf numFmtId="193" fontId="7" fillId="0" borderId="11" xfId="0" applyNumberFormat="1" applyFont="1" applyBorder="1" applyAlignment="1" applyProtection="1">
      <alignment horizontal="right"/>
      <protection locked="0"/>
    </xf>
    <xf numFmtId="193" fontId="7" fillId="80" borderId="26" xfId="0" applyNumberFormat="1" applyFont="1" applyFill="1" applyBorder="1" applyAlignment="1">
      <alignment horizontal="right"/>
    </xf>
    <xf numFmtId="193" fontId="7" fillId="80" borderId="122" xfId="0" applyNumberFormat="1" applyFont="1" applyFill="1" applyBorder="1" applyAlignment="1">
      <alignment horizontal="right"/>
    </xf>
    <xf numFmtId="193" fontId="7" fillId="80" borderId="127" xfId="0" applyNumberFormat="1" applyFont="1" applyFill="1" applyBorder="1" applyAlignment="1">
      <alignment horizontal="right"/>
    </xf>
    <xf numFmtId="193" fontId="17" fillId="0" borderId="104" xfId="0" applyNumberFormat="1" applyFont="1" applyBorder="1" applyAlignment="1" applyProtection="1">
      <alignment horizontal="right"/>
      <protection locked="0"/>
    </xf>
    <xf numFmtId="193" fontId="17" fillId="0" borderId="103" xfId="0" applyNumberFormat="1" applyFont="1" applyBorder="1" applyAlignment="1" applyProtection="1">
      <alignment horizontal="right"/>
      <protection locked="0"/>
    </xf>
    <xf numFmtId="193" fontId="17" fillId="80" borderId="7" xfId="0" applyNumberFormat="1" applyFont="1" applyFill="1" applyBorder="1" applyAlignment="1">
      <alignment horizontal="right"/>
    </xf>
    <xf numFmtId="193" fontId="17" fillId="80" borderId="11" xfId="0" applyNumberFormat="1" applyFont="1" applyFill="1" applyBorder="1" applyAlignment="1">
      <alignment horizontal="right"/>
    </xf>
    <xf numFmtId="193" fontId="17" fillId="0" borderId="7" xfId="0" applyNumberFormat="1" applyFont="1" applyBorder="1" applyAlignment="1" applyProtection="1">
      <alignment horizontal="right"/>
      <protection locked="0"/>
    </xf>
    <xf numFmtId="193" fontId="17" fillId="0" borderId="11" xfId="0" applyNumberFormat="1" applyFont="1" applyBorder="1" applyAlignment="1" applyProtection="1">
      <alignment horizontal="right"/>
      <protection locked="0"/>
    </xf>
    <xf numFmtId="193" fontId="18" fillId="0" borderId="7" xfId="0" applyNumberFormat="1" applyFont="1" applyBorder="1" applyAlignment="1">
      <alignment horizontal="center"/>
    </xf>
    <xf numFmtId="193" fontId="18" fillId="0" borderId="11" xfId="0" applyNumberFormat="1" applyFont="1" applyBorder="1" applyAlignment="1">
      <alignment horizontal="center"/>
    </xf>
    <xf numFmtId="193" fontId="7" fillId="80" borderId="7" xfId="0" applyNumberFormat="1" applyFont="1" applyFill="1" applyBorder="1"/>
    <xf numFmtId="193" fontId="17" fillId="0" borderId="7" xfId="0" applyNumberFormat="1" applyFont="1" applyBorder="1" applyAlignment="1" applyProtection="1">
      <alignment horizontal="right" vertical="center"/>
      <protection locked="0"/>
    </xf>
    <xf numFmtId="193" fontId="17" fillId="0" borderId="11" xfId="0" applyNumberFormat="1" applyFont="1" applyBorder="1" applyAlignment="1" applyProtection="1">
      <alignment horizontal="right" vertical="center"/>
      <protection locked="0"/>
    </xf>
    <xf numFmtId="193" fontId="17" fillId="80" borderId="26" xfId="0" applyNumberFormat="1" applyFont="1" applyFill="1" applyBorder="1" applyAlignment="1">
      <alignment horizontal="right"/>
    </xf>
    <xf numFmtId="193" fontId="17" fillId="80" borderId="122" xfId="0" applyNumberFormat="1" applyFont="1" applyFill="1" applyBorder="1" applyAlignment="1">
      <alignment horizontal="right"/>
    </xf>
    <xf numFmtId="10" fontId="7" fillId="81" borderId="104" xfId="0" applyNumberFormat="1" applyFont="1" applyFill="1" applyBorder="1" applyAlignment="1" applyProtection="1">
      <alignment vertical="center"/>
      <protection locked="0"/>
    </xf>
    <xf numFmtId="3" fontId="7" fillId="81" borderId="104" xfId="0" applyNumberFormat="1" applyFont="1" applyFill="1" applyBorder="1" applyAlignment="1" applyProtection="1">
      <alignment vertical="center"/>
      <protection locked="0"/>
    </xf>
    <xf numFmtId="193" fontId="7" fillId="80" borderId="103" xfId="0" applyNumberFormat="1" applyFont="1" applyFill="1" applyBorder="1" applyAlignment="1">
      <alignment horizontal="right"/>
    </xf>
    <xf numFmtId="38" fontId="17" fillId="0" borderId="49" xfId="0" applyNumberFormat="1" applyFont="1" applyBorder="1" applyAlignment="1" applyProtection="1">
      <alignment horizontal="right"/>
      <protection locked="0"/>
    </xf>
    <xf numFmtId="193" fontId="7" fillId="0" borderId="26" xfId="0" applyNumberFormat="1" applyFont="1" applyBorder="1" applyAlignment="1">
      <alignment horizontal="right"/>
    </xf>
    <xf numFmtId="193" fontId="7" fillId="0" borderId="122" xfId="0" applyNumberFormat="1" applyFont="1" applyBorder="1" applyAlignment="1">
      <alignment horizontal="right"/>
    </xf>
    <xf numFmtId="0" fontId="7" fillId="0" borderId="121" xfId="0" applyFont="1" applyBorder="1" applyAlignment="1">
      <alignment vertical="center"/>
    </xf>
    <xf numFmtId="0" fontId="7" fillId="0" borderId="104" xfId="0" applyFont="1" applyFill="1" applyBorder="1" applyAlignment="1">
      <alignment wrapText="1"/>
    </xf>
    <xf numFmtId="0" fontId="7" fillId="0" borderId="105" xfId="0" applyFont="1" applyFill="1" applyBorder="1" applyAlignment="1">
      <alignment wrapText="1"/>
    </xf>
    <xf numFmtId="0" fontId="11" fillId="0" borderId="105" xfId="0" applyFont="1" applyFill="1" applyBorder="1" applyAlignment="1">
      <alignment wrapText="1"/>
    </xf>
    <xf numFmtId="0" fontId="7" fillId="0" borderId="104" xfId="0" applyFont="1" applyBorder="1" applyAlignment="1">
      <alignment wrapText="1"/>
    </xf>
    <xf numFmtId="164" fontId="3" fillId="0" borderId="57"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102"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105" xfId="7" applyNumberFormat="1" applyFont="1" applyFill="1" applyBorder="1" applyAlignment="1">
      <alignment vertical="center"/>
    </xf>
    <xf numFmtId="164" fontId="3" fillId="0" borderId="119"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8" xfId="7" applyNumberFormat="1" applyFont="1" applyFill="1" applyBorder="1" applyAlignment="1">
      <alignment vertical="center"/>
    </xf>
    <xf numFmtId="164" fontId="3" fillId="0" borderId="27" xfId="7" applyNumberFormat="1" applyFont="1" applyFill="1" applyBorder="1" applyAlignment="1">
      <alignment vertical="center"/>
    </xf>
    <xf numFmtId="3" fontId="3" fillId="0" borderId="30" xfId="0" applyNumberFormat="1" applyFont="1" applyFill="1" applyBorder="1" applyAlignment="1">
      <alignment vertical="center"/>
    </xf>
    <xf numFmtId="3" fontId="3" fillId="0" borderId="21" xfId="0" applyNumberFormat="1" applyFont="1" applyFill="1" applyBorder="1" applyAlignment="1">
      <alignment vertical="center"/>
    </xf>
    <xf numFmtId="3" fontId="3" fillId="0" borderId="100" xfId="0" applyNumberFormat="1" applyFont="1" applyFill="1" applyBorder="1" applyAlignment="1">
      <alignment vertical="center"/>
    </xf>
    <xf numFmtId="3" fontId="3" fillId="0" borderId="113" xfId="0" applyNumberFormat="1" applyFont="1" applyFill="1" applyBorder="1" applyAlignment="1">
      <alignment vertical="center"/>
    </xf>
    <xf numFmtId="10" fontId="3" fillId="0" borderId="98" xfId="20961" applyNumberFormat="1" applyFont="1" applyFill="1" applyBorder="1" applyAlignment="1">
      <alignment vertical="center"/>
    </xf>
    <xf numFmtId="10" fontId="3" fillId="0" borderId="115" xfId="20961" applyNumberFormat="1" applyFont="1" applyFill="1" applyBorder="1" applyAlignment="1">
      <alignment vertical="center"/>
    </xf>
    <xf numFmtId="3" fontId="117" fillId="0" borderId="104" xfId="0" applyNumberFormat="1" applyFont="1" applyBorder="1" applyAlignment="1">
      <alignment vertical="center" wrapText="1"/>
    </xf>
    <xf numFmtId="0" fontId="4" fillId="0" borderId="0" xfId="0" applyFont="1" applyBorder="1" applyAlignment="1">
      <alignment horizontal="center"/>
    </xf>
    <xf numFmtId="0" fontId="15" fillId="0" borderId="0" xfId="0" applyFont="1" applyFill="1" applyBorder="1" applyAlignment="1">
      <alignment horizontal="center"/>
    </xf>
    <xf numFmtId="0" fontId="3" fillId="0" borderId="19" xfId="0" applyFont="1" applyBorder="1" applyAlignment="1">
      <alignment vertical="center" wrapText="1"/>
    </xf>
    <xf numFmtId="0" fontId="4" fillId="0" borderId="20" xfId="0" applyFont="1" applyBorder="1" applyAlignment="1">
      <alignment vertical="center" wrapText="1"/>
    </xf>
    <xf numFmtId="3" fontId="117" fillId="0" borderId="119" xfId="0" applyNumberFormat="1" applyFont="1" applyBorder="1" applyAlignment="1">
      <alignment vertical="center" wrapText="1"/>
    </xf>
    <xf numFmtId="3" fontId="3" fillId="0" borderId="0" xfId="0" applyNumberFormat="1" applyFont="1"/>
    <xf numFmtId="0" fontId="7" fillId="0" borderId="104" xfId="11" applyFont="1" applyFill="1" applyBorder="1" applyAlignment="1" applyProtection="1">
      <alignment horizontal="left"/>
      <protection locked="0"/>
    </xf>
    <xf numFmtId="10" fontId="115" fillId="0" borderId="119" xfId="0" applyNumberFormat="1" applyFont="1" applyBorder="1" applyAlignment="1">
      <alignment horizontal="right" vertical="center"/>
    </xf>
    <xf numFmtId="0" fontId="17" fillId="0" borderId="104" xfId="0" applyFont="1" applyFill="1" applyBorder="1" applyAlignment="1" applyProtection="1">
      <alignment horizontal="left"/>
      <protection locked="0"/>
    </xf>
    <xf numFmtId="0" fontId="7" fillId="0" borderId="104" xfId="0" applyFont="1" applyBorder="1" applyAlignment="1">
      <alignment horizontal="left" vertical="center" wrapText="1"/>
    </xf>
    <xf numFmtId="10" fontId="115" fillId="0" borderId="104" xfId="0" applyNumberFormat="1" applyFont="1" applyBorder="1" applyAlignment="1">
      <alignment horizontal="right" vertical="center"/>
    </xf>
    <xf numFmtId="3" fontId="7" fillId="0" borderId="0" xfId="11" applyNumberFormat="1" applyFont="1" applyFill="1" applyBorder="1" applyAlignment="1" applyProtection="1"/>
    <xf numFmtId="3" fontId="4" fillId="36" borderId="21" xfId="0" applyNumberFormat="1" applyFont="1" applyFill="1" applyBorder="1" applyAlignment="1">
      <alignment horizontal="center" vertical="center" wrapText="1"/>
    </xf>
    <xf numFmtId="3" fontId="4" fillId="36" borderId="119" xfId="0" applyNumberFormat="1" applyFont="1" applyFill="1" applyBorder="1" applyAlignment="1">
      <alignment horizontal="left" vertical="center" wrapText="1"/>
    </xf>
    <xf numFmtId="3" fontId="3" fillId="0" borderId="119" xfId="0" applyNumberFormat="1" applyFont="1" applyFill="1" applyBorder="1" applyAlignment="1">
      <alignment horizontal="right" vertical="center" wrapText="1"/>
    </xf>
    <xf numFmtId="3" fontId="4" fillId="36" borderId="119" xfId="0" applyNumberFormat="1" applyFont="1" applyFill="1" applyBorder="1" applyAlignment="1">
      <alignment horizontal="right" vertical="center" wrapText="1"/>
    </xf>
    <xf numFmtId="3" fontId="108" fillId="0" borderId="119" xfId="0" applyNumberFormat="1" applyFont="1" applyFill="1" applyBorder="1" applyAlignment="1">
      <alignment horizontal="right" vertical="center" wrapText="1"/>
    </xf>
    <xf numFmtId="3" fontId="4" fillId="36" borderId="119" xfId="0" applyNumberFormat="1" applyFont="1" applyFill="1" applyBorder="1" applyAlignment="1">
      <alignment horizontal="center" vertical="center" wrapText="1"/>
    </xf>
    <xf numFmtId="3" fontId="5" fillId="0" borderId="27" xfId="1" applyNumberFormat="1" applyFont="1" applyFill="1" applyBorder="1" applyAlignment="1" applyProtection="1">
      <alignment horizontal="right" vertical="center"/>
    </xf>
    <xf numFmtId="10" fontId="3" fillId="0" borderId="0" xfId="0" applyNumberFormat="1" applyFont="1" applyFill="1" applyAlignment="1">
      <alignment horizontal="left" vertical="center"/>
    </xf>
    <xf numFmtId="3" fontId="3" fillId="0" borderId="0" xfId="0" applyNumberFormat="1" applyFont="1" applyFill="1" applyAlignment="1">
      <alignment horizontal="left" vertical="center"/>
    </xf>
    <xf numFmtId="0" fontId="7" fillId="0" borderId="0" xfId="0" applyFont="1" applyAlignment="1">
      <alignment horizontal="left"/>
    </xf>
    <xf numFmtId="14" fontId="3" fillId="0" borderId="0" xfId="0" applyNumberFormat="1" applyFont="1" applyAlignment="1">
      <alignment horizontal="left"/>
    </xf>
    <xf numFmtId="0" fontId="8" fillId="0" borderId="0" xfId="11" applyFont="1" applyFill="1" applyBorder="1" applyAlignment="1" applyProtection="1">
      <alignment horizontal="left"/>
    </xf>
    <xf numFmtId="0" fontId="3" fillId="0" borderId="5" xfId="0" applyFont="1" applyFill="1" applyBorder="1" applyAlignment="1">
      <alignment horizontal="left" vertical="center" wrapText="1"/>
    </xf>
    <xf numFmtId="0" fontId="22" fillId="0" borderId="35" xfId="0" applyFont="1" applyBorder="1" applyAlignment="1">
      <alignment horizontal="left" wrapText="1"/>
    </xf>
    <xf numFmtId="0" fontId="22" fillId="0" borderId="12" xfId="0" applyFont="1" applyBorder="1" applyAlignment="1">
      <alignment horizontal="left" wrapText="1"/>
    </xf>
    <xf numFmtId="0" fontId="16" fillId="0" borderId="12" xfId="0" applyFont="1" applyBorder="1" applyAlignment="1">
      <alignment horizontal="left" wrapText="1"/>
    </xf>
    <xf numFmtId="0" fontId="22" fillId="0" borderId="13" xfId="0" applyFont="1" applyBorder="1" applyAlignment="1">
      <alignment horizontal="left" wrapText="1"/>
    </xf>
    <xf numFmtId="0" fontId="22" fillId="0" borderId="124" xfId="0" applyFont="1" applyBorder="1" applyAlignment="1">
      <alignment horizontal="left" wrapText="1"/>
    </xf>
    <xf numFmtId="0" fontId="21" fillId="36" borderId="16" xfId="0" applyFont="1" applyFill="1" applyBorder="1" applyAlignment="1">
      <alignment horizontal="left" wrapText="1"/>
    </xf>
    <xf numFmtId="0" fontId="16" fillId="0" borderId="13" xfId="0" applyFont="1" applyBorder="1" applyAlignment="1">
      <alignment horizontal="left" wrapText="1"/>
    </xf>
    <xf numFmtId="0" fontId="16" fillId="0" borderId="124" xfId="0" applyFont="1" applyBorder="1" applyAlignment="1">
      <alignment horizontal="left" wrapText="1"/>
    </xf>
    <xf numFmtId="0" fontId="21" fillId="36" borderId="61" xfId="0" applyFont="1" applyFill="1" applyBorder="1" applyAlignment="1">
      <alignment horizontal="left" wrapText="1"/>
    </xf>
    <xf numFmtId="0" fontId="22" fillId="0" borderId="0" xfId="0" applyFont="1" applyAlignment="1">
      <alignment horizontal="left"/>
    </xf>
    <xf numFmtId="167" fontId="22" fillId="0" borderId="128" xfId="0" applyNumberFormat="1" applyFont="1" applyBorder="1" applyAlignment="1">
      <alignment horizontal="center"/>
    </xf>
    <xf numFmtId="0" fontId="7" fillId="0" borderId="0" xfId="0" applyFont="1" applyBorder="1"/>
    <xf numFmtId="0" fontId="8" fillId="0" borderId="0" xfId="0" applyFont="1" applyBorder="1" applyAlignment="1">
      <alignment horizontal="center"/>
    </xf>
    <xf numFmtId="0" fontId="13" fillId="0" borderId="0" xfId="0" applyFont="1" applyBorder="1" applyAlignment="1">
      <alignment horizontal="center" vertical="center"/>
    </xf>
    <xf numFmtId="0" fontId="4" fillId="0" borderId="0" xfId="0" applyFont="1" applyBorder="1" applyAlignment="1">
      <alignment horizontal="center" vertical="center"/>
    </xf>
    <xf numFmtId="169" fontId="25" fillId="37" borderId="119" xfId="20" applyBorder="1"/>
    <xf numFmtId="193" fontId="5" fillId="0" borderId="119" xfId="0" applyNumberFormat="1" applyFont="1" applyFill="1" applyBorder="1" applyAlignment="1" applyProtection="1">
      <alignment vertical="center" wrapText="1"/>
      <protection locked="0"/>
    </xf>
    <xf numFmtId="193" fontId="5" fillId="0" borderId="119" xfId="0" applyNumberFormat="1" applyFont="1" applyFill="1" applyBorder="1" applyAlignment="1" applyProtection="1">
      <alignment horizontal="right" vertical="center" wrapText="1"/>
      <protection locked="0"/>
    </xf>
    <xf numFmtId="10" fontId="3" fillId="0" borderId="119" xfId="20961" applyNumberFormat="1" applyFont="1" applyFill="1" applyBorder="1" applyAlignment="1" applyProtection="1">
      <alignment horizontal="right" vertical="center" wrapText="1"/>
      <protection locked="0"/>
    </xf>
    <xf numFmtId="165" fontId="3" fillId="0" borderId="119" xfId="20961" applyNumberFormat="1" applyFont="1" applyFill="1" applyBorder="1" applyAlignment="1" applyProtection="1">
      <alignment horizontal="right" vertical="center" wrapText="1"/>
      <protection locked="0"/>
    </xf>
    <xf numFmtId="10" fontId="7" fillId="81" borderId="119" xfId="0" applyNumberFormat="1" applyFont="1" applyFill="1" applyBorder="1" applyAlignment="1" applyProtection="1">
      <alignment vertical="center"/>
      <protection locked="0"/>
    </xf>
    <xf numFmtId="3" fontId="7" fillId="81" borderId="119" xfId="0" applyNumberFormat="1" applyFont="1" applyFill="1" applyBorder="1" applyAlignment="1" applyProtection="1">
      <alignment vertical="center"/>
      <protection locked="0"/>
    </xf>
    <xf numFmtId="10" fontId="7" fillId="81" borderId="26" xfId="0" applyNumberFormat="1" applyFont="1" applyFill="1" applyBorder="1" applyAlignment="1" applyProtection="1">
      <alignment vertical="center"/>
      <protection locked="0"/>
    </xf>
    <xf numFmtId="10" fontId="7" fillId="81" borderId="27" xfId="0" applyNumberFormat="1" applyFont="1" applyFill="1" applyBorder="1" applyAlignment="1" applyProtection="1">
      <alignment vertical="center"/>
      <protection locked="0"/>
    </xf>
    <xf numFmtId="194" fontId="0" fillId="0" borderId="0" xfId="0" applyNumberFormat="1"/>
    <xf numFmtId="0" fontId="3" fillId="0" borderId="0" xfId="0" quotePrefix="1" applyFont="1"/>
    <xf numFmtId="193" fontId="0" fillId="36" borderId="119" xfId="0" applyNumberFormat="1" applyFill="1" applyBorder="1" applyAlignment="1">
      <alignment horizontal="center" vertical="center" wrapText="1"/>
    </xf>
    <xf numFmtId="194" fontId="0" fillId="0" borderId="0" xfId="0" applyNumberFormat="1" applyAlignment="1">
      <alignment wrapText="1"/>
    </xf>
    <xf numFmtId="193" fontId="0" fillId="0" borderId="0" xfId="0" applyNumberFormat="1" applyAlignment="1">
      <alignment wrapText="1"/>
    </xf>
    <xf numFmtId="193" fontId="3" fillId="0" borderId="0" xfId="0" applyNumberFormat="1" applyFont="1"/>
    <xf numFmtId="10" fontId="112" fillId="79" borderId="104" xfId="20961" applyNumberFormat="1" applyFont="1" applyFill="1" applyBorder="1" applyAlignment="1" applyProtection="1">
      <alignment horizontal="right" vertical="center"/>
    </xf>
    <xf numFmtId="0" fontId="101" fillId="0" borderId="104" xfId="0" applyFont="1" applyFill="1" applyBorder="1" applyAlignment="1">
      <alignment horizontal="left" vertical="center" wrapText="1"/>
    </xf>
    <xf numFmtId="0" fontId="116" fillId="0" borderId="104" xfId="0" applyFont="1" applyFill="1" applyBorder="1" applyAlignment="1">
      <alignment horizontal="left" vertical="center" wrapText="1"/>
    </xf>
    <xf numFmtId="193" fontId="0" fillId="0" borderId="0" xfId="0" applyNumberFormat="1"/>
    <xf numFmtId="3" fontId="0" fillId="0" borderId="119" xfId="0" applyNumberFormat="1" applyFill="1" applyBorder="1" applyAlignment="1">
      <alignment wrapText="1"/>
    </xf>
    <xf numFmtId="193" fontId="3" fillId="0" borderId="105" xfId="0" applyNumberFormat="1" applyFont="1" applyFill="1" applyBorder="1"/>
    <xf numFmtId="0" fontId="105" fillId="0" borderId="90" xfId="0" applyFont="1" applyFill="1" applyBorder="1" applyAlignment="1">
      <alignment horizontal="left" vertical="center" wrapText="1"/>
    </xf>
    <xf numFmtId="0" fontId="105" fillId="0" borderId="92" xfId="0" applyFont="1" applyFill="1" applyBorder="1" applyAlignment="1">
      <alignment horizontal="left" vertical="center"/>
    </xf>
    <xf numFmtId="0" fontId="103" fillId="0" borderId="72" xfId="0" applyFont="1" applyBorder="1" applyAlignment="1">
      <alignment horizontal="left" vertical="center" wrapText="1"/>
    </xf>
    <xf numFmtId="0" fontId="103" fillId="0" borderId="71"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5"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11" fillId="0" borderId="3" xfId="0" applyFont="1" applyBorder="1" applyAlignment="1">
      <alignment wrapText="1"/>
    </xf>
    <xf numFmtId="0" fontId="3" fillId="0" borderId="23" xfId="0" applyFont="1" applyBorder="1" applyAlignment="1"/>
    <xf numFmtId="0" fontId="8" fillId="0" borderId="104" xfId="0" applyFont="1" applyBorder="1" applyAlignment="1">
      <alignment horizontal="left" vertical="center" wrapText="1"/>
    </xf>
    <xf numFmtId="0" fontId="8" fillId="0" borderId="119" xfId="0" applyFont="1" applyBorder="1" applyAlignment="1">
      <alignment horizontal="left" vertical="center" wrapText="1"/>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04" xfId="0" applyFont="1" applyFill="1" applyBorder="1" applyAlignment="1">
      <alignment horizontal="center" vertical="center" wrapText="1"/>
    </xf>
    <xf numFmtId="0" fontId="3" fillId="0" borderId="105" xfId="0" applyFont="1" applyFill="1" applyBorder="1" applyAlignment="1">
      <alignment horizontal="center"/>
    </xf>
    <xf numFmtId="0" fontId="3" fillId="0" borderId="24" xfId="0" applyFont="1" applyFill="1" applyBorder="1" applyAlignment="1">
      <alignment horizontal="center"/>
    </xf>
    <xf numFmtId="0" fontId="4" fillId="36" borderId="123"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20" xfId="0" applyFont="1" applyFill="1" applyBorder="1" applyAlignment="1">
      <alignment horizontal="center" vertical="center" wrapText="1"/>
    </xf>
    <xf numFmtId="0" fontId="4" fillId="36" borderId="103" xfId="0" applyFont="1" applyFill="1" applyBorder="1" applyAlignment="1">
      <alignment horizontal="center" vertical="center" wrapText="1"/>
    </xf>
    <xf numFmtId="0" fontId="100" fillId="3" borderId="73" xfId="13" applyFont="1" applyFill="1" applyBorder="1" applyAlignment="1" applyProtection="1">
      <alignment horizontal="center" vertical="center" wrapText="1"/>
      <protection locked="0"/>
    </xf>
    <xf numFmtId="0" fontId="100" fillId="3" borderId="70"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164" fontId="13" fillId="3" borderId="21" xfId="1" applyNumberFormat="1" applyFont="1" applyFill="1" applyBorder="1" applyAlignment="1" applyProtection="1">
      <alignment horizontal="center"/>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164" fontId="13" fillId="0" borderId="96" xfId="1" applyNumberFormat="1" applyFont="1" applyFill="1" applyBorder="1" applyAlignment="1" applyProtection="1">
      <alignment horizontal="center" vertical="center" wrapText="1"/>
      <protection locked="0"/>
    </xf>
    <xf numFmtId="164" fontId="13" fillId="0" borderId="97"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11" xfId="0" applyFont="1" applyFill="1" applyBorder="1" applyAlignment="1">
      <alignment horizontal="center" vertical="center" wrapText="1"/>
    </xf>
    <xf numFmtId="0" fontId="12" fillId="0" borderId="58" xfId="0" applyFont="1" applyFill="1" applyBorder="1" applyAlignment="1">
      <alignment horizontal="left" vertical="center"/>
    </xf>
    <xf numFmtId="0" fontId="12" fillId="0" borderId="59" xfId="0" applyFont="1" applyFill="1" applyBorder="1" applyAlignment="1">
      <alignment horizontal="left" vertical="center"/>
    </xf>
    <xf numFmtId="0" fontId="105" fillId="0" borderId="105" xfId="0" applyFont="1" applyFill="1" applyBorder="1" applyAlignment="1">
      <alignment horizontal="left" vertical="center" wrapText="1"/>
    </xf>
    <xf numFmtId="0" fontId="105" fillId="0" borderId="103" xfId="0" applyFont="1" applyFill="1" applyBorder="1" applyAlignment="1">
      <alignment horizontal="left" vertical="center" wrapText="1"/>
    </xf>
    <xf numFmtId="0" fontId="104" fillId="0" borderId="76" xfId="0" applyFont="1" applyFill="1" applyBorder="1" applyAlignment="1">
      <alignment horizontal="center" vertical="center"/>
    </xf>
    <xf numFmtId="0" fontId="104" fillId="0" borderId="77" xfId="0" applyFont="1" applyFill="1" applyBorder="1" applyAlignment="1">
      <alignment horizontal="center" vertical="center"/>
    </xf>
    <xf numFmtId="0" fontId="104" fillId="0" borderId="78" xfId="0" applyFont="1" applyFill="1" applyBorder="1" applyAlignment="1">
      <alignment horizontal="center" vertical="center"/>
    </xf>
    <xf numFmtId="0" fontId="105" fillId="0" borderId="104" xfId="0" applyFont="1" applyFill="1" applyBorder="1" applyAlignment="1">
      <alignment horizontal="left" vertical="center" wrapText="1"/>
    </xf>
    <xf numFmtId="0" fontId="104" fillId="76" borderId="79" xfId="0" applyFont="1" applyFill="1" applyBorder="1" applyAlignment="1">
      <alignment horizontal="center" vertical="center" wrapText="1"/>
    </xf>
    <xf numFmtId="0" fontId="104" fillId="76" borderId="8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5" fillId="0" borderId="57"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3" borderId="105" xfId="0" applyFont="1" applyFill="1" applyBorder="1" applyAlignment="1">
      <alignment vertical="center" wrapText="1"/>
    </xf>
    <xf numFmtId="0" fontId="105" fillId="3" borderId="103" xfId="0" applyFont="1" applyFill="1" applyBorder="1" applyAlignment="1">
      <alignment vertical="center" wrapText="1"/>
    </xf>
    <xf numFmtId="0" fontId="105" fillId="0" borderId="105" xfId="0" applyFont="1" applyFill="1" applyBorder="1" applyAlignment="1">
      <alignment horizontal="left"/>
    </xf>
    <xf numFmtId="0" fontId="105" fillId="0" borderId="103" xfId="0" applyFont="1" applyFill="1" applyBorder="1" applyAlignment="1">
      <alignment horizontal="left"/>
    </xf>
    <xf numFmtId="0" fontId="105" fillId="0" borderId="105" xfId="0" applyFont="1" applyFill="1" applyBorder="1" applyAlignment="1">
      <alignment vertical="center" wrapText="1"/>
    </xf>
    <xf numFmtId="0" fontId="105" fillId="0" borderId="103" xfId="0" applyFont="1" applyFill="1" applyBorder="1" applyAlignment="1">
      <alignment vertical="center" wrapText="1"/>
    </xf>
    <xf numFmtId="0" fontId="105" fillId="3" borderId="83" xfId="0" applyFont="1" applyFill="1" applyBorder="1" applyAlignment="1">
      <alignment horizontal="left" vertical="center" wrapText="1"/>
    </xf>
    <xf numFmtId="0" fontId="105" fillId="3" borderId="84" xfId="0" applyFont="1" applyFill="1" applyBorder="1" applyAlignment="1">
      <alignment horizontal="left" vertical="center" wrapText="1"/>
    </xf>
    <xf numFmtId="0" fontId="105" fillId="0" borderId="86" xfId="0" applyFont="1" applyFill="1" applyBorder="1" applyAlignment="1">
      <alignment horizontal="left" vertical="center" wrapText="1"/>
    </xf>
    <xf numFmtId="0" fontId="105" fillId="0" borderId="87" xfId="0" applyFont="1" applyFill="1" applyBorder="1" applyAlignment="1">
      <alignment horizontal="left" vertical="center" wrapText="1"/>
    </xf>
    <xf numFmtId="0" fontId="105" fillId="0" borderId="57" xfId="0" applyFont="1" applyFill="1" applyBorder="1" applyAlignment="1">
      <alignment vertical="center" wrapText="1"/>
    </xf>
    <xf numFmtId="0" fontId="105" fillId="0" borderId="11" xfId="0" applyFont="1" applyFill="1" applyBorder="1" applyAlignment="1">
      <alignment vertical="center" wrapText="1"/>
    </xf>
    <xf numFmtId="0" fontId="105" fillId="0" borderId="83" xfId="0" applyFont="1" applyFill="1" applyBorder="1" applyAlignment="1">
      <alignment vertical="center" wrapText="1"/>
    </xf>
    <xf numFmtId="0" fontId="105" fillId="0" borderId="84" xfId="0" applyFont="1" applyFill="1" applyBorder="1" applyAlignment="1">
      <alignment vertical="center" wrapText="1"/>
    </xf>
    <xf numFmtId="0" fontId="105" fillId="0" borderId="83" xfId="0" applyFont="1" applyFill="1" applyBorder="1" applyAlignment="1">
      <alignment horizontal="left" vertical="center" wrapText="1"/>
    </xf>
    <xf numFmtId="0" fontId="105" fillId="0" borderId="84" xfId="0" applyFont="1" applyFill="1" applyBorder="1" applyAlignment="1">
      <alignment horizontal="left" vertical="center" wrapText="1"/>
    </xf>
    <xf numFmtId="0" fontId="104" fillId="76" borderId="88"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89" xfId="0" applyFont="1" applyFill="1" applyBorder="1" applyAlignment="1">
      <alignment horizontal="center" vertical="center" wrapText="1"/>
    </xf>
    <xf numFmtId="0" fontId="105" fillId="3" borderId="105" xfId="0" applyFont="1" applyFill="1" applyBorder="1" applyAlignment="1">
      <alignment horizontal="left" vertical="center" wrapText="1"/>
    </xf>
    <xf numFmtId="0" fontId="105" fillId="3" borderId="103" xfId="0" applyFont="1" applyFill="1" applyBorder="1" applyAlignment="1">
      <alignment horizontal="left" vertical="center" wrapText="1"/>
    </xf>
    <xf numFmtId="0" fontId="104" fillId="0" borderId="91" xfId="0" applyFont="1" applyFill="1" applyBorder="1" applyAlignment="1">
      <alignment horizontal="center" vertical="center"/>
    </xf>
    <xf numFmtId="0" fontId="104" fillId="76" borderId="93" xfId="0" applyFont="1" applyFill="1" applyBorder="1" applyAlignment="1">
      <alignment horizontal="center" vertical="center"/>
    </xf>
    <xf numFmtId="0" fontId="104" fillId="76" borderId="94" xfId="0" applyFont="1" applyFill="1" applyBorder="1" applyAlignment="1">
      <alignment horizontal="center" vertical="center"/>
    </xf>
    <xf numFmtId="0" fontId="104" fillId="76" borderId="95"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4"/>
  <sheetViews>
    <sheetView showGridLines="0" tabSelected="1" workbookViewId="0">
      <pane xSplit="1" ySplit="7" topLeftCell="B8" activePane="bottomRight" state="frozen"/>
      <selection activeCell="C53" sqref="C53"/>
      <selection pane="topRight" activeCell="C53" sqref="C53"/>
      <selection pane="bottomLeft" activeCell="C53" sqref="C53"/>
      <selection pane="bottomRight" activeCell="B2" sqref="B2"/>
    </sheetView>
  </sheetViews>
  <sheetFormatPr defaultRowHeight="15"/>
  <cols>
    <col min="1" max="1" width="10.28515625" style="1" customWidth="1"/>
    <col min="2" max="2" width="153" bestFit="1" customWidth="1"/>
    <col min="3" max="3" width="39.42578125" customWidth="1"/>
    <col min="7" max="7" width="25" customWidth="1"/>
  </cols>
  <sheetData>
    <row r="1" spans="1:3" ht="15.75">
      <c r="A1" s="6"/>
      <c r="B1" s="170" t="s">
        <v>254</v>
      </c>
      <c r="C1" s="82"/>
    </row>
    <row r="2" spans="1:3" s="167" customFormat="1" ht="15.75">
      <c r="A2" s="214">
        <v>1</v>
      </c>
      <c r="B2" s="168" t="s">
        <v>255</v>
      </c>
      <c r="C2" s="165" t="s">
        <v>655</v>
      </c>
    </row>
    <row r="3" spans="1:3" s="167" customFormat="1" ht="15.75">
      <c r="A3" s="214">
        <v>2</v>
      </c>
      <c r="B3" s="169" t="s">
        <v>256</v>
      </c>
      <c r="C3" s="165" t="s">
        <v>628</v>
      </c>
    </row>
    <row r="4" spans="1:3" s="167" customFormat="1" ht="15.75">
      <c r="A4" s="214">
        <v>3</v>
      </c>
      <c r="B4" s="169" t="s">
        <v>257</v>
      </c>
      <c r="C4" s="165" t="s">
        <v>656</v>
      </c>
    </row>
    <row r="5" spans="1:3" s="167" customFormat="1" ht="15.75">
      <c r="A5" s="215">
        <v>4</v>
      </c>
      <c r="B5" s="172" t="s">
        <v>258</v>
      </c>
      <c r="C5" s="165" t="s">
        <v>657</v>
      </c>
    </row>
    <row r="6" spans="1:3" s="171" customFormat="1" ht="65.25" customHeight="1">
      <c r="A6" s="567" t="s">
        <v>490</v>
      </c>
      <c r="B6" s="568"/>
      <c r="C6" s="568"/>
    </row>
    <row r="7" spans="1:3">
      <c r="A7" s="336" t="s">
        <v>403</v>
      </c>
      <c r="B7" s="337" t="s">
        <v>259</v>
      </c>
    </row>
    <row r="8" spans="1:3">
      <c r="A8" s="338">
        <v>1</v>
      </c>
      <c r="B8" s="334" t="s">
        <v>223</v>
      </c>
    </row>
    <row r="9" spans="1:3">
      <c r="A9" s="338">
        <v>2</v>
      </c>
      <c r="B9" s="334" t="s">
        <v>260</v>
      </c>
    </row>
    <row r="10" spans="1:3">
      <c r="A10" s="338">
        <v>3</v>
      </c>
      <c r="B10" s="334" t="s">
        <v>261</v>
      </c>
    </row>
    <row r="11" spans="1:3">
      <c r="A11" s="338">
        <v>4</v>
      </c>
      <c r="B11" s="334" t="s">
        <v>262</v>
      </c>
      <c r="C11" s="166"/>
    </row>
    <row r="12" spans="1:3">
      <c r="A12" s="338">
        <v>5</v>
      </c>
      <c r="B12" s="334" t="s">
        <v>187</v>
      </c>
    </row>
    <row r="13" spans="1:3">
      <c r="A13" s="338">
        <v>6</v>
      </c>
      <c r="B13" s="339" t="s">
        <v>149</v>
      </c>
    </row>
    <row r="14" spans="1:3">
      <c r="A14" s="338">
        <v>7</v>
      </c>
      <c r="B14" s="334" t="s">
        <v>263</v>
      </c>
    </row>
    <row r="15" spans="1:3">
      <c r="A15" s="338">
        <v>8</v>
      </c>
      <c r="B15" s="334" t="s">
        <v>266</v>
      </c>
    </row>
    <row r="16" spans="1:3">
      <c r="A16" s="338">
        <v>9</v>
      </c>
      <c r="B16" s="334" t="s">
        <v>88</v>
      </c>
    </row>
    <row r="17" spans="1:2">
      <c r="A17" s="340" t="s">
        <v>547</v>
      </c>
      <c r="B17" s="334" t="s">
        <v>527</v>
      </c>
    </row>
    <row r="18" spans="1:2">
      <c r="A18" s="338">
        <v>10</v>
      </c>
      <c r="B18" s="334" t="s">
        <v>269</v>
      </c>
    </row>
    <row r="19" spans="1:2">
      <c r="A19" s="338">
        <v>11</v>
      </c>
      <c r="B19" s="339" t="s">
        <v>250</v>
      </c>
    </row>
    <row r="20" spans="1:2">
      <c r="A20" s="338">
        <v>12</v>
      </c>
      <c r="B20" s="339" t="s">
        <v>247</v>
      </c>
    </row>
    <row r="21" spans="1:2">
      <c r="A21" s="338">
        <v>13</v>
      </c>
      <c r="B21" s="341" t="s">
        <v>460</v>
      </c>
    </row>
    <row r="22" spans="1:2">
      <c r="A22" s="338">
        <v>14</v>
      </c>
      <c r="B22" s="342" t="s">
        <v>520</v>
      </c>
    </row>
    <row r="23" spans="1:2">
      <c r="A23" s="343">
        <v>15</v>
      </c>
      <c r="B23" s="339" t="s">
        <v>77</v>
      </c>
    </row>
    <row r="24" spans="1:2">
      <c r="A24" s="343">
        <v>15.1</v>
      </c>
      <c r="B24" s="334" t="s">
        <v>556</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115" zoomScaleNormal="115" workbookViewId="0">
      <pane xSplit="1" ySplit="5" topLeftCell="B6" activePane="bottomRight" state="frozen"/>
      <selection activeCell="B47" sqref="B47"/>
      <selection pane="topRight" activeCell="B47" sqref="B47"/>
      <selection pane="bottomLeft" activeCell="B47" sqref="B47"/>
      <selection pane="bottomRight" activeCell="B47" sqref="B47"/>
    </sheetView>
  </sheetViews>
  <sheetFormatPr defaultRowHeight="15"/>
  <cols>
    <col min="1" max="1" width="9.5703125" style="4" bestFit="1" customWidth="1"/>
    <col min="2" max="2" width="132.42578125" style="1" customWidth="1"/>
    <col min="3" max="3" width="18.42578125" style="1" customWidth="1"/>
    <col min="4" max="4" width="18" bestFit="1" customWidth="1"/>
  </cols>
  <sheetData>
    <row r="1" spans="1:6" ht="15.75">
      <c r="A1" s="14" t="s">
        <v>188</v>
      </c>
      <c r="B1" s="13" t="str">
        <f>Info!C2</f>
        <v>სს ”საქართველოს ბანკი”</v>
      </c>
      <c r="D1" s="290"/>
      <c r="E1" s="1"/>
      <c r="F1" s="1"/>
    </row>
    <row r="2" spans="1:6" s="18" customFormat="1" ht="15.75" customHeight="1">
      <c r="A2" s="18" t="s">
        <v>189</v>
      </c>
      <c r="B2" s="407">
        <f>'1. key ratios'!B2</f>
        <v>44286</v>
      </c>
    </row>
    <row r="3" spans="1:6" s="18" customFormat="1" ht="15.75" customHeight="1"/>
    <row r="4" spans="1:6" ht="15.75" thickBot="1">
      <c r="A4" s="4" t="s">
        <v>412</v>
      </c>
      <c r="B4" s="57" t="s">
        <v>88</v>
      </c>
    </row>
    <row r="5" spans="1:6">
      <c r="A5" s="121" t="s">
        <v>26</v>
      </c>
      <c r="B5" s="122"/>
      <c r="C5" s="123" t="s">
        <v>27</v>
      </c>
    </row>
    <row r="6" spans="1:6">
      <c r="A6" s="124">
        <v>1</v>
      </c>
      <c r="B6" s="78" t="s">
        <v>28</v>
      </c>
      <c r="C6" s="428">
        <f>SUM(C7:C11)</f>
        <v>2049266191.2998977</v>
      </c>
      <c r="D6" s="451"/>
    </row>
    <row r="7" spans="1:6">
      <c r="A7" s="124">
        <v>2</v>
      </c>
      <c r="B7" s="75" t="s">
        <v>29</v>
      </c>
      <c r="C7" s="429">
        <f>'2. RC'!E33</f>
        <v>27993660.18</v>
      </c>
    </row>
    <row r="8" spans="1:6">
      <c r="A8" s="124">
        <v>3</v>
      </c>
      <c r="B8" s="69" t="s">
        <v>30</v>
      </c>
      <c r="C8" s="429">
        <f>'2. RC'!E36</f>
        <v>230740599.25999999</v>
      </c>
    </row>
    <row r="9" spans="1:6">
      <c r="A9" s="124">
        <v>4</v>
      </c>
      <c r="B9" s="69" t="s">
        <v>31</v>
      </c>
      <c r="C9" s="429">
        <v>48878725</v>
      </c>
    </row>
    <row r="10" spans="1:6">
      <c r="A10" s="124">
        <v>5</v>
      </c>
      <c r="B10" s="69" t="s">
        <v>32</v>
      </c>
      <c r="C10" s="429"/>
    </row>
    <row r="11" spans="1:6">
      <c r="A11" s="124">
        <v>6</v>
      </c>
      <c r="B11" s="76" t="s">
        <v>33</v>
      </c>
      <c r="C11" s="429">
        <v>1741653206.8598976</v>
      </c>
    </row>
    <row r="12" spans="1:6" s="3" customFormat="1">
      <c r="A12" s="124">
        <v>7</v>
      </c>
      <c r="B12" s="78" t="s">
        <v>34</v>
      </c>
      <c r="C12" s="430">
        <f>SUM(C13:C27)</f>
        <v>194454316.54999998</v>
      </c>
      <c r="D12" s="556"/>
    </row>
    <row r="13" spans="1:6" s="3" customFormat="1">
      <c r="A13" s="124">
        <v>8</v>
      </c>
      <c r="B13" s="77" t="s">
        <v>35</v>
      </c>
      <c r="C13" s="431">
        <v>48878725</v>
      </c>
    </row>
    <row r="14" spans="1:6" s="3" customFormat="1" ht="25.5">
      <c r="A14" s="124">
        <v>9</v>
      </c>
      <c r="B14" s="70" t="s">
        <v>36</v>
      </c>
      <c r="C14" s="431">
        <v>0</v>
      </c>
    </row>
    <row r="15" spans="1:6" s="3" customFormat="1">
      <c r="A15" s="124">
        <v>10</v>
      </c>
      <c r="B15" s="71" t="s">
        <v>37</v>
      </c>
      <c r="C15" s="431">
        <v>130956094.75</v>
      </c>
    </row>
    <row r="16" spans="1:6" s="3" customFormat="1">
      <c r="A16" s="124">
        <v>11</v>
      </c>
      <c r="B16" s="72" t="s">
        <v>38</v>
      </c>
      <c r="C16" s="431">
        <v>0</v>
      </c>
    </row>
    <row r="17" spans="1:4" s="3" customFormat="1">
      <c r="A17" s="124">
        <v>12</v>
      </c>
      <c r="B17" s="71" t="s">
        <v>39</v>
      </c>
      <c r="C17" s="431">
        <v>2237680.2000000002</v>
      </c>
    </row>
    <row r="18" spans="1:4" s="3" customFormat="1">
      <c r="A18" s="124">
        <v>13</v>
      </c>
      <c r="B18" s="71" t="s">
        <v>40</v>
      </c>
      <c r="C18" s="431">
        <v>2503667.7299999995</v>
      </c>
    </row>
    <row r="19" spans="1:4" s="3" customFormat="1">
      <c r="A19" s="124">
        <v>14</v>
      </c>
      <c r="B19" s="71" t="s">
        <v>41</v>
      </c>
      <c r="C19" s="431">
        <v>0</v>
      </c>
    </row>
    <row r="20" spans="1:4" s="3" customFormat="1" ht="25.5">
      <c r="A20" s="124">
        <v>15</v>
      </c>
      <c r="B20" s="71" t="s">
        <v>42</v>
      </c>
      <c r="C20" s="431">
        <v>0</v>
      </c>
    </row>
    <row r="21" spans="1:4" s="3" customFormat="1" ht="25.5">
      <c r="A21" s="124">
        <v>16</v>
      </c>
      <c r="B21" s="70" t="s">
        <v>43</v>
      </c>
      <c r="C21" s="431">
        <v>0</v>
      </c>
    </row>
    <row r="22" spans="1:4" s="3" customFormat="1">
      <c r="A22" s="124">
        <v>17</v>
      </c>
      <c r="B22" s="125" t="s">
        <v>44</v>
      </c>
      <c r="C22" s="431">
        <v>9878148.8699999992</v>
      </c>
    </row>
    <row r="23" spans="1:4" s="3" customFormat="1" ht="25.5">
      <c r="A23" s="124">
        <v>18</v>
      </c>
      <c r="B23" s="70" t="s">
        <v>45</v>
      </c>
      <c r="C23" s="431">
        <v>0</v>
      </c>
    </row>
    <row r="24" spans="1:4" s="3" customFormat="1" ht="25.5">
      <c r="A24" s="124">
        <v>19</v>
      </c>
      <c r="B24" s="70" t="s">
        <v>46</v>
      </c>
      <c r="C24" s="431">
        <v>0</v>
      </c>
    </row>
    <row r="25" spans="1:4" s="3" customFormat="1" ht="25.5">
      <c r="A25" s="124">
        <v>20</v>
      </c>
      <c r="B25" s="73" t="s">
        <v>47</v>
      </c>
      <c r="C25" s="431">
        <v>0</v>
      </c>
    </row>
    <row r="26" spans="1:4" s="3" customFormat="1">
      <c r="A26" s="124">
        <v>21</v>
      </c>
      <c r="B26" s="73" t="s">
        <v>48</v>
      </c>
      <c r="C26" s="431">
        <v>0</v>
      </c>
    </row>
    <row r="27" spans="1:4" s="3" customFormat="1" ht="25.5">
      <c r="A27" s="124">
        <v>22</v>
      </c>
      <c r="B27" s="73" t="s">
        <v>49</v>
      </c>
      <c r="C27" s="431">
        <v>0</v>
      </c>
    </row>
    <row r="28" spans="1:4" s="3" customFormat="1">
      <c r="A28" s="124">
        <v>23</v>
      </c>
      <c r="B28" s="79" t="s">
        <v>23</v>
      </c>
      <c r="C28" s="430">
        <f>C6-C12</f>
        <v>1854811874.7498977</v>
      </c>
      <c r="D28" s="557"/>
    </row>
    <row r="29" spans="1:4" s="3" customFormat="1">
      <c r="A29" s="126"/>
      <c r="B29" s="74"/>
      <c r="C29" s="431"/>
    </row>
    <row r="30" spans="1:4" s="3" customFormat="1">
      <c r="A30" s="126">
        <v>24</v>
      </c>
      <c r="B30" s="79" t="s">
        <v>50</v>
      </c>
      <c r="C30" s="430">
        <f>C31+C34</f>
        <v>341180000</v>
      </c>
      <c r="D30" s="557"/>
    </row>
    <row r="31" spans="1:4" s="3" customFormat="1">
      <c r="A31" s="126">
        <v>25</v>
      </c>
      <c r="B31" s="69" t="s">
        <v>51</v>
      </c>
      <c r="C31" s="432">
        <f>C32+C33</f>
        <v>0</v>
      </c>
    </row>
    <row r="32" spans="1:4" s="3" customFormat="1">
      <c r="A32" s="126">
        <v>26</v>
      </c>
      <c r="B32" s="163" t="s">
        <v>52</v>
      </c>
      <c r="C32" s="431"/>
    </row>
    <row r="33" spans="1:3" s="3" customFormat="1">
      <c r="A33" s="126">
        <v>27</v>
      </c>
      <c r="B33" s="163" t="s">
        <v>53</v>
      </c>
      <c r="C33" s="431"/>
    </row>
    <row r="34" spans="1:3" s="3" customFormat="1">
      <c r="A34" s="126">
        <v>28</v>
      </c>
      <c r="B34" s="69" t="s">
        <v>54</v>
      </c>
      <c r="C34" s="431">
        <v>341180000</v>
      </c>
    </row>
    <row r="35" spans="1:3" s="3" customFormat="1">
      <c r="A35" s="126">
        <v>29</v>
      </c>
      <c r="B35" s="79" t="s">
        <v>55</v>
      </c>
      <c r="C35" s="430">
        <f>SUM(C36:C40)</f>
        <v>0</v>
      </c>
    </row>
    <row r="36" spans="1:3" s="3" customFormat="1">
      <c r="A36" s="126">
        <v>30</v>
      </c>
      <c r="B36" s="70" t="s">
        <v>56</v>
      </c>
      <c r="C36" s="431"/>
    </row>
    <row r="37" spans="1:3" s="3" customFormat="1">
      <c r="A37" s="126">
        <v>31</v>
      </c>
      <c r="B37" s="71" t="s">
        <v>57</v>
      </c>
      <c r="C37" s="431"/>
    </row>
    <row r="38" spans="1:3" s="3" customFormat="1" ht="25.5">
      <c r="A38" s="126">
        <v>32</v>
      </c>
      <c r="B38" s="70" t="s">
        <v>58</v>
      </c>
      <c r="C38" s="431"/>
    </row>
    <row r="39" spans="1:3" s="3" customFormat="1" ht="25.5">
      <c r="A39" s="126">
        <v>33</v>
      </c>
      <c r="B39" s="70" t="s">
        <v>46</v>
      </c>
      <c r="C39" s="431"/>
    </row>
    <row r="40" spans="1:3" s="3" customFormat="1" ht="25.5">
      <c r="A40" s="126">
        <v>34</v>
      </c>
      <c r="B40" s="73" t="s">
        <v>59</v>
      </c>
      <c r="C40" s="431"/>
    </row>
    <row r="41" spans="1:3" s="3" customFormat="1">
      <c r="A41" s="126">
        <v>35</v>
      </c>
      <c r="B41" s="79" t="s">
        <v>24</v>
      </c>
      <c r="C41" s="430">
        <f>C30-C35</f>
        <v>341180000</v>
      </c>
    </row>
    <row r="42" spans="1:3" s="3" customFormat="1">
      <c r="A42" s="126"/>
      <c r="B42" s="74"/>
      <c r="C42" s="431"/>
    </row>
    <row r="43" spans="1:3" s="3" customFormat="1">
      <c r="A43" s="126">
        <v>36</v>
      </c>
      <c r="B43" s="80" t="s">
        <v>60</v>
      </c>
      <c r="C43" s="430">
        <f>SUM(C44:C46)</f>
        <v>876733493.32162035</v>
      </c>
    </row>
    <row r="44" spans="1:3" s="3" customFormat="1">
      <c r="A44" s="126">
        <v>37</v>
      </c>
      <c r="B44" s="69" t="s">
        <v>61</v>
      </c>
      <c r="C44" s="431">
        <v>692595400</v>
      </c>
    </row>
    <row r="45" spans="1:3" s="3" customFormat="1">
      <c r="A45" s="126">
        <v>38</v>
      </c>
      <c r="B45" s="69" t="s">
        <v>62</v>
      </c>
      <c r="C45" s="431">
        <v>0</v>
      </c>
    </row>
    <row r="46" spans="1:3" s="3" customFormat="1">
      <c r="A46" s="126">
        <v>39</v>
      </c>
      <c r="B46" s="69" t="s">
        <v>63</v>
      </c>
      <c r="C46" s="431">
        <v>184138093.32162035</v>
      </c>
    </row>
    <row r="47" spans="1:3" s="3" customFormat="1">
      <c r="A47" s="126">
        <v>40</v>
      </c>
      <c r="B47" s="80" t="s">
        <v>64</v>
      </c>
      <c r="C47" s="430">
        <f>SUM(C48:C51)</f>
        <v>0</v>
      </c>
    </row>
    <row r="48" spans="1:3" s="3" customFormat="1">
      <c r="A48" s="126">
        <v>41</v>
      </c>
      <c r="B48" s="70" t="s">
        <v>65</v>
      </c>
      <c r="C48" s="431"/>
    </row>
    <row r="49" spans="1:4" s="3" customFormat="1">
      <c r="A49" s="126">
        <v>42</v>
      </c>
      <c r="B49" s="71" t="s">
        <v>66</v>
      </c>
      <c r="C49" s="431"/>
    </row>
    <row r="50" spans="1:4" s="3" customFormat="1" ht="25.5">
      <c r="A50" s="126">
        <v>43</v>
      </c>
      <c r="B50" s="70" t="s">
        <v>67</v>
      </c>
      <c r="C50" s="431"/>
    </row>
    <row r="51" spans="1:4" s="3" customFormat="1" ht="25.5">
      <c r="A51" s="126">
        <v>44</v>
      </c>
      <c r="B51" s="70" t="s">
        <v>46</v>
      </c>
      <c r="C51" s="431"/>
    </row>
    <row r="52" spans="1:4" s="3" customFormat="1" ht="15.75" thickBot="1">
      <c r="A52" s="127">
        <v>45</v>
      </c>
      <c r="B52" s="128" t="s">
        <v>25</v>
      </c>
      <c r="C52" s="233">
        <f>C43-C47</f>
        <v>876733493.32162035</v>
      </c>
      <c r="D52" s="557"/>
    </row>
    <row r="55" spans="1:4">
      <c r="B55" s="1" t="s">
        <v>225</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7" sqref="B47"/>
    </sheetView>
  </sheetViews>
  <sheetFormatPr defaultColWidth="9.140625" defaultRowHeight="12.75"/>
  <cols>
    <col min="1" max="1" width="10.85546875" style="290" bestFit="1" customWidth="1"/>
    <col min="2" max="2" width="59" style="290" customWidth="1"/>
    <col min="3" max="3" width="16.7109375" style="290" bestFit="1" customWidth="1"/>
    <col min="4" max="4" width="22.140625" style="509" customWidth="1"/>
    <col min="5" max="16384" width="9.140625" style="290"/>
  </cols>
  <sheetData>
    <row r="1" spans="1:4" ht="15">
      <c r="A1" s="14" t="s">
        <v>188</v>
      </c>
      <c r="B1" s="13" t="str">
        <f>Info!C2</f>
        <v>სს ”საქართველოს ბანკი”</v>
      </c>
    </row>
    <row r="2" spans="1:4" s="18" customFormat="1" ht="15.75" customHeight="1">
      <c r="A2" s="18" t="s">
        <v>189</v>
      </c>
      <c r="B2" s="407">
        <f>'1. key ratios'!B2</f>
        <v>44286</v>
      </c>
      <c r="D2" s="515"/>
    </row>
    <row r="3" spans="1:4" s="18" customFormat="1" ht="15.75" customHeight="1">
      <c r="D3" s="515"/>
    </row>
    <row r="4" spans="1:4" ht="13.5" thickBot="1">
      <c r="A4" s="291" t="s">
        <v>526</v>
      </c>
      <c r="B4" s="321" t="s">
        <v>527</v>
      </c>
    </row>
    <row r="5" spans="1:4" s="322" customFormat="1">
      <c r="A5" s="588" t="s">
        <v>528</v>
      </c>
      <c r="B5" s="589"/>
      <c r="C5" s="313" t="s">
        <v>529</v>
      </c>
      <c r="D5" s="516" t="s">
        <v>530</v>
      </c>
    </row>
    <row r="6" spans="1:4" s="323" customFormat="1">
      <c r="A6" s="314">
        <v>1</v>
      </c>
      <c r="B6" s="315" t="s">
        <v>531</v>
      </c>
      <c r="C6" s="315"/>
      <c r="D6" s="517"/>
    </row>
    <row r="7" spans="1:4" s="323" customFormat="1">
      <c r="A7" s="316" t="s">
        <v>532</v>
      </c>
      <c r="B7" s="317" t="s">
        <v>533</v>
      </c>
      <c r="C7" s="370">
        <v>4.4999999999999998E-2</v>
      </c>
      <c r="D7" s="518">
        <f>C7*'5. RWA'!$C$13</f>
        <v>743239370.41732323</v>
      </c>
    </row>
    <row r="8" spans="1:4" s="323" customFormat="1">
      <c r="A8" s="316" t="s">
        <v>534</v>
      </c>
      <c r="B8" s="317" t="s">
        <v>535</v>
      </c>
      <c r="C8" s="371">
        <v>0.06</v>
      </c>
      <c r="D8" s="518">
        <f>C8*'5. RWA'!$C$13</f>
        <v>990985827.22309756</v>
      </c>
    </row>
    <row r="9" spans="1:4" s="323" customFormat="1">
      <c r="A9" s="316" t="s">
        <v>536</v>
      </c>
      <c r="B9" s="317" t="s">
        <v>537</v>
      </c>
      <c r="C9" s="371">
        <v>0.08</v>
      </c>
      <c r="D9" s="518">
        <f>C9*'5. RWA'!$C$13</f>
        <v>1321314436.2974637</v>
      </c>
    </row>
    <row r="10" spans="1:4" s="323" customFormat="1">
      <c r="A10" s="314" t="s">
        <v>538</v>
      </c>
      <c r="B10" s="315" t="s">
        <v>539</v>
      </c>
      <c r="C10" s="372"/>
      <c r="D10" s="519"/>
    </row>
    <row r="11" spans="1:4" s="324" customFormat="1">
      <c r="A11" s="318" t="s">
        <v>540</v>
      </c>
      <c r="B11" s="319" t="s">
        <v>602</v>
      </c>
      <c r="C11" s="373">
        <v>0</v>
      </c>
      <c r="D11" s="520">
        <f>C11*'5. RWA'!$C$13</f>
        <v>0</v>
      </c>
    </row>
    <row r="12" spans="1:4" s="324" customFormat="1">
      <c r="A12" s="318" t="s">
        <v>541</v>
      </c>
      <c r="B12" s="319" t="s">
        <v>542</v>
      </c>
      <c r="C12" s="373">
        <v>0</v>
      </c>
      <c r="D12" s="520">
        <f>C12*'5. RWA'!$C$13</f>
        <v>0</v>
      </c>
    </row>
    <row r="13" spans="1:4" s="324" customFormat="1">
      <c r="A13" s="318" t="s">
        <v>543</v>
      </c>
      <c r="B13" s="319" t="s">
        <v>544</v>
      </c>
      <c r="C13" s="373">
        <v>0.02</v>
      </c>
      <c r="D13" s="520">
        <f>C13*'5. RWA'!$C$13</f>
        <v>330328609.07436591</v>
      </c>
    </row>
    <row r="14" spans="1:4" s="323" customFormat="1">
      <c r="A14" s="314" t="s">
        <v>545</v>
      </c>
      <c r="B14" s="315" t="s">
        <v>600</v>
      </c>
      <c r="C14" s="374"/>
      <c r="D14" s="519"/>
    </row>
    <row r="15" spans="1:4" s="323" customFormat="1">
      <c r="A15" s="335" t="s">
        <v>548</v>
      </c>
      <c r="B15" s="319" t="s">
        <v>601</v>
      </c>
      <c r="C15" s="373">
        <v>1.3238423730527034E-2</v>
      </c>
      <c r="D15" s="520">
        <f>C15*'5. RWA'!$C$13</f>
        <v>218651504.86210364</v>
      </c>
    </row>
    <row r="16" spans="1:4" s="323" customFormat="1">
      <c r="A16" s="335" t="s">
        <v>549</v>
      </c>
      <c r="B16" s="319" t="s">
        <v>551</v>
      </c>
      <c r="C16" s="373">
        <v>1.7676203274676124E-2</v>
      </c>
      <c r="D16" s="520">
        <f>C16*'5. RWA'!$C$13</f>
        <v>291947782.07197577</v>
      </c>
    </row>
    <row r="17" spans="1:6" s="323" customFormat="1">
      <c r="A17" s="335" t="s">
        <v>550</v>
      </c>
      <c r="B17" s="319" t="s">
        <v>598</v>
      </c>
      <c r="C17" s="373">
        <v>3.7635454268669662E-2</v>
      </c>
      <c r="D17" s="520">
        <f>C17*'5. RWA'!$C$13</f>
        <v>621603363.02257776</v>
      </c>
    </row>
    <row r="18" spans="1:6" s="322" customFormat="1">
      <c r="A18" s="590" t="s">
        <v>599</v>
      </c>
      <c r="B18" s="591"/>
      <c r="C18" s="375" t="s">
        <v>529</v>
      </c>
      <c r="D18" s="521" t="s">
        <v>530</v>
      </c>
    </row>
    <row r="19" spans="1:6" s="323" customFormat="1">
      <c r="A19" s="320">
        <v>4</v>
      </c>
      <c r="B19" s="319" t="s">
        <v>23</v>
      </c>
      <c r="C19" s="373">
        <f>C7+C11+C12+C13+C15</f>
        <v>7.8238423730527029E-2</v>
      </c>
      <c r="D19" s="518">
        <f>C19*'5. RWA'!$C$13</f>
        <v>1292219484.3537927</v>
      </c>
      <c r="E19" s="523"/>
      <c r="F19" s="524"/>
    </row>
    <row r="20" spans="1:6" s="323" customFormat="1">
      <c r="A20" s="320">
        <v>5</v>
      </c>
      <c r="B20" s="319" t="s">
        <v>89</v>
      </c>
      <c r="C20" s="373">
        <f>C8+C11+C12+C13+C16</f>
        <v>9.7676203274676132E-2</v>
      </c>
      <c r="D20" s="518">
        <f>C20*'5. RWA'!$C$13</f>
        <v>1613262218.3694394</v>
      </c>
      <c r="E20" s="523"/>
      <c r="F20" s="524"/>
    </row>
    <row r="21" spans="1:6" s="323" customFormat="1" ht="13.5" thickBot="1">
      <c r="A21" s="325" t="s">
        <v>546</v>
      </c>
      <c r="B21" s="326" t="s">
        <v>88</v>
      </c>
      <c r="C21" s="376">
        <f>C9+C11+C12+C13+C17</f>
        <v>0.13763545426866966</v>
      </c>
      <c r="D21" s="522">
        <f>C21*'5. RWA'!$C$13</f>
        <v>2273246408.3944073</v>
      </c>
      <c r="E21" s="523"/>
      <c r="F21" s="524"/>
    </row>
    <row r="22" spans="1:6">
      <c r="F22" s="291"/>
    </row>
    <row r="23" spans="1:6" ht="63.75">
      <c r="B23" s="20" t="s">
        <v>603</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8"/>
  <sheetViews>
    <sheetView showGridLines="0" zoomScaleNormal="100" workbookViewId="0">
      <pane xSplit="1" ySplit="5" topLeftCell="B33" activePane="bottomRight" state="frozen"/>
      <selection activeCell="B47" sqref="B47"/>
      <selection pane="topRight" activeCell="B47" sqref="B47"/>
      <selection pane="bottomLeft" activeCell="B47" sqref="B47"/>
      <selection pane="bottomRight" activeCell="B47" sqref="B47"/>
    </sheetView>
  </sheetViews>
  <sheetFormatPr defaultRowHeight="17.25" customHeight="1"/>
  <cols>
    <col min="1" max="1" width="10.7109375" style="66" customWidth="1"/>
    <col min="2" max="2" width="91.85546875" style="538" customWidth="1"/>
    <col min="3" max="3" width="53.140625" style="66" customWidth="1"/>
    <col min="4" max="4" width="32.28515625" style="66" customWidth="1"/>
    <col min="5" max="5" width="16.5703125" customWidth="1"/>
    <col min="6" max="6" width="13.42578125" customWidth="1"/>
  </cols>
  <sheetData>
    <row r="1" spans="1:6" ht="17.25" customHeight="1">
      <c r="A1" s="14" t="s">
        <v>188</v>
      </c>
      <c r="B1" s="525" t="str">
        <f>Info!C2</f>
        <v>სს ”საქართველოს ბანკი”</v>
      </c>
    </row>
    <row r="2" spans="1:6" s="18" customFormat="1" ht="17.25" customHeight="1">
      <c r="A2" s="18" t="s">
        <v>189</v>
      </c>
      <c r="B2" s="526">
        <f>'1. key ratios'!B2</f>
        <v>44286</v>
      </c>
    </row>
    <row r="3" spans="1:6" s="18" customFormat="1" ht="17.25" customHeight="1">
      <c r="A3" s="23"/>
      <c r="B3" s="174"/>
    </row>
    <row r="4" spans="1:6" s="18" customFormat="1" ht="17.25" customHeight="1" thickBot="1">
      <c r="A4" s="18" t="s">
        <v>413</v>
      </c>
      <c r="B4" s="527" t="s">
        <v>269</v>
      </c>
      <c r="D4" s="188" t="s">
        <v>93</v>
      </c>
    </row>
    <row r="5" spans="1:6" ht="17.25" customHeight="1">
      <c r="A5" s="137" t="s">
        <v>26</v>
      </c>
      <c r="B5" s="528" t="s">
        <v>231</v>
      </c>
      <c r="C5" s="138" t="s">
        <v>237</v>
      </c>
      <c r="D5" s="187" t="s">
        <v>270</v>
      </c>
    </row>
    <row r="6" spans="1:6" ht="17.25" customHeight="1">
      <c r="A6" s="129">
        <v>1</v>
      </c>
      <c r="B6" s="529" t="s">
        <v>154</v>
      </c>
      <c r="C6" s="436">
        <v>619182901.96599996</v>
      </c>
      <c r="D6" s="539"/>
      <c r="F6" s="562"/>
    </row>
    <row r="7" spans="1:6" ht="17.25" customHeight="1">
      <c r="A7" s="129">
        <v>2</v>
      </c>
      <c r="B7" s="530" t="s">
        <v>155</v>
      </c>
      <c r="C7" s="436">
        <v>2155840498.3099999</v>
      </c>
      <c r="D7" s="130"/>
      <c r="F7" s="562"/>
    </row>
    <row r="8" spans="1:6" ht="17.25" customHeight="1">
      <c r="A8" s="129">
        <v>3</v>
      </c>
      <c r="B8" s="530" t="s">
        <v>156</v>
      </c>
      <c r="C8" s="436">
        <v>1662709650.79</v>
      </c>
      <c r="D8" s="130"/>
      <c r="F8" s="562"/>
    </row>
    <row r="9" spans="1:6" ht="17.25" customHeight="1">
      <c r="A9" s="129">
        <v>4</v>
      </c>
      <c r="B9" s="530" t="s">
        <v>185</v>
      </c>
      <c r="C9" s="436">
        <v>303.24</v>
      </c>
      <c r="D9" s="130"/>
      <c r="F9" s="562"/>
    </row>
    <row r="10" spans="1:6" ht="17.25" customHeight="1">
      <c r="A10" s="129">
        <v>5</v>
      </c>
      <c r="B10" s="530" t="s">
        <v>157</v>
      </c>
      <c r="C10" s="436">
        <v>2223881848.7943997</v>
      </c>
      <c r="D10" s="130"/>
      <c r="F10" s="562"/>
    </row>
    <row r="11" spans="1:6" ht="17.25" customHeight="1">
      <c r="A11" s="433"/>
      <c r="B11" s="531" t="s">
        <v>488</v>
      </c>
      <c r="C11" s="436">
        <v>-559436.84</v>
      </c>
      <c r="D11" s="216" t="s">
        <v>664</v>
      </c>
      <c r="F11" s="562"/>
    </row>
    <row r="12" spans="1:6" ht="17.25" customHeight="1">
      <c r="A12" s="129">
        <v>6.1</v>
      </c>
      <c r="B12" s="530" t="s">
        <v>158</v>
      </c>
      <c r="C12" s="436">
        <v>13719449631.712599</v>
      </c>
      <c r="D12" s="216"/>
      <c r="F12" s="562"/>
    </row>
    <row r="13" spans="1:6" ht="17.25" customHeight="1">
      <c r="A13" s="129">
        <v>6.2</v>
      </c>
      <c r="B13" s="531" t="s">
        <v>159</v>
      </c>
      <c r="C13" s="235">
        <v>-738591951.11099994</v>
      </c>
      <c r="D13" s="216"/>
      <c r="F13" s="562"/>
    </row>
    <row r="14" spans="1:6" ht="17.25" customHeight="1">
      <c r="A14" s="129" t="s">
        <v>487</v>
      </c>
      <c r="B14" s="531" t="s">
        <v>488</v>
      </c>
      <c r="C14" s="235">
        <v>-231146166.35529995</v>
      </c>
      <c r="D14" s="216" t="s">
        <v>664</v>
      </c>
      <c r="F14" s="562"/>
    </row>
    <row r="15" spans="1:6" ht="17.25" customHeight="1">
      <c r="A15" s="129" t="s">
        <v>622</v>
      </c>
      <c r="B15" s="531" t="s">
        <v>611</v>
      </c>
      <c r="C15" s="235">
        <v>-35817713.619999997</v>
      </c>
      <c r="D15" s="216"/>
      <c r="F15" s="562"/>
    </row>
    <row r="16" spans="1:6" ht="17.25" customHeight="1">
      <c r="A16" s="129">
        <v>6</v>
      </c>
      <c r="B16" s="530" t="s">
        <v>160</v>
      </c>
      <c r="C16" s="241">
        <f>C12+C13</f>
        <v>12980857680.601599</v>
      </c>
      <c r="D16" s="216"/>
      <c r="F16" s="562"/>
    </row>
    <row r="17" spans="1:6" ht="17.25" customHeight="1">
      <c r="A17" s="129">
        <v>7</v>
      </c>
      <c r="B17" s="530" t="s">
        <v>161</v>
      </c>
      <c r="C17" s="234">
        <f>'2. RC'!E15</f>
        <v>219210530.29519999</v>
      </c>
      <c r="D17" s="216"/>
      <c r="F17" s="562"/>
    </row>
    <row r="18" spans="1:6" ht="17.25" customHeight="1">
      <c r="A18" s="129">
        <v>8</v>
      </c>
      <c r="B18" s="530" t="s">
        <v>162</v>
      </c>
      <c r="C18" s="234">
        <f>'2. RC'!E16</f>
        <v>101668536.62800001</v>
      </c>
      <c r="D18" s="216"/>
      <c r="F18" s="562"/>
    </row>
    <row r="19" spans="1:6" ht="17.25" customHeight="1">
      <c r="A19" s="129">
        <v>9</v>
      </c>
      <c r="B19" s="530" t="s">
        <v>163</v>
      </c>
      <c r="C19" s="234">
        <f>'2. RC'!E17</f>
        <v>150005105.28</v>
      </c>
      <c r="D19" s="216" t="s">
        <v>665</v>
      </c>
      <c r="F19" s="562"/>
    </row>
    <row r="20" spans="1:6" ht="17.25" customHeight="1">
      <c r="A20" s="129">
        <v>9.1</v>
      </c>
      <c r="B20" s="531" t="s">
        <v>246</v>
      </c>
      <c r="C20" s="235">
        <v>9878148.8699999992</v>
      </c>
      <c r="D20" s="216" t="s">
        <v>666</v>
      </c>
      <c r="F20" s="562"/>
    </row>
    <row r="21" spans="1:6" ht="17.25" customHeight="1">
      <c r="A21" s="129">
        <v>9.1999999999999993</v>
      </c>
      <c r="B21" s="531" t="s">
        <v>236</v>
      </c>
      <c r="C21" s="235">
        <v>2503667.7299999995</v>
      </c>
      <c r="D21" s="216" t="s">
        <v>667</v>
      </c>
      <c r="F21" s="562"/>
    </row>
    <row r="22" spans="1:6" ht="17.25" customHeight="1">
      <c r="A22" s="129">
        <v>9.3000000000000007</v>
      </c>
      <c r="B22" s="531" t="s">
        <v>235</v>
      </c>
      <c r="C22" s="235">
        <f>'9. Capital'!C24</f>
        <v>0</v>
      </c>
      <c r="D22" s="130"/>
      <c r="F22" s="562"/>
    </row>
    <row r="23" spans="1:6" ht="17.25" customHeight="1">
      <c r="A23" s="129">
        <v>10</v>
      </c>
      <c r="B23" s="530" t="s">
        <v>164</v>
      </c>
      <c r="C23" s="234">
        <f>'2. RC'!E18</f>
        <v>508270273</v>
      </c>
      <c r="D23" s="216" t="s">
        <v>440</v>
      </c>
      <c r="F23" s="562"/>
    </row>
    <row r="24" spans="1:6" ht="17.25" customHeight="1">
      <c r="A24" s="129">
        <v>10.1</v>
      </c>
      <c r="B24" s="531" t="s">
        <v>234</v>
      </c>
      <c r="C24" s="234">
        <f>'9. Capital'!C16</f>
        <v>0</v>
      </c>
      <c r="D24" s="131"/>
      <c r="F24" s="562"/>
    </row>
    <row r="25" spans="1:6" ht="17.25" customHeight="1">
      <c r="A25" s="129">
        <v>11</v>
      </c>
      <c r="B25" s="532" t="s">
        <v>165</v>
      </c>
      <c r="C25" s="236">
        <f>'2. RC'!E19</f>
        <v>264979570.66180003</v>
      </c>
      <c r="D25" s="216" t="s">
        <v>668</v>
      </c>
      <c r="F25" s="562"/>
    </row>
    <row r="26" spans="1:6" ht="17.25" customHeight="1">
      <c r="A26" s="433"/>
      <c r="B26" s="533"/>
      <c r="C26" s="434">
        <f>'9. Capital'!C21</f>
        <v>0</v>
      </c>
      <c r="D26" s="134"/>
      <c r="F26" s="562"/>
    </row>
    <row r="27" spans="1:6" ht="17.25" customHeight="1">
      <c r="A27" s="129">
        <v>12</v>
      </c>
      <c r="B27" s="534" t="s">
        <v>166</v>
      </c>
      <c r="C27" s="237">
        <f>SUM(C6:C10,C16:C19,C23,C25)</f>
        <v>20886606899.566994</v>
      </c>
      <c r="D27" s="132"/>
      <c r="E27" s="562">
        <f>C27-'2. RC'!E20</f>
        <v>0</v>
      </c>
      <c r="F27" s="562"/>
    </row>
    <row r="28" spans="1:6" ht="17.25" customHeight="1">
      <c r="A28" s="129">
        <v>13</v>
      </c>
      <c r="B28" s="530" t="s">
        <v>167</v>
      </c>
      <c r="C28" s="238">
        <f>'2. RC'!E22</f>
        <v>302002175.92000002</v>
      </c>
      <c r="D28" s="133"/>
      <c r="F28" s="562"/>
    </row>
    <row r="29" spans="1:6" ht="17.25" customHeight="1">
      <c r="A29" s="129">
        <v>14</v>
      </c>
      <c r="B29" s="530" t="s">
        <v>168</v>
      </c>
      <c r="C29" s="238">
        <f>'2. RC'!E23</f>
        <v>3107293404.9864998</v>
      </c>
      <c r="D29" s="130"/>
      <c r="F29" s="562"/>
    </row>
    <row r="30" spans="1:6" ht="17.25" customHeight="1">
      <c r="A30" s="129">
        <v>15</v>
      </c>
      <c r="B30" s="530" t="s">
        <v>169</v>
      </c>
      <c r="C30" s="238">
        <f>'2. RC'!E24</f>
        <v>3144206535.7199998</v>
      </c>
      <c r="D30" s="130"/>
      <c r="F30" s="562"/>
    </row>
    <row r="31" spans="1:6" ht="17.25" customHeight="1">
      <c r="A31" s="129">
        <v>16</v>
      </c>
      <c r="B31" s="530" t="s">
        <v>170</v>
      </c>
      <c r="C31" s="238">
        <f>'2. RC'!E25</f>
        <v>7220309469.9700003</v>
      </c>
      <c r="D31" s="130"/>
      <c r="F31" s="562"/>
    </row>
    <row r="32" spans="1:6" ht="17.25" customHeight="1">
      <c r="A32" s="129">
        <v>17</v>
      </c>
      <c r="B32" s="530" t="s">
        <v>171</v>
      </c>
      <c r="C32" s="238">
        <f>'2. RC'!E26</f>
        <v>1138896462.5999999</v>
      </c>
      <c r="D32" s="130"/>
      <c r="F32" s="562"/>
    </row>
    <row r="33" spans="1:6" ht="17.25" customHeight="1">
      <c r="A33" s="129">
        <v>18</v>
      </c>
      <c r="B33" s="530" t="s">
        <v>172</v>
      </c>
      <c r="C33" s="238">
        <f>'2. RC'!E27</f>
        <v>2243174850.3000002</v>
      </c>
      <c r="D33" s="130"/>
      <c r="F33" s="562"/>
    </row>
    <row r="34" spans="1:6" ht="17.25" customHeight="1">
      <c r="A34" s="129">
        <v>19</v>
      </c>
      <c r="B34" s="530" t="s">
        <v>173</v>
      </c>
      <c r="C34" s="238">
        <f>'2. RC'!E28</f>
        <v>99779839.800000012</v>
      </c>
      <c r="D34" s="130"/>
      <c r="F34" s="562"/>
    </row>
    <row r="35" spans="1:6" ht="17.25" customHeight="1">
      <c r="A35" s="129">
        <v>20</v>
      </c>
      <c r="B35" s="530" t="s">
        <v>95</v>
      </c>
      <c r="C35" s="238">
        <f>'2. RC'!E29</f>
        <v>434139049.00059998</v>
      </c>
      <c r="D35" s="130"/>
      <c r="F35" s="562"/>
    </row>
    <row r="36" spans="1:6" ht="17.25" customHeight="1">
      <c r="A36" s="129">
        <v>20.100000000000001</v>
      </c>
      <c r="B36" s="535" t="s">
        <v>486</v>
      </c>
      <c r="C36" s="236">
        <v>29388011.333099999</v>
      </c>
      <c r="D36" s="131" t="s">
        <v>664</v>
      </c>
      <c r="F36" s="562"/>
    </row>
    <row r="37" spans="1:6" ht="17.25" customHeight="1">
      <c r="A37" s="129">
        <v>21</v>
      </c>
      <c r="B37" s="532" t="s">
        <v>174</v>
      </c>
      <c r="C37" s="236">
        <f>'2. RC'!E30</f>
        <v>1149776600</v>
      </c>
      <c r="D37" s="131"/>
      <c r="F37" s="562"/>
    </row>
    <row r="38" spans="1:6" ht="17.25" customHeight="1">
      <c r="A38" s="129">
        <v>21.1</v>
      </c>
      <c r="B38" s="535" t="s">
        <v>233</v>
      </c>
      <c r="C38" s="239">
        <v>692595400</v>
      </c>
      <c r="D38" s="134" t="s">
        <v>669</v>
      </c>
      <c r="F38" s="562"/>
    </row>
    <row r="39" spans="1:6" ht="17.25" customHeight="1">
      <c r="A39" s="433"/>
      <c r="B39" s="536" t="s">
        <v>671</v>
      </c>
      <c r="C39" s="435">
        <f>'9. Capital'!C34</f>
        <v>341180000</v>
      </c>
      <c r="D39" s="134" t="s">
        <v>670</v>
      </c>
      <c r="F39" s="562"/>
    </row>
    <row r="40" spans="1:6" ht="17.25" customHeight="1">
      <c r="A40" s="129">
        <v>22</v>
      </c>
      <c r="B40" s="534" t="s">
        <v>175</v>
      </c>
      <c r="C40" s="237">
        <f>SUM(C28:C35)+C37</f>
        <v>18839578388.2971</v>
      </c>
      <c r="D40" s="132"/>
      <c r="E40" s="562">
        <f>C40-'2. RC'!E31</f>
        <v>0</v>
      </c>
      <c r="F40" s="562"/>
    </row>
    <row r="41" spans="1:6" ht="17.25" customHeight="1">
      <c r="A41" s="129">
        <v>23</v>
      </c>
      <c r="B41" s="532" t="s">
        <v>176</v>
      </c>
      <c r="C41" s="234">
        <f>'2. RC'!E33</f>
        <v>27993660.18</v>
      </c>
      <c r="D41" s="130" t="s">
        <v>672</v>
      </c>
      <c r="F41" s="562"/>
    </row>
    <row r="42" spans="1:6" ht="17.25" customHeight="1">
      <c r="A42" s="129">
        <v>24</v>
      </c>
      <c r="B42" s="532" t="s">
        <v>177</v>
      </c>
      <c r="C42" s="234">
        <f>'2. RC'!E34</f>
        <v>0</v>
      </c>
      <c r="D42" s="130"/>
      <c r="F42" s="562"/>
    </row>
    <row r="43" spans="1:6" ht="17.25" customHeight="1">
      <c r="A43" s="129">
        <v>25</v>
      </c>
      <c r="B43" s="532" t="s">
        <v>232</v>
      </c>
      <c r="C43" s="234">
        <f>'2. RC'!E35</f>
        <v>-2237680.2000000002</v>
      </c>
      <c r="D43" s="130" t="s">
        <v>673</v>
      </c>
      <c r="F43" s="562"/>
    </row>
    <row r="44" spans="1:6" ht="17.25" customHeight="1">
      <c r="A44" s="129">
        <v>26</v>
      </c>
      <c r="B44" s="532" t="s">
        <v>179</v>
      </c>
      <c r="C44" s="234">
        <f>'2. RC'!E36</f>
        <v>230740599.25999999</v>
      </c>
      <c r="D44" s="130" t="s">
        <v>674</v>
      </c>
      <c r="F44" s="562"/>
    </row>
    <row r="45" spans="1:6" ht="17.25" customHeight="1">
      <c r="A45" s="129">
        <v>27</v>
      </c>
      <c r="B45" s="532" t="s">
        <v>180</v>
      </c>
      <c r="C45" s="234">
        <f>'2. RC'!E37</f>
        <v>0</v>
      </c>
      <c r="D45" s="130"/>
      <c r="F45" s="562"/>
    </row>
    <row r="46" spans="1:6" ht="17.25" customHeight="1">
      <c r="A46" s="129">
        <v>28</v>
      </c>
      <c r="B46" s="532" t="s">
        <v>181</v>
      </c>
      <c r="C46" s="234">
        <f>'2. RC'!E38</f>
        <v>1741653206.8598976</v>
      </c>
      <c r="D46" s="130" t="s">
        <v>675</v>
      </c>
      <c r="F46" s="562"/>
    </row>
    <row r="47" spans="1:6" ht="17.25" customHeight="1">
      <c r="A47" s="129">
        <v>29</v>
      </c>
      <c r="B47" s="532" t="s">
        <v>35</v>
      </c>
      <c r="C47" s="234">
        <f>'2. RC'!E39</f>
        <v>48878725.140000001</v>
      </c>
      <c r="D47" s="130" t="s">
        <v>676</v>
      </c>
      <c r="F47" s="562"/>
    </row>
    <row r="48" spans="1:6" ht="17.25" customHeight="1" thickBot="1">
      <c r="A48" s="135">
        <v>30</v>
      </c>
      <c r="B48" s="537" t="s">
        <v>182</v>
      </c>
      <c r="C48" s="240">
        <f>SUM(C41:C47)</f>
        <v>2047028511.2398977</v>
      </c>
      <c r="D48" s="136"/>
      <c r="E48" s="562">
        <f>C48-'2. RC'!E40</f>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K8" activePane="bottomRight" state="frozen"/>
      <selection activeCell="B47" sqref="B47"/>
      <selection pane="topRight" activeCell="B47" sqref="B47"/>
      <selection pane="bottomLeft" activeCell="B47" sqref="B47"/>
      <selection pane="bottomRight" activeCell="B47" sqref="B47"/>
    </sheetView>
  </sheetViews>
  <sheetFormatPr defaultColWidth="9.140625" defaultRowHeight="12.75"/>
  <cols>
    <col min="1" max="1" width="10.5703125" style="1" bestFit="1" customWidth="1"/>
    <col min="2" max="2" width="105.140625" style="1" bestFit="1" customWidth="1"/>
    <col min="3" max="3" width="12.7109375" style="1" bestFit="1" customWidth="1"/>
    <col min="4" max="4" width="13.28515625" style="1" bestFit="1" customWidth="1"/>
    <col min="5" max="5" width="12.7109375" style="1" bestFit="1" customWidth="1"/>
    <col min="6" max="6" width="13.28515625" style="1" bestFit="1" customWidth="1"/>
    <col min="7" max="7" width="12.7109375" style="1" bestFit="1" customWidth="1"/>
    <col min="8" max="8" width="13.28515625" style="1" bestFit="1" customWidth="1"/>
    <col min="9" max="9" width="11.28515625" style="1" bestFit="1" customWidth="1"/>
    <col min="10" max="10" width="13.28515625" style="1" bestFit="1" customWidth="1"/>
    <col min="11" max="11" width="12.7109375" style="1" bestFit="1" customWidth="1"/>
    <col min="12" max="12" width="13.28515625" style="1" bestFit="1" customWidth="1"/>
    <col min="13" max="13" width="12.7109375" style="1" bestFit="1" customWidth="1"/>
    <col min="14" max="14" width="13.28515625" style="1" bestFit="1" customWidth="1"/>
    <col min="15" max="15" width="11.28515625" style="1" bestFit="1" customWidth="1"/>
    <col min="16" max="16" width="13.28515625" style="1" bestFit="1" customWidth="1"/>
    <col min="17" max="17" width="11.28515625" style="1" bestFit="1" customWidth="1"/>
    <col min="18" max="18" width="13.28515625" style="1" bestFit="1" customWidth="1"/>
    <col min="19" max="19" width="30.42578125" style="1" bestFit="1" customWidth="1"/>
    <col min="20" max="16384" width="9.140625" style="9"/>
  </cols>
  <sheetData>
    <row r="1" spans="1:19">
      <c r="A1" s="1" t="s">
        <v>188</v>
      </c>
      <c r="B1" s="290" t="str">
        <f>Info!C2</f>
        <v>სს ”საქართველოს ბანკი”</v>
      </c>
    </row>
    <row r="2" spans="1:19">
      <c r="A2" s="1" t="s">
        <v>189</v>
      </c>
      <c r="B2" s="407">
        <f>'1. key ratios'!B2</f>
        <v>44286</v>
      </c>
    </row>
    <row r="4" spans="1:19" ht="26.25" thickBot="1">
      <c r="A4" s="65" t="s">
        <v>414</v>
      </c>
      <c r="B4" s="260" t="s">
        <v>457</v>
      </c>
    </row>
    <row r="5" spans="1:19">
      <c r="A5" s="118"/>
      <c r="B5" s="120"/>
      <c r="C5" s="104" t="s">
        <v>0</v>
      </c>
      <c r="D5" s="104" t="s">
        <v>1</v>
      </c>
      <c r="E5" s="104" t="s">
        <v>2</v>
      </c>
      <c r="F5" s="104" t="s">
        <v>3</v>
      </c>
      <c r="G5" s="104" t="s">
        <v>4</v>
      </c>
      <c r="H5" s="104" t="s">
        <v>5</v>
      </c>
      <c r="I5" s="104" t="s">
        <v>238</v>
      </c>
      <c r="J5" s="104" t="s">
        <v>239</v>
      </c>
      <c r="K5" s="104" t="s">
        <v>240</v>
      </c>
      <c r="L5" s="104" t="s">
        <v>241</v>
      </c>
      <c r="M5" s="104" t="s">
        <v>242</v>
      </c>
      <c r="N5" s="104" t="s">
        <v>243</v>
      </c>
      <c r="O5" s="104" t="s">
        <v>444</v>
      </c>
      <c r="P5" s="104" t="s">
        <v>445</v>
      </c>
      <c r="Q5" s="104" t="s">
        <v>446</v>
      </c>
      <c r="R5" s="253" t="s">
        <v>447</v>
      </c>
      <c r="S5" s="105" t="s">
        <v>448</v>
      </c>
    </row>
    <row r="6" spans="1:19">
      <c r="A6" s="140"/>
      <c r="B6" s="596" t="s">
        <v>449</v>
      </c>
      <c r="C6" s="594">
        <v>0</v>
      </c>
      <c r="D6" s="595"/>
      <c r="E6" s="594">
        <v>0.2</v>
      </c>
      <c r="F6" s="595"/>
      <c r="G6" s="594">
        <v>0.35</v>
      </c>
      <c r="H6" s="595"/>
      <c r="I6" s="594">
        <v>0.5</v>
      </c>
      <c r="J6" s="595"/>
      <c r="K6" s="594">
        <v>0.75</v>
      </c>
      <c r="L6" s="595"/>
      <c r="M6" s="594">
        <v>1</v>
      </c>
      <c r="N6" s="595"/>
      <c r="O6" s="594">
        <v>1.5</v>
      </c>
      <c r="P6" s="595"/>
      <c r="Q6" s="594">
        <v>2.5</v>
      </c>
      <c r="R6" s="595"/>
      <c r="S6" s="592" t="s">
        <v>251</v>
      </c>
    </row>
    <row r="7" spans="1:19">
      <c r="A7" s="140"/>
      <c r="B7" s="597"/>
      <c r="C7" s="259" t="s">
        <v>442</v>
      </c>
      <c r="D7" s="259" t="s">
        <v>443</v>
      </c>
      <c r="E7" s="259" t="s">
        <v>442</v>
      </c>
      <c r="F7" s="259" t="s">
        <v>443</v>
      </c>
      <c r="G7" s="259" t="s">
        <v>442</v>
      </c>
      <c r="H7" s="259" t="s">
        <v>443</v>
      </c>
      <c r="I7" s="259" t="s">
        <v>442</v>
      </c>
      <c r="J7" s="259" t="s">
        <v>443</v>
      </c>
      <c r="K7" s="259" t="s">
        <v>442</v>
      </c>
      <c r="L7" s="259" t="s">
        <v>443</v>
      </c>
      <c r="M7" s="259" t="s">
        <v>442</v>
      </c>
      <c r="N7" s="259" t="s">
        <v>443</v>
      </c>
      <c r="O7" s="259" t="s">
        <v>442</v>
      </c>
      <c r="P7" s="259" t="s">
        <v>443</v>
      </c>
      <c r="Q7" s="259" t="s">
        <v>442</v>
      </c>
      <c r="R7" s="259" t="s">
        <v>443</v>
      </c>
      <c r="S7" s="593"/>
    </row>
    <row r="8" spans="1:19" s="144" customFormat="1">
      <c r="A8" s="108">
        <v>1</v>
      </c>
      <c r="B8" s="162" t="s">
        <v>216</v>
      </c>
      <c r="C8" s="437">
        <v>19638083.670000002</v>
      </c>
      <c r="D8" s="437"/>
      <c r="E8" s="437">
        <v>0</v>
      </c>
      <c r="F8" s="438"/>
      <c r="G8" s="437">
        <v>0</v>
      </c>
      <c r="H8" s="437"/>
      <c r="I8" s="437">
        <v>0</v>
      </c>
      <c r="J8" s="437"/>
      <c r="K8" s="437">
        <v>0</v>
      </c>
      <c r="L8" s="437"/>
      <c r="M8" s="437">
        <v>2135947460.3400002</v>
      </c>
      <c r="N8" s="437"/>
      <c r="O8" s="437">
        <v>0</v>
      </c>
      <c r="P8" s="437"/>
      <c r="Q8" s="437">
        <v>0</v>
      </c>
      <c r="R8" s="438"/>
      <c r="S8" s="265">
        <f>$C$6*SUM(C8:D8)+$E$6*SUM(E8:F8)+$G$6*SUM(G8:H8)+$I$6*SUM(I8:J8)+$K$6*SUM(K8:L8)+$M$6*SUM(M8:N8)+$O$6*SUM(O8:P8)+$Q$6*SUM(Q8:R8)</f>
        <v>2135947460.3400002</v>
      </c>
    </row>
    <row r="9" spans="1:19" s="144" customFormat="1">
      <c r="A9" s="108">
        <v>2</v>
      </c>
      <c r="B9" s="162" t="s">
        <v>217</v>
      </c>
      <c r="C9" s="437">
        <v>0</v>
      </c>
      <c r="D9" s="437"/>
      <c r="E9" s="437">
        <v>0</v>
      </c>
      <c r="F9" s="437"/>
      <c r="G9" s="437">
        <v>0</v>
      </c>
      <c r="H9" s="437"/>
      <c r="I9" s="437">
        <v>0</v>
      </c>
      <c r="J9" s="437"/>
      <c r="K9" s="437">
        <v>0</v>
      </c>
      <c r="L9" s="437"/>
      <c r="M9" s="437">
        <v>0</v>
      </c>
      <c r="N9" s="437"/>
      <c r="O9" s="437">
        <v>0</v>
      </c>
      <c r="P9" s="437"/>
      <c r="Q9" s="437">
        <v>0</v>
      </c>
      <c r="R9" s="438"/>
      <c r="S9" s="265">
        <f t="shared" ref="S9:S21" si="0">$C$6*SUM(C9:D9)+$E$6*SUM(E9:F9)+$G$6*SUM(G9:H9)+$I$6*SUM(I9:J9)+$K$6*SUM(K9:L9)+$M$6*SUM(M9:N9)+$O$6*SUM(O9:P9)+$Q$6*SUM(Q9:R9)</f>
        <v>0</v>
      </c>
    </row>
    <row r="10" spans="1:19" s="144" customFormat="1">
      <c r="A10" s="108">
        <v>3</v>
      </c>
      <c r="B10" s="162" t="s">
        <v>218</v>
      </c>
      <c r="C10" s="437"/>
      <c r="D10" s="437"/>
      <c r="E10" s="437">
        <v>0</v>
      </c>
      <c r="F10" s="437"/>
      <c r="G10" s="437">
        <v>0</v>
      </c>
      <c r="H10" s="437"/>
      <c r="I10" s="437">
        <v>0</v>
      </c>
      <c r="J10" s="437"/>
      <c r="K10" s="437">
        <v>0</v>
      </c>
      <c r="L10" s="437"/>
      <c r="M10" s="437">
        <v>0</v>
      </c>
      <c r="N10" s="437"/>
      <c r="O10" s="437">
        <v>0</v>
      </c>
      <c r="P10" s="437"/>
      <c r="Q10" s="437">
        <v>0</v>
      </c>
      <c r="R10" s="438"/>
      <c r="S10" s="265">
        <f t="shared" si="0"/>
        <v>0</v>
      </c>
    </row>
    <row r="11" spans="1:19" s="144" customFormat="1">
      <c r="A11" s="108">
        <v>4</v>
      </c>
      <c r="B11" s="162" t="s">
        <v>219</v>
      </c>
      <c r="C11" s="437">
        <v>752034864.69000006</v>
      </c>
      <c r="D11" s="437"/>
      <c r="E11" s="437">
        <v>0</v>
      </c>
      <c r="F11" s="437"/>
      <c r="G11" s="437">
        <v>0</v>
      </c>
      <c r="H11" s="437"/>
      <c r="I11" s="437">
        <v>126501946.81</v>
      </c>
      <c r="J11" s="437"/>
      <c r="K11" s="437">
        <v>0</v>
      </c>
      <c r="L11" s="437"/>
      <c r="M11" s="437">
        <v>0</v>
      </c>
      <c r="N11" s="437"/>
      <c r="O11" s="437">
        <v>0</v>
      </c>
      <c r="P11" s="437"/>
      <c r="Q11" s="437">
        <v>0</v>
      </c>
      <c r="R11" s="438"/>
      <c r="S11" s="265">
        <f t="shared" si="0"/>
        <v>63250973.405000001</v>
      </c>
    </row>
    <row r="12" spans="1:19" s="144" customFormat="1">
      <c r="A12" s="108">
        <v>5</v>
      </c>
      <c r="B12" s="162" t="s">
        <v>220</v>
      </c>
      <c r="C12" s="437">
        <v>0</v>
      </c>
      <c r="D12" s="437"/>
      <c r="E12" s="437">
        <v>0</v>
      </c>
      <c r="F12" s="437"/>
      <c r="G12" s="437">
        <v>0</v>
      </c>
      <c r="H12" s="437"/>
      <c r="I12" s="437">
        <v>0</v>
      </c>
      <c r="J12" s="437"/>
      <c r="K12" s="437">
        <v>0</v>
      </c>
      <c r="L12" s="437"/>
      <c r="M12" s="437">
        <v>0</v>
      </c>
      <c r="N12" s="437"/>
      <c r="O12" s="437">
        <v>0</v>
      </c>
      <c r="P12" s="437"/>
      <c r="Q12" s="437">
        <v>0</v>
      </c>
      <c r="R12" s="438"/>
      <c r="S12" s="265">
        <f t="shared" si="0"/>
        <v>0</v>
      </c>
    </row>
    <row r="13" spans="1:19" s="144" customFormat="1">
      <c r="A13" s="108">
        <v>6</v>
      </c>
      <c r="B13" s="162" t="s">
        <v>221</v>
      </c>
      <c r="C13" s="437"/>
      <c r="D13" s="437"/>
      <c r="E13" s="437">
        <v>1694228419.5869999</v>
      </c>
      <c r="F13" s="437"/>
      <c r="G13" s="437">
        <v>0</v>
      </c>
      <c r="H13" s="437"/>
      <c r="I13" s="437">
        <v>79973945.039999992</v>
      </c>
      <c r="J13" s="437"/>
      <c r="K13" s="437">
        <v>0</v>
      </c>
      <c r="L13" s="437"/>
      <c r="M13" s="437">
        <v>441411.16</v>
      </c>
      <c r="N13" s="437"/>
      <c r="O13" s="437">
        <v>63808.69</v>
      </c>
      <c r="P13" s="437"/>
      <c r="Q13" s="437">
        <v>0</v>
      </c>
      <c r="R13" s="438"/>
      <c r="S13" s="265">
        <f t="shared" si="0"/>
        <v>379369780.63240004</v>
      </c>
    </row>
    <row r="14" spans="1:19" s="144" customFormat="1">
      <c r="A14" s="108">
        <v>7</v>
      </c>
      <c r="B14" s="162" t="s">
        <v>73</v>
      </c>
      <c r="C14" s="437"/>
      <c r="D14" s="437"/>
      <c r="E14" s="437">
        <v>0</v>
      </c>
      <c r="F14" s="437"/>
      <c r="G14" s="437">
        <v>0</v>
      </c>
      <c r="H14" s="437"/>
      <c r="I14" s="437">
        <v>0</v>
      </c>
      <c r="J14" s="437"/>
      <c r="K14" s="437">
        <v>0</v>
      </c>
      <c r="L14" s="437"/>
      <c r="M14" s="437">
        <v>5267264818.4911003</v>
      </c>
      <c r="N14" s="437">
        <v>856080556.40144992</v>
      </c>
      <c r="O14" s="437">
        <v>123335282.4595</v>
      </c>
      <c r="P14" s="437"/>
      <c r="Q14" s="437">
        <v>0</v>
      </c>
      <c r="R14" s="438"/>
      <c r="S14" s="265">
        <f t="shared" si="0"/>
        <v>6308348298.5818005</v>
      </c>
    </row>
    <row r="15" spans="1:19" s="144" customFormat="1">
      <c r="A15" s="108">
        <v>8</v>
      </c>
      <c r="B15" s="162" t="s">
        <v>74</v>
      </c>
      <c r="C15" s="437"/>
      <c r="D15" s="437"/>
      <c r="E15" s="437">
        <v>0</v>
      </c>
      <c r="F15" s="437"/>
      <c r="G15" s="437">
        <v>0</v>
      </c>
      <c r="H15" s="437"/>
      <c r="I15" s="437">
        <v>0</v>
      </c>
      <c r="J15" s="437"/>
      <c r="K15" s="437">
        <v>3648222680.4306002</v>
      </c>
      <c r="L15" s="437">
        <v>108758079.43505</v>
      </c>
      <c r="M15" s="437">
        <v>0</v>
      </c>
      <c r="N15" s="437">
        <v>0</v>
      </c>
      <c r="O15" s="437"/>
      <c r="P15" s="437"/>
      <c r="Q15" s="437">
        <v>0</v>
      </c>
      <c r="R15" s="438"/>
      <c r="S15" s="265">
        <f t="shared" si="0"/>
        <v>2817735569.8992376</v>
      </c>
    </row>
    <row r="16" spans="1:19" s="144" customFormat="1">
      <c r="A16" s="108">
        <v>9</v>
      </c>
      <c r="B16" s="162" t="s">
        <v>75</v>
      </c>
      <c r="C16" s="437"/>
      <c r="D16" s="437"/>
      <c r="E16" s="437">
        <v>0</v>
      </c>
      <c r="F16" s="437"/>
      <c r="G16" s="437">
        <v>3288753308.3772001</v>
      </c>
      <c r="H16" s="437"/>
      <c r="I16" s="437">
        <v>0</v>
      </c>
      <c r="J16" s="437"/>
      <c r="K16" s="437">
        <v>0</v>
      </c>
      <c r="L16" s="437"/>
      <c r="M16" s="437">
        <v>0</v>
      </c>
      <c r="N16" s="437"/>
      <c r="O16" s="437">
        <v>0</v>
      </c>
      <c r="P16" s="437"/>
      <c r="Q16" s="437">
        <v>0</v>
      </c>
      <c r="R16" s="438"/>
      <c r="S16" s="265">
        <f t="shared" si="0"/>
        <v>1151063657.9320199</v>
      </c>
    </row>
    <row r="17" spans="1:19" s="144" customFormat="1">
      <c r="A17" s="108">
        <v>10</v>
      </c>
      <c r="B17" s="162" t="s">
        <v>69</v>
      </c>
      <c r="C17" s="437"/>
      <c r="D17" s="437"/>
      <c r="E17" s="437">
        <v>0</v>
      </c>
      <c r="F17" s="437"/>
      <c r="G17" s="437">
        <v>0</v>
      </c>
      <c r="H17" s="437"/>
      <c r="I17" s="437">
        <v>15304793.226500001</v>
      </c>
      <c r="J17" s="437"/>
      <c r="K17" s="437">
        <v>0</v>
      </c>
      <c r="L17" s="437"/>
      <c r="M17" s="437">
        <v>92369405.212899998</v>
      </c>
      <c r="N17" s="437"/>
      <c r="O17" s="437">
        <v>2266321.5055</v>
      </c>
      <c r="P17" s="437"/>
      <c r="Q17" s="437">
        <v>0</v>
      </c>
      <c r="R17" s="438"/>
      <c r="S17" s="265">
        <f t="shared" si="0"/>
        <v>103421284.0844</v>
      </c>
    </row>
    <row r="18" spans="1:19" s="144" customFormat="1">
      <c r="A18" s="108">
        <v>11</v>
      </c>
      <c r="B18" s="162" t="s">
        <v>70</v>
      </c>
      <c r="C18" s="437"/>
      <c r="D18" s="437"/>
      <c r="E18" s="437">
        <v>0</v>
      </c>
      <c r="F18" s="437"/>
      <c r="G18" s="437">
        <v>0</v>
      </c>
      <c r="H18" s="437"/>
      <c r="I18" s="437">
        <v>0</v>
      </c>
      <c r="J18" s="437"/>
      <c r="K18" s="437">
        <v>0</v>
      </c>
      <c r="L18" s="437"/>
      <c r="M18" s="437">
        <v>777827140.57720006</v>
      </c>
      <c r="N18" s="437"/>
      <c r="O18" s="437">
        <v>252331455.4799</v>
      </c>
      <c r="P18" s="437"/>
      <c r="Q18" s="437">
        <v>43201083.950000003</v>
      </c>
      <c r="R18" s="438"/>
      <c r="S18" s="265">
        <f t="shared" si="0"/>
        <v>1264327033.67205</v>
      </c>
    </row>
    <row r="19" spans="1:19" s="144" customFormat="1">
      <c r="A19" s="108">
        <v>12</v>
      </c>
      <c r="B19" s="162" t="s">
        <v>71</v>
      </c>
      <c r="C19" s="437"/>
      <c r="D19" s="437"/>
      <c r="E19" s="437">
        <v>0</v>
      </c>
      <c r="F19" s="437"/>
      <c r="G19" s="437">
        <v>0</v>
      </c>
      <c r="H19" s="437"/>
      <c r="I19" s="437">
        <v>0</v>
      </c>
      <c r="J19" s="437"/>
      <c r="K19" s="437">
        <v>0</v>
      </c>
      <c r="L19" s="437"/>
      <c r="M19" s="437">
        <v>0</v>
      </c>
      <c r="N19" s="437"/>
      <c r="O19" s="437">
        <v>0</v>
      </c>
      <c r="P19" s="437"/>
      <c r="Q19" s="437">
        <v>0</v>
      </c>
      <c r="R19" s="438"/>
      <c r="S19" s="265">
        <f t="shared" si="0"/>
        <v>0</v>
      </c>
    </row>
    <row r="20" spans="1:19" s="144" customFormat="1">
      <c r="A20" s="108">
        <v>13</v>
      </c>
      <c r="B20" s="162" t="s">
        <v>72</v>
      </c>
      <c r="C20" s="437"/>
      <c r="D20" s="437"/>
      <c r="E20" s="437">
        <v>0</v>
      </c>
      <c r="F20" s="437"/>
      <c r="G20" s="437">
        <v>0</v>
      </c>
      <c r="H20" s="437"/>
      <c r="I20" s="437">
        <v>0</v>
      </c>
      <c r="J20" s="437"/>
      <c r="K20" s="437">
        <v>0</v>
      </c>
      <c r="L20" s="437"/>
      <c r="M20" s="437">
        <v>0</v>
      </c>
      <c r="N20" s="437"/>
      <c r="O20" s="437">
        <v>0</v>
      </c>
      <c r="P20" s="437"/>
      <c r="Q20" s="437">
        <v>0</v>
      </c>
      <c r="R20" s="438"/>
      <c r="S20" s="265">
        <f t="shared" si="0"/>
        <v>0</v>
      </c>
    </row>
    <row r="21" spans="1:19" s="144" customFormat="1">
      <c r="A21" s="108">
        <v>14</v>
      </c>
      <c r="B21" s="162" t="s">
        <v>249</v>
      </c>
      <c r="C21" s="437">
        <v>619182901.96600008</v>
      </c>
      <c r="D21" s="437"/>
      <c r="E21" s="437">
        <v>0</v>
      </c>
      <c r="F21" s="437"/>
      <c r="G21" s="437">
        <v>0</v>
      </c>
      <c r="H21" s="437"/>
      <c r="I21" s="437">
        <v>0</v>
      </c>
      <c r="J21" s="437"/>
      <c r="K21" s="437">
        <v>0</v>
      </c>
      <c r="L21" s="437"/>
      <c r="M21" s="437">
        <v>599946619.73900008</v>
      </c>
      <c r="N21" s="437"/>
      <c r="O21" s="437">
        <v>0</v>
      </c>
      <c r="P21" s="437"/>
      <c r="Q21" s="437">
        <v>137623288.68000001</v>
      </c>
      <c r="R21" s="438"/>
      <c r="S21" s="265">
        <f t="shared" si="0"/>
        <v>944004841.43900013</v>
      </c>
    </row>
    <row r="22" spans="1:19" ht="13.5" thickBot="1">
      <c r="A22" s="92"/>
      <c r="B22" s="146" t="s">
        <v>68</v>
      </c>
      <c r="C22" s="242">
        <f>SUM(C8:C21)</f>
        <v>1390855850.3260002</v>
      </c>
      <c r="D22" s="242">
        <f t="shared" ref="D22:S22" si="1">SUM(D8:D21)</f>
        <v>0</v>
      </c>
      <c r="E22" s="242">
        <f>SUM(E8:E21)</f>
        <v>1694228419.5869999</v>
      </c>
      <c r="F22" s="242">
        <f t="shared" si="1"/>
        <v>0</v>
      </c>
      <c r="G22" s="242">
        <f t="shared" si="1"/>
        <v>3288753308.3772001</v>
      </c>
      <c r="H22" s="242">
        <f t="shared" si="1"/>
        <v>0</v>
      </c>
      <c r="I22" s="242">
        <f t="shared" si="1"/>
        <v>221780685.0765</v>
      </c>
      <c r="J22" s="242">
        <f t="shared" si="1"/>
        <v>0</v>
      </c>
      <c r="K22" s="242">
        <f t="shared" si="1"/>
        <v>3648222680.4306002</v>
      </c>
      <c r="L22" s="242">
        <f t="shared" si="1"/>
        <v>108758079.43505</v>
      </c>
      <c r="M22" s="242">
        <f t="shared" si="1"/>
        <v>8873796855.5202007</v>
      </c>
      <c r="N22" s="242">
        <f t="shared" si="1"/>
        <v>856080556.40144992</v>
      </c>
      <c r="O22" s="242">
        <f t="shared" si="1"/>
        <v>377996868.13489997</v>
      </c>
      <c r="P22" s="242">
        <f t="shared" si="1"/>
        <v>0</v>
      </c>
      <c r="Q22" s="242">
        <f t="shared" si="1"/>
        <v>180824372.63</v>
      </c>
      <c r="R22" s="242">
        <f t="shared" si="1"/>
        <v>0</v>
      </c>
      <c r="S22" s="266">
        <f t="shared" si="1"/>
        <v>15167468899.985912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P7" activePane="bottomRight" state="frozen"/>
      <selection activeCell="B47" sqref="B47"/>
      <selection pane="topRight" activeCell="B47" sqref="B47"/>
      <selection pane="bottomLeft" activeCell="B47" sqref="B47"/>
      <selection pane="bottomRight" activeCell="B47" sqref="B47"/>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290" t="str">
        <f>Info!C2</f>
        <v>სს ”საქართველოს ბანკი”</v>
      </c>
    </row>
    <row r="2" spans="1:22">
      <c r="A2" s="1" t="s">
        <v>189</v>
      </c>
      <c r="B2" s="407">
        <f>'1. key ratios'!B2</f>
        <v>44286</v>
      </c>
    </row>
    <row r="4" spans="1:22" ht="27.75" thickBot="1">
      <c r="A4" s="1" t="s">
        <v>415</v>
      </c>
      <c r="B4" s="261" t="s">
        <v>458</v>
      </c>
      <c r="V4" s="188" t="s">
        <v>93</v>
      </c>
    </row>
    <row r="5" spans="1:22">
      <c r="A5" s="90"/>
      <c r="B5" s="91"/>
      <c r="C5" s="598" t="s">
        <v>198</v>
      </c>
      <c r="D5" s="599"/>
      <c r="E5" s="599"/>
      <c r="F5" s="599"/>
      <c r="G5" s="599"/>
      <c r="H5" s="599"/>
      <c r="I5" s="599"/>
      <c r="J5" s="599"/>
      <c r="K5" s="599"/>
      <c r="L5" s="600"/>
      <c r="M5" s="598" t="s">
        <v>199</v>
      </c>
      <c r="N5" s="599"/>
      <c r="O5" s="599"/>
      <c r="P5" s="599"/>
      <c r="Q5" s="599"/>
      <c r="R5" s="599"/>
      <c r="S5" s="600"/>
      <c r="T5" s="603" t="s">
        <v>456</v>
      </c>
      <c r="U5" s="603" t="s">
        <v>455</v>
      </c>
      <c r="V5" s="601" t="s">
        <v>200</v>
      </c>
    </row>
    <row r="6" spans="1:22" s="65" customFormat="1" ht="140.25">
      <c r="A6" s="106"/>
      <c r="B6" s="164"/>
      <c r="C6" s="88" t="s">
        <v>201</v>
      </c>
      <c r="D6" s="87" t="s">
        <v>202</v>
      </c>
      <c r="E6" s="84" t="s">
        <v>203</v>
      </c>
      <c r="F6" s="262" t="s">
        <v>450</v>
      </c>
      <c r="G6" s="87" t="s">
        <v>204</v>
      </c>
      <c r="H6" s="87" t="s">
        <v>205</v>
      </c>
      <c r="I6" s="87" t="s">
        <v>206</v>
      </c>
      <c r="J6" s="87" t="s">
        <v>248</v>
      </c>
      <c r="K6" s="87" t="s">
        <v>207</v>
      </c>
      <c r="L6" s="89" t="s">
        <v>208</v>
      </c>
      <c r="M6" s="88" t="s">
        <v>209</v>
      </c>
      <c r="N6" s="87" t="s">
        <v>210</v>
      </c>
      <c r="O6" s="87" t="s">
        <v>211</v>
      </c>
      <c r="P6" s="87" t="s">
        <v>212</v>
      </c>
      <c r="Q6" s="87" t="s">
        <v>213</v>
      </c>
      <c r="R6" s="87" t="s">
        <v>214</v>
      </c>
      <c r="S6" s="89" t="s">
        <v>215</v>
      </c>
      <c r="T6" s="604"/>
      <c r="U6" s="604"/>
      <c r="V6" s="602"/>
    </row>
    <row r="7" spans="1:22" s="144" customFormat="1">
      <c r="A7" s="145">
        <v>1</v>
      </c>
      <c r="B7" s="143" t="s">
        <v>216</v>
      </c>
      <c r="C7" s="439"/>
      <c r="D7" s="437">
        <v>0</v>
      </c>
      <c r="E7" s="437"/>
      <c r="F7" s="437"/>
      <c r="G7" s="437"/>
      <c r="H7" s="437"/>
      <c r="I7" s="437"/>
      <c r="J7" s="437"/>
      <c r="K7" s="437"/>
      <c r="L7" s="437"/>
      <c r="M7" s="437">
        <v>0</v>
      </c>
      <c r="N7" s="437"/>
      <c r="O7" s="437"/>
      <c r="P7" s="437"/>
      <c r="Q7" s="437"/>
      <c r="R7" s="437">
        <v>0</v>
      </c>
      <c r="S7" s="437"/>
      <c r="T7" s="256"/>
      <c r="U7" s="255"/>
      <c r="V7" s="243">
        <f>SUM(C7:S7)</f>
        <v>0</v>
      </c>
    </row>
    <row r="8" spans="1:22" s="144" customFormat="1">
      <c r="A8" s="145">
        <v>2</v>
      </c>
      <c r="B8" s="143" t="s">
        <v>217</v>
      </c>
      <c r="C8" s="439">
        <v>0</v>
      </c>
      <c r="D8" s="437">
        <v>0</v>
      </c>
      <c r="E8" s="437"/>
      <c r="F8" s="437"/>
      <c r="G8" s="437"/>
      <c r="H8" s="437"/>
      <c r="I8" s="437"/>
      <c r="J8" s="437"/>
      <c r="K8" s="437"/>
      <c r="L8" s="437"/>
      <c r="M8" s="437"/>
      <c r="N8" s="437"/>
      <c r="O8" s="437"/>
      <c r="P8" s="437"/>
      <c r="Q8" s="437"/>
      <c r="R8" s="437">
        <v>0</v>
      </c>
      <c r="S8" s="437"/>
      <c r="T8" s="255"/>
      <c r="U8" s="255"/>
      <c r="V8" s="243">
        <f t="shared" ref="V8:V20" si="0">SUM(C8:S8)</f>
        <v>0</v>
      </c>
    </row>
    <row r="9" spans="1:22" s="144" customFormat="1">
      <c r="A9" s="145">
        <v>3</v>
      </c>
      <c r="B9" s="143" t="s">
        <v>218</v>
      </c>
      <c r="C9" s="439"/>
      <c r="D9" s="437">
        <v>0</v>
      </c>
      <c r="E9" s="437"/>
      <c r="F9" s="437"/>
      <c r="G9" s="437"/>
      <c r="H9" s="437"/>
      <c r="I9" s="437"/>
      <c r="J9" s="437"/>
      <c r="K9" s="437"/>
      <c r="L9" s="437"/>
      <c r="M9" s="437"/>
      <c r="N9" s="437"/>
      <c r="O9" s="437"/>
      <c r="P9" s="437"/>
      <c r="Q9" s="437"/>
      <c r="R9" s="437">
        <v>0</v>
      </c>
      <c r="S9" s="437"/>
      <c r="T9" s="255"/>
      <c r="U9" s="255"/>
      <c r="V9" s="243">
        <f>SUM(C9:S9)</f>
        <v>0</v>
      </c>
    </row>
    <row r="10" spans="1:22" s="144" customFormat="1">
      <c r="A10" s="145">
        <v>4</v>
      </c>
      <c r="B10" s="143" t="s">
        <v>219</v>
      </c>
      <c r="C10" s="439"/>
      <c r="D10" s="437">
        <v>0</v>
      </c>
      <c r="E10" s="437"/>
      <c r="F10" s="437"/>
      <c r="G10" s="437"/>
      <c r="H10" s="437"/>
      <c r="I10" s="437"/>
      <c r="J10" s="437"/>
      <c r="K10" s="437"/>
      <c r="L10" s="437"/>
      <c r="M10" s="437"/>
      <c r="N10" s="437"/>
      <c r="O10" s="437"/>
      <c r="P10" s="437"/>
      <c r="Q10" s="437"/>
      <c r="R10" s="437">
        <v>0</v>
      </c>
      <c r="S10" s="437"/>
      <c r="T10" s="255"/>
      <c r="U10" s="255"/>
      <c r="V10" s="243">
        <f t="shared" si="0"/>
        <v>0</v>
      </c>
    </row>
    <row r="11" spans="1:22" s="144" customFormat="1">
      <c r="A11" s="145">
        <v>5</v>
      </c>
      <c r="B11" s="143" t="s">
        <v>220</v>
      </c>
      <c r="C11" s="439"/>
      <c r="D11" s="437">
        <v>0</v>
      </c>
      <c r="E11" s="437"/>
      <c r="F11" s="437"/>
      <c r="G11" s="437"/>
      <c r="H11" s="437"/>
      <c r="I11" s="437"/>
      <c r="J11" s="437"/>
      <c r="K11" s="437"/>
      <c r="L11" s="437"/>
      <c r="M11" s="437"/>
      <c r="N11" s="437"/>
      <c r="O11" s="437"/>
      <c r="P11" s="437"/>
      <c r="Q11" s="437"/>
      <c r="R11" s="437">
        <v>0</v>
      </c>
      <c r="S11" s="437"/>
      <c r="T11" s="255"/>
      <c r="U11" s="255"/>
      <c r="V11" s="243">
        <f t="shared" si="0"/>
        <v>0</v>
      </c>
    </row>
    <row r="12" spans="1:22" s="144" customFormat="1">
      <c r="A12" s="145">
        <v>6</v>
      </c>
      <c r="B12" s="143" t="s">
        <v>221</v>
      </c>
      <c r="C12" s="439"/>
      <c r="D12" s="437">
        <v>0</v>
      </c>
      <c r="E12" s="437"/>
      <c r="F12" s="437"/>
      <c r="G12" s="437"/>
      <c r="H12" s="437"/>
      <c r="I12" s="437"/>
      <c r="J12" s="437"/>
      <c r="K12" s="437"/>
      <c r="L12" s="437"/>
      <c r="M12" s="437"/>
      <c r="N12" s="437"/>
      <c r="O12" s="437"/>
      <c r="P12" s="437"/>
      <c r="Q12" s="437"/>
      <c r="R12" s="437">
        <v>0</v>
      </c>
      <c r="S12" s="437"/>
      <c r="T12" s="255"/>
      <c r="U12" s="255"/>
      <c r="V12" s="243">
        <f t="shared" si="0"/>
        <v>0</v>
      </c>
    </row>
    <row r="13" spans="1:22" s="144" customFormat="1">
      <c r="A13" s="145">
        <v>7</v>
      </c>
      <c r="B13" s="143" t="s">
        <v>73</v>
      </c>
      <c r="C13" s="439"/>
      <c r="D13" s="437">
        <v>147577911.49470001</v>
      </c>
      <c r="E13" s="437"/>
      <c r="F13" s="437"/>
      <c r="G13" s="437"/>
      <c r="H13" s="437"/>
      <c r="I13" s="437"/>
      <c r="J13" s="437"/>
      <c r="K13" s="437"/>
      <c r="L13" s="437"/>
      <c r="M13" s="437">
        <v>5176503.9735000003</v>
      </c>
      <c r="N13" s="437"/>
      <c r="O13" s="437">
        <v>16153000.4122</v>
      </c>
      <c r="P13" s="437"/>
      <c r="Q13" s="437"/>
      <c r="R13" s="437">
        <v>214000100.54710001</v>
      </c>
      <c r="S13" s="437"/>
      <c r="T13" s="255"/>
      <c r="U13" s="255"/>
      <c r="V13" s="243">
        <f t="shared" si="0"/>
        <v>382907516.42750001</v>
      </c>
    </row>
    <row r="14" spans="1:22" s="144" customFormat="1">
      <c r="A14" s="145">
        <v>8</v>
      </c>
      <c r="B14" s="143" t="s">
        <v>74</v>
      </c>
      <c r="C14" s="439"/>
      <c r="D14" s="437">
        <v>0</v>
      </c>
      <c r="E14" s="437"/>
      <c r="F14" s="437"/>
      <c r="G14" s="437"/>
      <c r="H14" s="437"/>
      <c r="I14" s="437"/>
      <c r="J14" s="437">
        <v>0</v>
      </c>
      <c r="K14" s="437"/>
      <c r="L14" s="437"/>
      <c r="M14" s="437">
        <v>378936.50550000003</v>
      </c>
      <c r="N14" s="437"/>
      <c r="O14" s="437">
        <v>1330937.3569</v>
      </c>
      <c r="P14" s="437"/>
      <c r="Q14" s="437"/>
      <c r="R14" s="437">
        <v>0</v>
      </c>
      <c r="S14" s="437"/>
      <c r="T14" s="255"/>
      <c r="U14" s="255"/>
      <c r="V14" s="243">
        <f t="shared" si="0"/>
        <v>1709873.8624</v>
      </c>
    </row>
    <row r="15" spans="1:22" s="144" customFormat="1">
      <c r="A15" s="145">
        <v>9</v>
      </c>
      <c r="B15" s="143" t="s">
        <v>75</v>
      </c>
      <c r="C15" s="439"/>
      <c r="D15" s="437">
        <v>39095694.491999999</v>
      </c>
      <c r="E15" s="437"/>
      <c r="F15" s="437"/>
      <c r="G15" s="437"/>
      <c r="H15" s="437"/>
      <c r="I15" s="437"/>
      <c r="J15" s="437"/>
      <c r="K15" s="437"/>
      <c r="L15" s="437"/>
      <c r="M15" s="437">
        <v>702683.52339999995</v>
      </c>
      <c r="N15" s="437"/>
      <c r="O15" s="437">
        <v>99259.211500000005</v>
      </c>
      <c r="P15" s="437"/>
      <c r="Q15" s="437"/>
      <c r="R15" s="437">
        <v>0</v>
      </c>
      <c r="S15" s="437"/>
      <c r="T15" s="255"/>
      <c r="U15" s="255"/>
      <c r="V15" s="243">
        <f t="shared" si="0"/>
        <v>39897637.226899996</v>
      </c>
    </row>
    <row r="16" spans="1:22" s="144" customFormat="1">
      <c r="A16" s="145">
        <v>10</v>
      </c>
      <c r="B16" s="143" t="s">
        <v>69</v>
      </c>
      <c r="C16" s="439"/>
      <c r="D16" s="437">
        <v>0</v>
      </c>
      <c r="E16" s="437"/>
      <c r="F16" s="437"/>
      <c r="G16" s="437"/>
      <c r="H16" s="437"/>
      <c r="I16" s="437"/>
      <c r="J16" s="437"/>
      <c r="K16" s="437"/>
      <c r="L16" s="437"/>
      <c r="M16" s="437"/>
      <c r="N16" s="437"/>
      <c r="O16" s="437"/>
      <c r="P16" s="437"/>
      <c r="Q16" s="437"/>
      <c r="R16" s="437">
        <v>0</v>
      </c>
      <c r="S16" s="437"/>
      <c r="T16" s="255"/>
      <c r="U16" s="255"/>
      <c r="V16" s="243">
        <f t="shared" si="0"/>
        <v>0</v>
      </c>
    </row>
    <row r="17" spans="1:22" s="144" customFormat="1">
      <c r="A17" s="145">
        <v>11</v>
      </c>
      <c r="B17" s="143" t="s">
        <v>70</v>
      </c>
      <c r="C17" s="439"/>
      <c r="D17" s="437">
        <v>32422.898399999998</v>
      </c>
      <c r="E17" s="437"/>
      <c r="F17" s="437"/>
      <c r="G17" s="437"/>
      <c r="H17" s="437"/>
      <c r="I17" s="437"/>
      <c r="J17" s="437"/>
      <c r="K17" s="437"/>
      <c r="L17" s="437"/>
      <c r="M17" s="437">
        <v>1902055.2747</v>
      </c>
      <c r="N17" s="437"/>
      <c r="O17" s="437">
        <v>0</v>
      </c>
      <c r="P17" s="437"/>
      <c r="Q17" s="437"/>
      <c r="R17" s="437">
        <v>0</v>
      </c>
      <c r="S17" s="437"/>
      <c r="T17" s="255"/>
      <c r="U17" s="255"/>
      <c r="V17" s="243">
        <f t="shared" si="0"/>
        <v>1934478.1731</v>
      </c>
    </row>
    <row r="18" spans="1:22" s="144" customFormat="1">
      <c r="A18" s="145">
        <v>12</v>
      </c>
      <c r="B18" s="143" t="s">
        <v>71</v>
      </c>
      <c r="C18" s="439"/>
      <c r="D18" s="437">
        <v>50083.568899999998</v>
      </c>
      <c r="E18" s="437"/>
      <c r="F18" s="437"/>
      <c r="G18" s="437"/>
      <c r="H18" s="437"/>
      <c r="I18" s="437"/>
      <c r="J18" s="437"/>
      <c r="K18" s="437"/>
      <c r="L18" s="437"/>
      <c r="M18" s="437"/>
      <c r="N18" s="437"/>
      <c r="O18" s="437"/>
      <c r="P18" s="437"/>
      <c r="Q18" s="437"/>
      <c r="R18" s="437">
        <v>0</v>
      </c>
      <c r="S18" s="437"/>
      <c r="T18" s="255"/>
      <c r="U18" s="255"/>
      <c r="V18" s="243">
        <f t="shared" si="0"/>
        <v>50083.568899999998</v>
      </c>
    </row>
    <row r="19" spans="1:22" s="144" customFormat="1">
      <c r="A19" s="145">
        <v>13</v>
      </c>
      <c r="B19" s="143" t="s">
        <v>72</v>
      </c>
      <c r="C19" s="439"/>
      <c r="D19" s="437">
        <v>0</v>
      </c>
      <c r="E19" s="437"/>
      <c r="F19" s="437"/>
      <c r="G19" s="437"/>
      <c r="H19" s="437"/>
      <c r="I19" s="437"/>
      <c r="J19" s="437"/>
      <c r="K19" s="437"/>
      <c r="L19" s="437"/>
      <c r="M19" s="437"/>
      <c r="N19" s="437"/>
      <c r="O19" s="437"/>
      <c r="P19" s="437"/>
      <c r="Q19" s="437"/>
      <c r="R19" s="437">
        <v>0</v>
      </c>
      <c r="S19" s="437"/>
      <c r="T19" s="255"/>
      <c r="U19" s="255"/>
      <c r="V19" s="243">
        <f t="shared" si="0"/>
        <v>0</v>
      </c>
    </row>
    <row r="20" spans="1:22" s="144" customFormat="1">
      <c r="A20" s="145">
        <v>14</v>
      </c>
      <c r="B20" s="143" t="s">
        <v>249</v>
      </c>
      <c r="C20" s="439"/>
      <c r="D20" s="437">
        <v>0</v>
      </c>
      <c r="E20" s="437"/>
      <c r="F20" s="437"/>
      <c r="G20" s="437"/>
      <c r="H20" s="437"/>
      <c r="I20" s="437"/>
      <c r="J20" s="437"/>
      <c r="K20" s="437"/>
      <c r="L20" s="437"/>
      <c r="M20" s="437"/>
      <c r="N20" s="437"/>
      <c r="O20" s="437"/>
      <c r="P20" s="437"/>
      <c r="Q20" s="437"/>
      <c r="R20" s="437">
        <v>0</v>
      </c>
      <c r="S20" s="437"/>
      <c r="T20" s="255"/>
      <c r="U20" s="255"/>
      <c r="V20" s="243">
        <f t="shared" si="0"/>
        <v>0</v>
      </c>
    </row>
    <row r="21" spans="1:22" ht="13.5" thickBot="1">
      <c r="A21" s="92"/>
      <c r="B21" s="93" t="s">
        <v>68</v>
      </c>
      <c r="C21" s="244">
        <f>SUM(C7:C20)</f>
        <v>0</v>
      </c>
      <c r="D21" s="242">
        <f t="shared" ref="D21:V21" si="1">SUM(D7:D20)</f>
        <v>186756112.454</v>
      </c>
      <c r="E21" s="242">
        <f t="shared" si="1"/>
        <v>0</v>
      </c>
      <c r="F21" s="242">
        <f t="shared" si="1"/>
        <v>0</v>
      </c>
      <c r="G21" s="242">
        <f t="shared" si="1"/>
        <v>0</v>
      </c>
      <c r="H21" s="242">
        <f t="shared" si="1"/>
        <v>0</v>
      </c>
      <c r="I21" s="242">
        <f t="shared" si="1"/>
        <v>0</v>
      </c>
      <c r="J21" s="242">
        <f t="shared" si="1"/>
        <v>0</v>
      </c>
      <c r="K21" s="242">
        <f t="shared" si="1"/>
        <v>0</v>
      </c>
      <c r="L21" s="245">
        <f t="shared" si="1"/>
        <v>0</v>
      </c>
      <c r="M21" s="244">
        <f t="shared" si="1"/>
        <v>8160179.2771000005</v>
      </c>
      <c r="N21" s="242">
        <f t="shared" si="1"/>
        <v>0</v>
      </c>
      <c r="O21" s="242">
        <f t="shared" si="1"/>
        <v>17583196.980599999</v>
      </c>
      <c r="P21" s="242">
        <f t="shared" si="1"/>
        <v>0</v>
      </c>
      <c r="Q21" s="242">
        <f t="shared" si="1"/>
        <v>0</v>
      </c>
      <c r="R21" s="242">
        <f t="shared" si="1"/>
        <v>214000100.54710001</v>
      </c>
      <c r="S21" s="245">
        <f t="shared" si="1"/>
        <v>0</v>
      </c>
      <c r="T21" s="245">
        <f>SUM(T7:T20)</f>
        <v>0</v>
      </c>
      <c r="U21" s="245">
        <f t="shared" si="1"/>
        <v>0</v>
      </c>
      <c r="V21" s="246">
        <f t="shared" si="1"/>
        <v>426499589.25879997</v>
      </c>
    </row>
    <row r="23" spans="1:22">
      <c r="V23" s="558">
        <v>0</v>
      </c>
    </row>
    <row r="24" spans="1:22">
      <c r="A24" s="15"/>
      <c r="B24" s="15"/>
      <c r="C24" s="68"/>
      <c r="D24" s="68"/>
      <c r="E24" s="68"/>
    </row>
    <row r="25" spans="1:22">
      <c r="A25" s="85"/>
      <c r="B25" s="85"/>
      <c r="C25" s="15"/>
      <c r="D25" s="68"/>
      <c r="E25" s="68"/>
    </row>
    <row r="26" spans="1:22">
      <c r="A26" s="85"/>
      <c r="B26" s="86"/>
      <c r="C26" s="15"/>
      <c r="D26" s="68"/>
      <c r="E26" s="68"/>
    </row>
    <row r="27" spans="1:22">
      <c r="A27" s="85"/>
      <c r="B27" s="85"/>
      <c r="C27" s="15"/>
      <c r="D27" s="68"/>
      <c r="E27" s="68"/>
    </row>
    <row r="28" spans="1:22">
      <c r="A28" s="85"/>
      <c r="B28" s="86"/>
      <c r="C28" s="15"/>
      <c r="D28" s="68"/>
      <c r="E28" s="6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B47" sqref="B47"/>
      <selection pane="topRight" activeCell="B47" sqref="B47"/>
      <selection pane="bottomLeft" activeCell="B47" sqref="B47"/>
      <selection pane="bottomRight" activeCell="B47" sqref="B47"/>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188</v>
      </c>
      <c r="B1" s="290" t="str">
        <f>Info!C2</f>
        <v>სს ”საქართველოს ბანკი”</v>
      </c>
    </row>
    <row r="2" spans="1:9">
      <c r="A2" s="1" t="s">
        <v>189</v>
      </c>
      <c r="B2" s="407">
        <f>'1. key ratios'!B2</f>
        <v>44286</v>
      </c>
    </row>
    <row r="4" spans="1:9" ht="13.5" thickBot="1">
      <c r="A4" s="1" t="s">
        <v>416</v>
      </c>
      <c r="B4" s="258" t="s">
        <v>459</v>
      </c>
    </row>
    <row r="5" spans="1:9">
      <c r="A5" s="90"/>
      <c r="B5" s="141"/>
      <c r="C5" s="147" t="s">
        <v>0</v>
      </c>
      <c r="D5" s="147" t="s">
        <v>1</v>
      </c>
      <c r="E5" s="147" t="s">
        <v>2</v>
      </c>
      <c r="F5" s="147" t="s">
        <v>3</v>
      </c>
      <c r="G5" s="254" t="s">
        <v>4</v>
      </c>
      <c r="H5" s="148" t="s">
        <v>5</v>
      </c>
      <c r="I5" s="21"/>
    </row>
    <row r="6" spans="1:9" ht="15" customHeight="1">
      <c r="A6" s="140"/>
      <c r="B6" s="19"/>
      <c r="C6" s="605" t="s">
        <v>451</v>
      </c>
      <c r="D6" s="609" t="s">
        <v>472</v>
      </c>
      <c r="E6" s="610"/>
      <c r="F6" s="605" t="s">
        <v>478</v>
      </c>
      <c r="G6" s="605" t="s">
        <v>479</v>
      </c>
      <c r="H6" s="607" t="s">
        <v>453</v>
      </c>
      <c r="I6" s="21"/>
    </row>
    <row r="7" spans="1:9" ht="76.5">
      <c r="A7" s="140"/>
      <c r="B7" s="19"/>
      <c r="C7" s="606"/>
      <c r="D7" s="257" t="s">
        <v>454</v>
      </c>
      <c r="E7" s="257" t="s">
        <v>452</v>
      </c>
      <c r="F7" s="606"/>
      <c r="G7" s="606"/>
      <c r="H7" s="608"/>
      <c r="I7" s="21"/>
    </row>
    <row r="8" spans="1:9">
      <c r="A8" s="81">
        <v>1</v>
      </c>
      <c r="B8" s="70" t="s">
        <v>216</v>
      </c>
      <c r="C8" s="440">
        <v>3490483389.96</v>
      </c>
      <c r="D8" s="440"/>
      <c r="E8" s="440"/>
      <c r="F8" s="440">
        <f>'11. CRWA'!S8</f>
        <v>2135947460.3400002</v>
      </c>
      <c r="G8" s="564">
        <f>F8</f>
        <v>2135947460.3400002</v>
      </c>
      <c r="H8" s="263">
        <f>G8/(C8+E8)</f>
        <v>0.61193457229558035</v>
      </c>
    </row>
    <row r="9" spans="1:9" ht="15" customHeight="1">
      <c r="A9" s="81">
        <v>2</v>
      </c>
      <c r="B9" s="70" t="s">
        <v>217</v>
      </c>
      <c r="C9" s="440">
        <v>0</v>
      </c>
      <c r="D9" s="440"/>
      <c r="E9" s="440"/>
      <c r="F9" s="440"/>
      <c r="G9" s="564">
        <f t="shared" ref="G9:G20" si="0">F9</f>
        <v>0</v>
      </c>
      <c r="H9" s="263" t="e">
        <f t="shared" ref="H9:H21" si="1">G9/(C9+E9)</f>
        <v>#DIV/0!</v>
      </c>
    </row>
    <row r="10" spans="1:9">
      <c r="A10" s="81">
        <v>3</v>
      </c>
      <c r="B10" s="70" t="s">
        <v>218</v>
      </c>
      <c r="C10" s="440"/>
      <c r="D10" s="440"/>
      <c r="E10" s="440"/>
      <c r="F10" s="440"/>
      <c r="G10" s="564">
        <f t="shared" si="0"/>
        <v>0</v>
      </c>
      <c r="H10" s="263" t="e">
        <f t="shared" si="1"/>
        <v>#DIV/0!</v>
      </c>
    </row>
    <row r="11" spans="1:9">
      <c r="A11" s="81">
        <v>4</v>
      </c>
      <c r="B11" s="70" t="s">
        <v>219</v>
      </c>
      <c r="C11" s="440">
        <v>878536811.5</v>
      </c>
      <c r="D11" s="440"/>
      <c r="E11" s="440"/>
      <c r="F11" s="440">
        <f>'11. CRWA'!S11</f>
        <v>63250973.405000001</v>
      </c>
      <c r="G11" s="564">
        <f>F11</f>
        <v>63250973.405000001</v>
      </c>
      <c r="H11" s="263">
        <f t="shared" si="1"/>
        <v>7.1995814605658098E-2</v>
      </c>
    </row>
    <row r="12" spans="1:9">
      <c r="A12" s="81">
        <v>5</v>
      </c>
      <c r="B12" s="70" t="s">
        <v>220</v>
      </c>
      <c r="C12" s="440">
        <v>0</v>
      </c>
      <c r="D12" s="440"/>
      <c r="E12" s="440"/>
      <c r="F12" s="440">
        <v>0</v>
      </c>
      <c r="G12" s="564">
        <f t="shared" si="0"/>
        <v>0</v>
      </c>
      <c r="H12" s="263" t="e">
        <f t="shared" si="1"/>
        <v>#DIV/0!</v>
      </c>
    </row>
    <row r="13" spans="1:9">
      <c r="A13" s="81">
        <v>6</v>
      </c>
      <c r="B13" s="70" t="s">
        <v>221</v>
      </c>
      <c r="C13" s="440">
        <v>1774707584.477</v>
      </c>
      <c r="D13" s="440"/>
      <c r="E13" s="440"/>
      <c r="F13" s="440">
        <v>379369780.63240004</v>
      </c>
      <c r="G13" s="564">
        <f t="shared" si="0"/>
        <v>379369780.63240004</v>
      </c>
      <c r="H13" s="263">
        <f t="shared" si="1"/>
        <v>0.21376466971272845</v>
      </c>
    </row>
    <row r="14" spans="1:9">
      <c r="A14" s="81">
        <v>7</v>
      </c>
      <c r="B14" s="70" t="s">
        <v>73</v>
      </c>
      <c r="C14" s="440">
        <v>5390600100.9506006</v>
      </c>
      <c r="D14" s="440">
        <v>1982949627.561775</v>
      </c>
      <c r="E14" s="440">
        <v>856080556.40144992</v>
      </c>
      <c r="F14" s="440">
        <f>'11. CRWA'!S14</f>
        <v>6308348298.5818005</v>
      </c>
      <c r="G14" s="564">
        <v>5925440782.1542997</v>
      </c>
      <c r="H14" s="263">
        <f>G14/(C14+E14)</f>
        <v>0.94857430804956122</v>
      </c>
    </row>
    <row r="15" spans="1:9">
      <c r="A15" s="81">
        <v>8</v>
      </c>
      <c r="B15" s="70" t="s">
        <v>74</v>
      </c>
      <c r="C15" s="440">
        <v>3648222680.4306002</v>
      </c>
      <c r="D15" s="440">
        <v>222297843.546325</v>
      </c>
      <c r="E15" s="440">
        <v>108758079.43505</v>
      </c>
      <c r="F15" s="440">
        <f>'11. CRWA'!S15</f>
        <v>2817735569.8992376</v>
      </c>
      <c r="G15" s="564">
        <v>2776930001.5448375</v>
      </c>
      <c r="H15" s="263">
        <f t="shared" si="1"/>
        <v>0.73913873374324668</v>
      </c>
    </row>
    <row r="16" spans="1:9">
      <c r="A16" s="81">
        <v>9</v>
      </c>
      <c r="B16" s="70" t="s">
        <v>75</v>
      </c>
      <c r="C16" s="440">
        <v>3288753308.3772001</v>
      </c>
      <c r="D16" s="440"/>
      <c r="E16" s="440"/>
      <c r="F16" s="440">
        <f>'11. CRWA'!S16</f>
        <v>1151063657.9320199</v>
      </c>
      <c r="G16" s="564">
        <v>1150229292.2987199</v>
      </c>
      <c r="H16" s="263">
        <f t="shared" si="1"/>
        <v>0.3497462972880408</v>
      </c>
    </row>
    <row r="17" spans="1:8">
      <c r="A17" s="81">
        <v>10</v>
      </c>
      <c r="B17" s="70" t="s">
        <v>69</v>
      </c>
      <c r="C17" s="440">
        <v>109940519.94490001</v>
      </c>
      <c r="D17" s="440"/>
      <c r="E17" s="440"/>
      <c r="F17" s="440">
        <f>'11. CRWA'!S17</f>
        <v>103421284.0844</v>
      </c>
      <c r="G17" s="564">
        <v>103371200.51549999</v>
      </c>
      <c r="H17" s="263">
        <f t="shared" si="1"/>
        <v>0.94024660395737236</v>
      </c>
    </row>
    <row r="18" spans="1:8">
      <c r="A18" s="81">
        <v>11</v>
      </c>
      <c r="B18" s="70" t="s">
        <v>70</v>
      </c>
      <c r="C18" s="440">
        <v>1073359680.0071001</v>
      </c>
      <c r="D18" s="440"/>
      <c r="E18" s="440"/>
      <c r="F18" s="440">
        <f>'11. CRWA'!S18</f>
        <v>1264327033.67205</v>
      </c>
      <c r="G18" s="564">
        <v>1262424978.3973501</v>
      </c>
      <c r="H18" s="263">
        <f t="shared" si="1"/>
        <v>1.1761434698096722</v>
      </c>
    </row>
    <row r="19" spans="1:8">
      <c r="A19" s="81">
        <v>12</v>
      </c>
      <c r="B19" s="70" t="s">
        <v>71</v>
      </c>
      <c r="C19" s="440">
        <v>0</v>
      </c>
      <c r="D19" s="440"/>
      <c r="E19" s="440"/>
      <c r="F19" s="440"/>
      <c r="G19" s="564">
        <f t="shared" si="0"/>
        <v>0</v>
      </c>
      <c r="H19" s="263" t="e">
        <f t="shared" si="1"/>
        <v>#DIV/0!</v>
      </c>
    </row>
    <row r="20" spans="1:8">
      <c r="A20" s="81">
        <v>13</v>
      </c>
      <c r="B20" s="70" t="s">
        <v>72</v>
      </c>
      <c r="C20" s="440">
        <v>0</v>
      </c>
      <c r="D20" s="440"/>
      <c r="E20" s="440"/>
      <c r="F20" s="440"/>
      <c r="G20" s="564">
        <f t="shared" si="0"/>
        <v>0</v>
      </c>
      <c r="H20" s="263" t="e">
        <f t="shared" si="1"/>
        <v>#DIV/0!</v>
      </c>
    </row>
    <row r="21" spans="1:8">
      <c r="A21" s="81">
        <v>14</v>
      </c>
      <c r="B21" s="70" t="s">
        <v>249</v>
      </c>
      <c r="C21" s="440">
        <v>1356752810.3850002</v>
      </c>
      <c r="D21" s="440"/>
      <c r="E21" s="440"/>
      <c r="F21" s="440">
        <f>'11. CRWA'!S21</f>
        <v>944004841.43900013</v>
      </c>
      <c r="G21" s="564">
        <f>F21</f>
        <v>944004841.43900013</v>
      </c>
      <c r="H21" s="263">
        <f t="shared" si="1"/>
        <v>0.69578248463043446</v>
      </c>
    </row>
    <row r="22" spans="1:8" ht="13.5" thickBot="1">
      <c r="A22" s="142"/>
      <c r="B22" s="149" t="s">
        <v>68</v>
      </c>
      <c r="C22" s="242">
        <f>SUM(C8:C21)</f>
        <v>21011356886.032402</v>
      </c>
      <c r="D22" s="242">
        <f>SUM(D8:D21)</f>
        <v>2205247471.1080999</v>
      </c>
      <c r="E22" s="242">
        <f>SUM(E8:E21)</f>
        <v>964838635.83649993</v>
      </c>
      <c r="F22" s="242">
        <f>SUM(F8:F21)</f>
        <v>15167468899.985912</v>
      </c>
      <c r="G22" s="242">
        <f>SUM(G8:G21)</f>
        <v>14740969310.727108</v>
      </c>
      <c r="H22" s="264">
        <f>G22/(C22+E22)</f>
        <v>0.67076984713109733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activeCell="B47" sqref="B47"/>
      <selection pane="topRight" activeCell="B47" sqref="B47"/>
      <selection pane="bottomLeft" activeCell="B47" sqref="B47"/>
      <selection pane="bottomRight" activeCell="B47" sqref="B47"/>
    </sheetView>
  </sheetViews>
  <sheetFormatPr defaultColWidth="9.140625" defaultRowHeight="12.75"/>
  <cols>
    <col min="1" max="1" width="10.5703125" style="290" bestFit="1" customWidth="1"/>
    <col min="2" max="2" width="104.140625" style="290" customWidth="1"/>
    <col min="3" max="11" width="15.7109375" style="290" customWidth="1"/>
    <col min="12" max="16384" width="9.140625" style="290"/>
  </cols>
  <sheetData>
    <row r="1" spans="1:11">
      <c r="A1" s="290" t="s">
        <v>188</v>
      </c>
      <c r="B1" s="290" t="str">
        <f>Info!C2</f>
        <v>სს ”საქართველოს ბანკი”</v>
      </c>
    </row>
    <row r="2" spans="1:11">
      <c r="A2" s="290" t="s">
        <v>189</v>
      </c>
      <c r="B2" s="407">
        <f>'1. key ratios'!B2</f>
        <v>44286</v>
      </c>
      <c r="C2" s="291"/>
      <c r="D2" s="291"/>
    </row>
    <row r="3" spans="1:11">
      <c r="B3" s="291"/>
      <c r="C3" s="291"/>
      <c r="D3" s="291"/>
    </row>
    <row r="4" spans="1:11" ht="13.5" thickBot="1">
      <c r="A4" s="290" t="s">
        <v>521</v>
      </c>
      <c r="B4" s="258" t="s">
        <v>520</v>
      </c>
      <c r="C4" s="291"/>
      <c r="D4" s="291"/>
    </row>
    <row r="5" spans="1:11" ht="30" customHeight="1">
      <c r="A5" s="614"/>
      <c r="B5" s="615"/>
      <c r="C5" s="612" t="s">
        <v>553</v>
      </c>
      <c r="D5" s="612"/>
      <c r="E5" s="612"/>
      <c r="F5" s="612" t="s">
        <v>554</v>
      </c>
      <c r="G5" s="612"/>
      <c r="H5" s="612"/>
      <c r="I5" s="612" t="s">
        <v>555</v>
      </c>
      <c r="J5" s="612"/>
      <c r="K5" s="613"/>
    </row>
    <row r="6" spans="1:11">
      <c r="A6" s="288"/>
      <c r="B6" s="289"/>
      <c r="C6" s="292" t="s">
        <v>27</v>
      </c>
      <c r="D6" s="292" t="s">
        <v>96</v>
      </c>
      <c r="E6" s="292" t="s">
        <v>68</v>
      </c>
      <c r="F6" s="292" t="s">
        <v>27</v>
      </c>
      <c r="G6" s="292" t="s">
        <v>96</v>
      </c>
      <c r="H6" s="292" t="s">
        <v>68</v>
      </c>
      <c r="I6" s="292" t="s">
        <v>27</v>
      </c>
      <c r="J6" s="292" t="s">
        <v>96</v>
      </c>
      <c r="K6" s="294" t="s">
        <v>68</v>
      </c>
    </row>
    <row r="7" spans="1:11">
      <c r="A7" s="295" t="s">
        <v>491</v>
      </c>
      <c r="B7" s="287"/>
      <c r="C7" s="287"/>
      <c r="D7" s="287"/>
      <c r="E7" s="287"/>
      <c r="F7" s="287"/>
      <c r="G7" s="287"/>
      <c r="H7" s="287"/>
      <c r="I7" s="287"/>
      <c r="J7" s="287"/>
      <c r="K7" s="296"/>
    </row>
    <row r="8" spans="1:11">
      <c r="A8" s="286">
        <v>1</v>
      </c>
      <c r="B8" s="271" t="s">
        <v>491</v>
      </c>
      <c r="C8" s="270"/>
      <c r="D8" s="270"/>
      <c r="E8" s="270"/>
      <c r="F8" s="488">
        <v>1153963965.9351683</v>
      </c>
      <c r="G8" s="488">
        <v>3820465881.0881834</v>
      </c>
      <c r="H8" s="488">
        <v>4974429847.0233536</v>
      </c>
      <c r="I8" s="488">
        <v>1153730632.601835</v>
      </c>
      <c r="J8" s="488">
        <v>2488944344.3076282</v>
      </c>
      <c r="K8" s="489">
        <v>3642674976.9094644</v>
      </c>
    </row>
    <row r="9" spans="1:11">
      <c r="A9" s="295" t="s">
        <v>492</v>
      </c>
      <c r="B9" s="287"/>
      <c r="C9" s="287"/>
      <c r="D9" s="287"/>
      <c r="E9" s="287"/>
      <c r="F9" s="490"/>
      <c r="G9" s="490"/>
      <c r="H9" s="490"/>
      <c r="I9" s="490"/>
      <c r="J9" s="490"/>
      <c r="K9" s="491"/>
    </row>
    <row r="10" spans="1:11">
      <c r="A10" s="297">
        <v>2</v>
      </c>
      <c r="B10" s="272" t="s">
        <v>493</v>
      </c>
      <c r="C10" s="410">
        <v>1670749500.8213115</v>
      </c>
      <c r="D10" s="492">
        <v>4586287491.1993818</v>
      </c>
      <c r="E10" s="492">
        <v>6184747208.9360695</v>
      </c>
      <c r="F10" s="492">
        <v>315493868.59587127</v>
      </c>
      <c r="G10" s="492">
        <v>1001690539.0600139</v>
      </c>
      <c r="H10" s="492">
        <v>1303723058.2151523</v>
      </c>
      <c r="I10" s="492">
        <v>90327993.11793226</v>
      </c>
      <c r="J10" s="492">
        <v>285729824.35123008</v>
      </c>
      <c r="K10" s="493">
        <v>372192801.07508659</v>
      </c>
    </row>
    <row r="11" spans="1:11">
      <c r="A11" s="297">
        <v>3</v>
      </c>
      <c r="B11" s="272" t="s">
        <v>494</v>
      </c>
      <c r="C11" s="410">
        <v>3409863545.1532397</v>
      </c>
      <c r="D11" s="492">
        <v>6796307544.9503908</v>
      </c>
      <c r="E11" s="492">
        <v>10052659679.297075</v>
      </c>
      <c r="F11" s="492">
        <v>1171902932.9244545</v>
      </c>
      <c r="G11" s="492">
        <v>2037376747.7918916</v>
      </c>
      <c r="H11" s="492">
        <v>3209279680.7163467</v>
      </c>
      <c r="I11" s="492">
        <v>904296671.58961034</v>
      </c>
      <c r="J11" s="492">
        <v>1171468742.8586767</v>
      </c>
      <c r="K11" s="493">
        <v>2075765414.448287</v>
      </c>
    </row>
    <row r="12" spans="1:11">
      <c r="A12" s="297">
        <v>4</v>
      </c>
      <c r="B12" s="272" t="s">
        <v>495</v>
      </c>
      <c r="C12" s="410">
        <v>2096647530.8613348</v>
      </c>
      <c r="D12" s="492">
        <v>42344444.444444448</v>
      </c>
      <c r="E12" s="492">
        <v>2054303086.4168904</v>
      </c>
      <c r="F12" s="492">
        <v>0</v>
      </c>
      <c r="G12" s="492">
        <v>0</v>
      </c>
      <c r="H12" s="492">
        <v>0</v>
      </c>
      <c r="I12" s="492">
        <v>0</v>
      </c>
      <c r="J12" s="492">
        <v>0</v>
      </c>
      <c r="K12" s="493">
        <v>0</v>
      </c>
    </row>
    <row r="13" spans="1:11">
      <c r="A13" s="297">
        <v>5</v>
      </c>
      <c r="B13" s="272" t="s">
        <v>496</v>
      </c>
      <c r="C13" s="410">
        <v>1102280132.8670783</v>
      </c>
      <c r="D13" s="492">
        <v>1133548854.6177888</v>
      </c>
      <c r="E13" s="492">
        <v>2187871191.207757</v>
      </c>
      <c r="F13" s="492">
        <v>170074458.34841892</v>
      </c>
      <c r="G13" s="492">
        <v>163183546.14636037</v>
      </c>
      <c r="H13" s="492">
        <v>333258004.49477917</v>
      </c>
      <c r="I13" s="492">
        <v>64517452.698033363</v>
      </c>
      <c r="J13" s="492">
        <v>69112236.892557293</v>
      </c>
      <c r="K13" s="493">
        <v>133629689.59059073</v>
      </c>
    </row>
    <row r="14" spans="1:11">
      <c r="A14" s="297">
        <v>6</v>
      </c>
      <c r="B14" s="272" t="s">
        <v>511</v>
      </c>
      <c r="C14" s="410"/>
      <c r="D14" s="492"/>
      <c r="E14" s="492"/>
      <c r="F14" s="492"/>
      <c r="G14" s="492"/>
      <c r="H14" s="492"/>
      <c r="I14" s="492"/>
      <c r="J14" s="492"/>
      <c r="K14" s="493"/>
    </row>
    <row r="15" spans="1:11">
      <c r="A15" s="297">
        <v>7</v>
      </c>
      <c r="B15" s="272" t="s">
        <v>498</v>
      </c>
      <c r="C15" s="410">
        <v>72921215.738586679</v>
      </c>
      <c r="D15" s="492">
        <v>133021399.44905445</v>
      </c>
      <c r="E15" s="492">
        <v>202807157.22892991</v>
      </c>
      <c r="F15" s="492">
        <v>69549182.508920014</v>
      </c>
      <c r="G15" s="492">
        <v>134825703.69936556</v>
      </c>
      <c r="H15" s="492">
        <v>204374886.20828545</v>
      </c>
      <c r="I15" s="492">
        <v>69549182.508920014</v>
      </c>
      <c r="J15" s="492">
        <v>134825703.69936556</v>
      </c>
      <c r="K15" s="493">
        <v>204374886.20828545</v>
      </c>
    </row>
    <row r="16" spans="1:11">
      <c r="A16" s="297">
        <v>8</v>
      </c>
      <c r="B16" s="273" t="s">
        <v>499</v>
      </c>
      <c r="C16" s="410">
        <v>6681712424.6202393</v>
      </c>
      <c r="D16" s="492">
        <v>8105222243.4616795</v>
      </c>
      <c r="E16" s="492">
        <v>14497641114.150654</v>
      </c>
      <c r="F16" s="492">
        <v>1411526573.7817934</v>
      </c>
      <c r="G16" s="492">
        <v>2335385997.6376176</v>
      </c>
      <c r="H16" s="492">
        <v>3746912571.4194112</v>
      </c>
      <c r="I16" s="492">
        <v>1038363306.7965636</v>
      </c>
      <c r="J16" s="492">
        <v>1375406683.4505997</v>
      </c>
      <c r="K16" s="493">
        <v>2413769990.2471633</v>
      </c>
    </row>
    <row r="17" spans="1:11">
      <c r="A17" s="295" t="s">
        <v>500</v>
      </c>
      <c r="B17" s="287"/>
      <c r="C17" s="490"/>
      <c r="D17" s="490"/>
      <c r="E17" s="490"/>
      <c r="F17" s="490"/>
      <c r="G17" s="490"/>
      <c r="H17" s="490"/>
      <c r="I17" s="490"/>
      <c r="J17" s="490"/>
      <c r="K17" s="491"/>
    </row>
    <row r="18" spans="1:11">
      <c r="A18" s="297">
        <v>9</v>
      </c>
      <c r="B18" s="272" t="s">
        <v>501</v>
      </c>
      <c r="C18" s="410"/>
      <c r="D18" s="492"/>
      <c r="E18" s="492"/>
      <c r="F18" s="492"/>
      <c r="G18" s="492"/>
      <c r="H18" s="492"/>
      <c r="I18" s="492"/>
      <c r="J18" s="492"/>
      <c r="K18" s="493"/>
    </row>
    <row r="19" spans="1:11">
      <c r="A19" s="297">
        <v>10</v>
      </c>
      <c r="B19" s="272" t="s">
        <v>502</v>
      </c>
      <c r="C19" s="410">
        <v>291103132.64161438</v>
      </c>
      <c r="D19" s="492">
        <v>229436108.81212664</v>
      </c>
      <c r="E19" s="492">
        <v>507529923.35840768</v>
      </c>
      <c r="F19" s="492">
        <v>143320347.99816662</v>
      </c>
      <c r="G19" s="492">
        <v>113965698.79503827</v>
      </c>
      <c r="H19" s="492">
        <v>257286046.79320487</v>
      </c>
      <c r="I19" s="492">
        <v>143645479.73394445</v>
      </c>
      <c r="J19" s="492">
        <v>1454211564.5719266</v>
      </c>
      <c r="K19" s="493">
        <v>1597857044.3058712</v>
      </c>
    </row>
    <row r="20" spans="1:11">
      <c r="A20" s="297">
        <v>11</v>
      </c>
      <c r="B20" s="272" t="s">
        <v>503</v>
      </c>
      <c r="C20" s="410">
        <v>5163974.9090188881</v>
      </c>
      <c r="D20" s="492">
        <v>103285.03533333333</v>
      </c>
      <c r="E20" s="492">
        <v>5060689.8736855546</v>
      </c>
      <c r="F20" s="492">
        <v>5163974.9090188881</v>
      </c>
      <c r="G20" s="492">
        <v>0</v>
      </c>
      <c r="H20" s="492">
        <v>5163974.9090188881</v>
      </c>
      <c r="I20" s="492">
        <v>5163974.9090188881</v>
      </c>
      <c r="J20" s="492">
        <v>0</v>
      </c>
      <c r="K20" s="493">
        <v>5163974.9090188881</v>
      </c>
    </row>
    <row r="21" spans="1:11" ht="13.5" thickBot="1">
      <c r="A21" s="199">
        <v>12</v>
      </c>
      <c r="B21" s="298" t="s">
        <v>504</v>
      </c>
      <c r="C21" s="494">
        <v>296267107.55063325</v>
      </c>
      <c r="D21" s="495">
        <v>229539393.84745997</v>
      </c>
      <c r="E21" s="494">
        <v>512590613.23209321</v>
      </c>
      <c r="F21" s="495">
        <v>148484322.90718549</v>
      </c>
      <c r="G21" s="495">
        <v>113965698.79503827</v>
      </c>
      <c r="H21" s="495">
        <v>262450021.70222375</v>
      </c>
      <c r="I21" s="495">
        <v>148809454.64296332</v>
      </c>
      <c r="J21" s="495">
        <v>1454211564.5719266</v>
      </c>
      <c r="K21" s="496">
        <v>1603021019.2148902</v>
      </c>
    </row>
    <row r="22" spans="1:11" ht="38.25" customHeight="1" thickBot="1">
      <c r="A22" s="284"/>
      <c r="B22" s="285"/>
      <c r="C22" s="285"/>
      <c r="D22" s="285"/>
      <c r="E22" s="285"/>
      <c r="F22" s="611" t="s">
        <v>505</v>
      </c>
      <c r="G22" s="612"/>
      <c r="H22" s="612"/>
      <c r="I22" s="611" t="s">
        <v>506</v>
      </c>
      <c r="J22" s="612"/>
      <c r="K22" s="613"/>
    </row>
    <row r="23" spans="1:11">
      <c r="A23" s="277">
        <v>13</v>
      </c>
      <c r="B23" s="274" t="s">
        <v>491</v>
      </c>
      <c r="C23" s="283"/>
      <c r="D23" s="283"/>
      <c r="E23" s="283"/>
      <c r="F23" s="497">
        <v>1153963965.9351683</v>
      </c>
      <c r="G23" s="497">
        <v>3820465881.0881834</v>
      </c>
      <c r="H23" s="497">
        <v>4974429847.0233536</v>
      </c>
      <c r="I23" s="497">
        <v>1153730632.601835</v>
      </c>
      <c r="J23" s="497">
        <v>2488944344.3076282</v>
      </c>
      <c r="K23" s="498">
        <v>3642674976.9094644</v>
      </c>
    </row>
    <row r="24" spans="1:11" ht="13.5" thickBot="1">
      <c r="A24" s="278">
        <v>14</v>
      </c>
      <c r="B24" s="275" t="s">
        <v>507</v>
      </c>
      <c r="C24" s="299"/>
      <c r="D24" s="281"/>
      <c r="E24" s="282"/>
      <c r="F24" s="499">
        <v>1263042250.8746076</v>
      </c>
      <c r="G24" s="499">
        <v>2221420298.8425794</v>
      </c>
      <c r="H24" s="499">
        <v>3484462549.7171888</v>
      </c>
      <c r="I24" s="499">
        <v>889553852.15360069</v>
      </c>
      <c r="J24" s="499">
        <v>343851670.86264962</v>
      </c>
      <c r="K24" s="500">
        <v>810748971.03227317</v>
      </c>
    </row>
    <row r="25" spans="1:11" ht="13.5" thickBot="1">
      <c r="A25" s="279">
        <v>15</v>
      </c>
      <c r="B25" s="276" t="s">
        <v>508</v>
      </c>
      <c r="C25" s="280"/>
      <c r="D25" s="280"/>
      <c r="E25" s="280"/>
      <c r="F25" s="501">
        <f t="shared" ref="F25:J25" si="0">IFERROR(F23/F24,0)</f>
        <v>0.91363845123636456</v>
      </c>
      <c r="G25" s="501">
        <f t="shared" si="0"/>
        <v>1.719830273937242</v>
      </c>
      <c r="H25" s="501">
        <f t="shared" si="0"/>
        <v>1.4276031887405694</v>
      </c>
      <c r="I25" s="501">
        <f t="shared" si="0"/>
        <v>1.2969767145728897</v>
      </c>
      <c r="J25" s="501">
        <f t="shared" si="0"/>
        <v>7.2384244580327444</v>
      </c>
      <c r="K25" s="502">
        <f>IFERROR(K23/K24,0)</f>
        <v>4.492975146513583</v>
      </c>
    </row>
    <row r="28" spans="1:11" ht="38.25">
      <c r="B28" s="20"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activeCell="B47" sqref="B47"/>
      <selection pane="topRight" activeCell="B47" sqref="B47"/>
      <selection pane="bottomLeft" activeCell="B47" sqref="B47"/>
      <selection pane="bottomRight" activeCell="B47" sqref="B47"/>
    </sheetView>
  </sheetViews>
  <sheetFormatPr defaultColWidth="9.140625" defaultRowHeight="15"/>
  <cols>
    <col min="1" max="1" width="10.5703125" style="66" bestFit="1" customWidth="1"/>
    <col min="2" max="2" width="95" style="66" customWidth="1"/>
    <col min="3" max="3" width="12.5703125" style="66" bestFit="1" customWidth="1"/>
    <col min="4" max="4" width="10" style="66" bestFit="1" customWidth="1"/>
    <col min="5" max="5" width="18.28515625" style="66" bestFit="1" customWidth="1"/>
    <col min="6" max="13" width="10.7109375" style="66" customWidth="1"/>
    <col min="14" max="14" width="31" style="66" bestFit="1" customWidth="1"/>
    <col min="15" max="16384" width="9.140625" style="9"/>
  </cols>
  <sheetData>
    <row r="1" spans="1:14">
      <c r="A1" s="4" t="s">
        <v>188</v>
      </c>
      <c r="B1" s="66" t="str">
        <f>Info!C2</f>
        <v>სს ”საქართველოს ბანკი”</v>
      </c>
    </row>
    <row r="2" spans="1:14" ht="14.25" customHeight="1">
      <c r="A2" s="66" t="s">
        <v>189</v>
      </c>
      <c r="B2" s="407">
        <f>'1. key ratios'!B2</f>
        <v>44286</v>
      </c>
    </row>
    <row r="3" spans="1:14" ht="14.25" customHeight="1"/>
    <row r="4" spans="1:14" ht="15.75" thickBot="1">
      <c r="A4" s="1" t="s">
        <v>417</v>
      </c>
      <c r="B4" s="83" t="s">
        <v>77</v>
      </c>
    </row>
    <row r="5" spans="1:14" s="22" customFormat="1" ht="12.75">
      <c r="A5" s="158"/>
      <c r="B5" s="159"/>
      <c r="C5" s="160" t="s">
        <v>0</v>
      </c>
      <c r="D5" s="160" t="s">
        <v>1</v>
      </c>
      <c r="E5" s="160" t="s">
        <v>2</v>
      </c>
      <c r="F5" s="160" t="s">
        <v>3</v>
      </c>
      <c r="G5" s="160" t="s">
        <v>4</v>
      </c>
      <c r="H5" s="160" t="s">
        <v>5</v>
      </c>
      <c r="I5" s="160" t="s">
        <v>238</v>
      </c>
      <c r="J5" s="160" t="s">
        <v>239</v>
      </c>
      <c r="K5" s="160" t="s">
        <v>240</v>
      </c>
      <c r="L5" s="160" t="s">
        <v>241</v>
      </c>
      <c r="M5" s="160" t="s">
        <v>242</v>
      </c>
      <c r="N5" s="161" t="s">
        <v>243</v>
      </c>
    </row>
    <row r="6" spans="1:14" ht="45">
      <c r="A6" s="150"/>
      <c r="B6" s="95"/>
      <c r="C6" s="96" t="s">
        <v>87</v>
      </c>
      <c r="D6" s="97" t="s">
        <v>76</v>
      </c>
      <c r="E6" s="98" t="s">
        <v>86</v>
      </c>
      <c r="F6" s="99">
        <v>0</v>
      </c>
      <c r="G6" s="99">
        <v>0.2</v>
      </c>
      <c r="H6" s="99">
        <v>0.35</v>
      </c>
      <c r="I6" s="99">
        <v>0.5</v>
      </c>
      <c r="J6" s="99">
        <v>0.75</v>
      </c>
      <c r="K6" s="99">
        <v>1</v>
      </c>
      <c r="L6" s="99">
        <v>1.5</v>
      </c>
      <c r="M6" s="99">
        <v>2.5</v>
      </c>
      <c r="N6" s="151" t="s">
        <v>77</v>
      </c>
    </row>
    <row r="7" spans="1:14">
      <c r="A7" s="152">
        <v>1</v>
      </c>
      <c r="B7" s="100" t="s">
        <v>78</v>
      </c>
      <c r="C7" s="247">
        <f>SUM(C8:C13)</f>
        <v>35249208.858400002</v>
      </c>
      <c r="D7" s="95"/>
      <c r="E7" s="249">
        <f t="shared" ref="E7:M7" si="0">SUM(E8:E13)</f>
        <v>1176505.3005220001</v>
      </c>
      <c r="F7" s="247">
        <f>SUM(F8:F13)</f>
        <v>0</v>
      </c>
      <c r="G7" s="247">
        <f t="shared" si="0"/>
        <v>17343452.326786</v>
      </c>
      <c r="H7" s="247">
        <f t="shared" si="0"/>
        <v>0</v>
      </c>
      <c r="I7" s="247">
        <f t="shared" si="0"/>
        <v>37778354.58247</v>
      </c>
      <c r="J7" s="247">
        <f t="shared" si="0"/>
        <v>0</v>
      </c>
      <c r="K7" s="247">
        <f t="shared" si="0"/>
        <v>3517530.0659260005</v>
      </c>
      <c r="L7" s="247">
        <f t="shared" si="0"/>
        <v>0</v>
      </c>
      <c r="M7" s="247">
        <f t="shared" si="0"/>
        <v>0</v>
      </c>
      <c r="N7" s="153">
        <f>SUM(N8:N13)</f>
        <v>25875397.8225182</v>
      </c>
    </row>
    <row r="8" spans="1:14">
      <c r="A8" s="152">
        <v>1.1000000000000001</v>
      </c>
      <c r="B8" s="101" t="s">
        <v>79</v>
      </c>
      <c r="C8" s="441">
        <v>19638083.670000002</v>
      </c>
      <c r="D8" s="442">
        <v>0.02</v>
      </c>
      <c r="E8" s="443">
        <f>C8*D8</f>
        <v>392761.67340000003</v>
      </c>
      <c r="F8" s="441">
        <v>0</v>
      </c>
      <c r="G8" s="441">
        <v>17343452.326786</v>
      </c>
      <c r="H8" s="441">
        <v>0</v>
      </c>
      <c r="I8" s="441">
        <v>37778354.58247</v>
      </c>
      <c r="J8" s="441">
        <v>0</v>
      </c>
      <c r="K8" s="441">
        <v>2712644.7543939999</v>
      </c>
      <c r="L8" s="441">
        <v>0</v>
      </c>
      <c r="M8" s="441">
        <v>0</v>
      </c>
      <c r="N8" s="444">
        <f>SUMPRODUCT($F$6:$M$6,F8:M8)</f>
        <v>25070512.510986198</v>
      </c>
    </row>
    <row r="9" spans="1:14">
      <c r="A9" s="152">
        <v>1.2</v>
      </c>
      <c r="B9" s="101" t="s">
        <v>80</v>
      </c>
      <c r="C9" s="441">
        <v>14973651.648</v>
      </c>
      <c r="D9" s="442">
        <v>0.05</v>
      </c>
      <c r="E9" s="443">
        <f>C9*D9</f>
        <v>748682.58240000007</v>
      </c>
      <c r="F9" s="441">
        <v>0</v>
      </c>
      <c r="G9" s="441">
        <v>0</v>
      </c>
      <c r="H9" s="441">
        <v>0</v>
      </c>
      <c r="I9" s="441">
        <v>0</v>
      </c>
      <c r="J9" s="441">
        <v>0</v>
      </c>
      <c r="K9" s="441">
        <v>748682.58239999996</v>
      </c>
      <c r="L9" s="441">
        <v>0</v>
      </c>
      <c r="M9" s="441">
        <v>0</v>
      </c>
      <c r="N9" s="444">
        <f t="shared" ref="N9:N12" si="1">SUMPRODUCT($F$6:$M$6,F9:M9)</f>
        <v>748682.58239999996</v>
      </c>
    </row>
    <row r="10" spans="1:14">
      <c r="A10" s="152">
        <v>1.3</v>
      </c>
      <c r="B10" s="101" t="s">
        <v>81</v>
      </c>
      <c r="C10" s="441"/>
      <c r="D10" s="442">
        <v>0.08</v>
      </c>
      <c r="E10" s="443">
        <f>C10*D10</f>
        <v>0</v>
      </c>
      <c r="F10" s="441">
        <v>0</v>
      </c>
      <c r="G10" s="441">
        <v>0</v>
      </c>
      <c r="H10" s="441">
        <v>0</v>
      </c>
      <c r="I10" s="441">
        <v>0</v>
      </c>
      <c r="J10" s="441">
        <v>0</v>
      </c>
      <c r="K10" s="441">
        <v>48434.799864000001</v>
      </c>
      <c r="L10" s="441">
        <v>0</v>
      </c>
      <c r="M10" s="441">
        <v>0</v>
      </c>
      <c r="N10" s="444">
        <f>SUMPRODUCT($F$6:$M$6,F10:M10)</f>
        <v>48434.799864000001</v>
      </c>
    </row>
    <row r="11" spans="1:14">
      <c r="A11" s="152">
        <v>1.4</v>
      </c>
      <c r="B11" s="101" t="s">
        <v>82</v>
      </c>
      <c r="C11" s="441">
        <v>318736.77020000003</v>
      </c>
      <c r="D11" s="442">
        <v>0.11</v>
      </c>
      <c r="E11" s="443">
        <f>C11*D11</f>
        <v>35061.044722000006</v>
      </c>
      <c r="F11" s="441">
        <v>0</v>
      </c>
      <c r="G11" s="441">
        <v>0</v>
      </c>
      <c r="H11" s="441">
        <v>0</v>
      </c>
      <c r="I11" s="441">
        <v>0</v>
      </c>
      <c r="J11" s="441">
        <v>0</v>
      </c>
      <c r="K11" s="441">
        <v>7767.9292679999999</v>
      </c>
      <c r="L11" s="441">
        <v>0</v>
      </c>
      <c r="M11" s="441">
        <v>0</v>
      </c>
      <c r="N11" s="444">
        <f t="shared" si="1"/>
        <v>7767.9292679999999</v>
      </c>
    </row>
    <row r="12" spans="1:14">
      <c r="A12" s="152">
        <v>1.5</v>
      </c>
      <c r="B12" s="101" t="s">
        <v>83</v>
      </c>
      <c r="C12" s="441">
        <v>0</v>
      </c>
      <c r="D12" s="442">
        <v>0.14000000000000001</v>
      </c>
      <c r="E12" s="443">
        <f>C12*D12</f>
        <v>0</v>
      </c>
      <c r="F12" s="441">
        <v>0</v>
      </c>
      <c r="G12" s="441">
        <v>0</v>
      </c>
      <c r="H12" s="441">
        <v>0</v>
      </c>
      <c r="I12" s="441">
        <v>0</v>
      </c>
      <c r="J12" s="441">
        <v>0</v>
      </c>
      <c r="K12" s="441">
        <v>0</v>
      </c>
      <c r="L12" s="441">
        <v>0</v>
      </c>
      <c r="M12" s="441">
        <v>0</v>
      </c>
      <c r="N12" s="444">
        <f t="shared" si="1"/>
        <v>0</v>
      </c>
    </row>
    <row r="13" spans="1:14">
      <c r="A13" s="152">
        <v>1.6</v>
      </c>
      <c r="B13" s="102" t="s">
        <v>84</v>
      </c>
      <c r="C13" s="441">
        <v>318736.77020000003</v>
      </c>
      <c r="D13" s="445"/>
      <c r="E13" s="441"/>
      <c r="F13" s="441"/>
      <c r="G13" s="441"/>
      <c r="H13" s="441"/>
      <c r="I13" s="441"/>
      <c r="J13" s="441"/>
      <c r="K13" s="441"/>
      <c r="L13" s="441"/>
      <c r="M13" s="441"/>
      <c r="N13" s="444">
        <f>SUMPRODUCT($F$6:$M$6,F13:M13)</f>
        <v>0</v>
      </c>
    </row>
    <row r="14" spans="1:14">
      <c r="A14" s="152">
        <v>2</v>
      </c>
      <c r="B14" s="103" t="s">
        <v>85</v>
      </c>
      <c r="C14" s="446">
        <f>SUM(C15:C20)</f>
        <v>8188320</v>
      </c>
      <c r="D14" s="447"/>
      <c r="E14" s="443">
        <f t="shared" ref="E14:M14" si="2">SUM(E15:E20)</f>
        <v>40941.599999999999</v>
      </c>
      <c r="F14" s="441">
        <f t="shared" si="2"/>
        <v>0</v>
      </c>
      <c r="G14" s="441">
        <f t="shared" si="2"/>
        <v>0</v>
      </c>
      <c r="H14" s="441">
        <f t="shared" si="2"/>
        <v>0</v>
      </c>
      <c r="I14" s="441">
        <f t="shared" si="2"/>
        <v>40941.599999999999</v>
      </c>
      <c r="J14" s="441">
        <f t="shared" si="2"/>
        <v>0</v>
      </c>
      <c r="K14" s="441">
        <f t="shared" si="2"/>
        <v>0</v>
      </c>
      <c r="L14" s="441">
        <f t="shared" si="2"/>
        <v>0</v>
      </c>
      <c r="M14" s="441">
        <f t="shared" si="2"/>
        <v>0</v>
      </c>
      <c r="N14" s="444">
        <f>SUM(N15:N20)</f>
        <v>20470.8</v>
      </c>
    </row>
    <row r="15" spans="1:14">
      <c r="A15" s="152">
        <v>2.1</v>
      </c>
      <c r="B15" s="102" t="s">
        <v>79</v>
      </c>
      <c r="C15" s="441">
        <v>8188320</v>
      </c>
      <c r="D15" s="442">
        <v>5.0000000000000001E-3</v>
      </c>
      <c r="E15" s="443">
        <f>C15*D15</f>
        <v>40941.599999999999</v>
      </c>
      <c r="F15" s="441">
        <v>0</v>
      </c>
      <c r="G15" s="441">
        <v>0</v>
      </c>
      <c r="H15" s="441">
        <v>0</v>
      </c>
      <c r="I15" s="441">
        <v>40941.599999999999</v>
      </c>
      <c r="J15" s="441">
        <v>0</v>
      </c>
      <c r="K15" s="441">
        <v>0</v>
      </c>
      <c r="L15" s="441">
        <v>0</v>
      </c>
      <c r="M15" s="441">
        <v>0</v>
      </c>
      <c r="N15" s="444">
        <f>SUMPRODUCT($F$6:$M$6,F15:M15)</f>
        <v>20470.8</v>
      </c>
    </row>
    <row r="16" spans="1:14">
      <c r="A16" s="152">
        <v>2.2000000000000002</v>
      </c>
      <c r="B16" s="102" t="s">
        <v>80</v>
      </c>
      <c r="C16" s="441">
        <v>0</v>
      </c>
      <c r="D16" s="442">
        <v>0.01</v>
      </c>
      <c r="E16" s="443">
        <f>C16*D16</f>
        <v>0</v>
      </c>
      <c r="F16" s="441">
        <v>0</v>
      </c>
      <c r="G16" s="441">
        <v>0</v>
      </c>
      <c r="H16" s="441">
        <v>0</v>
      </c>
      <c r="I16" s="441">
        <v>0</v>
      </c>
      <c r="J16" s="441">
        <v>0</v>
      </c>
      <c r="K16" s="441">
        <v>0</v>
      </c>
      <c r="L16" s="441">
        <v>0</v>
      </c>
      <c r="M16" s="441">
        <v>0</v>
      </c>
      <c r="N16" s="444">
        <f t="shared" ref="N16:N20" si="3">SUMPRODUCT($F$6:$M$6,F16:M16)</f>
        <v>0</v>
      </c>
    </row>
    <row r="17" spans="1:14">
      <c r="A17" s="152">
        <v>2.2999999999999998</v>
      </c>
      <c r="B17" s="102" t="s">
        <v>81</v>
      </c>
      <c r="C17" s="441">
        <v>0</v>
      </c>
      <c r="D17" s="442">
        <v>0.02</v>
      </c>
      <c r="E17" s="443">
        <f>C17*D17</f>
        <v>0</v>
      </c>
      <c r="F17" s="441">
        <v>0</v>
      </c>
      <c r="G17" s="441">
        <v>0</v>
      </c>
      <c r="H17" s="441">
        <v>0</v>
      </c>
      <c r="I17" s="441">
        <v>0</v>
      </c>
      <c r="J17" s="441">
        <v>0</v>
      </c>
      <c r="K17" s="441">
        <v>0</v>
      </c>
      <c r="L17" s="441">
        <v>0</v>
      </c>
      <c r="M17" s="441">
        <v>0</v>
      </c>
      <c r="N17" s="444">
        <f t="shared" si="3"/>
        <v>0</v>
      </c>
    </row>
    <row r="18" spans="1:14">
      <c r="A18" s="152">
        <v>2.4</v>
      </c>
      <c r="B18" s="102" t="s">
        <v>82</v>
      </c>
      <c r="C18" s="441">
        <v>0</v>
      </c>
      <c r="D18" s="442">
        <v>0.03</v>
      </c>
      <c r="E18" s="443">
        <f>C18*D18</f>
        <v>0</v>
      </c>
      <c r="F18" s="441">
        <v>0</v>
      </c>
      <c r="G18" s="441">
        <v>0</v>
      </c>
      <c r="H18" s="441">
        <v>0</v>
      </c>
      <c r="I18" s="441">
        <v>0</v>
      </c>
      <c r="J18" s="441">
        <v>0</v>
      </c>
      <c r="K18" s="441">
        <v>0</v>
      </c>
      <c r="L18" s="441">
        <v>0</v>
      </c>
      <c r="M18" s="441">
        <v>0</v>
      </c>
      <c r="N18" s="444">
        <f t="shared" si="3"/>
        <v>0</v>
      </c>
    </row>
    <row r="19" spans="1:14">
      <c r="A19" s="152">
        <v>2.5</v>
      </c>
      <c r="B19" s="102" t="s">
        <v>83</v>
      </c>
      <c r="C19" s="441">
        <v>0</v>
      </c>
      <c r="D19" s="442">
        <v>0.04</v>
      </c>
      <c r="E19" s="443">
        <f>C19*D19</f>
        <v>0</v>
      </c>
      <c r="F19" s="441">
        <v>0</v>
      </c>
      <c r="G19" s="441">
        <v>0</v>
      </c>
      <c r="H19" s="441">
        <v>0</v>
      </c>
      <c r="I19" s="441">
        <v>0</v>
      </c>
      <c r="J19" s="441">
        <v>0</v>
      </c>
      <c r="K19" s="441">
        <v>0</v>
      </c>
      <c r="L19" s="441">
        <v>0</v>
      </c>
      <c r="M19" s="441">
        <v>0</v>
      </c>
      <c r="N19" s="444">
        <f t="shared" si="3"/>
        <v>0</v>
      </c>
    </row>
    <row r="20" spans="1:14">
      <c r="A20" s="152">
        <v>2.6</v>
      </c>
      <c r="B20" s="102" t="s">
        <v>84</v>
      </c>
      <c r="C20" s="441">
        <v>0</v>
      </c>
      <c r="D20" s="445"/>
      <c r="E20" s="448"/>
      <c r="F20" s="441"/>
      <c r="G20" s="441"/>
      <c r="H20" s="441"/>
      <c r="I20" s="441"/>
      <c r="J20" s="441"/>
      <c r="K20" s="441"/>
      <c r="L20" s="441"/>
      <c r="M20" s="441"/>
      <c r="N20" s="444">
        <f t="shared" si="3"/>
        <v>0</v>
      </c>
    </row>
    <row r="21" spans="1:14" ht="15.75" thickBot="1">
      <c r="A21" s="154">
        <v>3</v>
      </c>
      <c r="B21" s="155" t="s">
        <v>68</v>
      </c>
      <c r="C21" s="248">
        <f>C14+C7</f>
        <v>43437528.858400002</v>
      </c>
      <c r="D21" s="156"/>
      <c r="E21" s="250">
        <f>E14+E7</f>
        <v>1217446.9005220002</v>
      </c>
      <c r="F21" s="251">
        <f>F7+F14</f>
        <v>0</v>
      </c>
      <c r="G21" s="251">
        <f t="shared" ref="G21:L21" si="4">G7+G14</f>
        <v>17343452.326786</v>
      </c>
      <c r="H21" s="251">
        <f t="shared" si="4"/>
        <v>0</v>
      </c>
      <c r="I21" s="251">
        <f>I7+I14</f>
        <v>37819296.182470001</v>
      </c>
      <c r="J21" s="251">
        <f t="shared" si="4"/>
        <v>0</v>
      </c>
      <c r="K21" s="251">
        <f>K7+K14</f>
        <v>3517530.0659260005</v>
      </c>
      <c r="L21" s="251">
        <f t="shared" si="4"/>
        <v>0</v>
      </c>
      <c r="M21" s="251">
        <f>M7+M14</f>
        <v>0</v>
      </c>
      <c r="N21" s="157">
        <f>N14+N7</f>
        <v>25895868.6225182</v>
      </c>
    </row>
    <row r="22" spans="1:14">
      <c r="E22" s="252"/>
      <c r="F22" s="252"/>
      <c r="G22" s="252"/>
      <c r="H22" s="252"/>
      <c r="I22" s="252"/>
      <c r="J22" s="252"/>
      <c r="K22" s="252"/>
      <c r="L22" s="252"/>
      <c r="M22" s="252"/>
    </row>
  </sheetData>
  <conditionalFormatting sqref="E8:E12">
    <cfRule type="expression" dxfId="2" priority="2">
      <formula>(C8*D8)&lt;&gt;SUM(#REF!)</formula>
    </cfRule>
  </conditionalFormatting>
  <conditionalFormatting sqref="E15:E19">
    <cfRule type="expression" dxfId="1" priority="1">
      <formula>(C15*D15)&lt;&gt;SUM(#REF!)</formula>
    </cfRule>
  </conditionalFormatting>
  <conditionalFormatting sqref="E20">
    <cfRule type="expression" dxfId="0"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topLeftCell="A19" workbookViewId="0">
      <selection activeCell="B47" sqref="B47"/>
    </sheetView>
  </sheetViews>
  <sheetFormatPr defaultRowHeight="15"/>
  <cols>
    <col min="1" max="1" width="11.42578125" customWidth="1"/>
    <col min="2" max="2" width="76.85546875" style="3" customWidth="1"/>
    <col min="3" max="3" width="22.85546875" customWidth="1"/>
    <col min="4" max="4" width="14.140625" customWidth="1"/>
  </cols>
  <sheetData>
    <row r="1" spans="1:3">
      <c r="A1" s="290" t="s">
        <v>188</v>
      </c>
      <c r="B1" t="str">
        <f>Info!C2</f>
        <v>სს ”საქართველოს ბანკი”</v>
      </c>
    </row>
    <row r="2" spans="1:3">
      <c r="A2" s="290" t="s">
        <v>189</v>
      </c>
      <c r="B2" s="407">
        <f>'1. key ratios'!B2</f>
        <v>44286</v>
      </c>
    </row>
    <row r="3" spans="1:3">
      <c r="A3" s="290"/>
      <c r="B3"/>
    </row>
    <row r="4" spans="1:3">
      <c r="A4" s="290" t="s">
        <v>597</v>
      </c>
      <c r="B4" t="s">
        <v>556</v>
      </c>
    </row>
    <row r="5" spans="1:3">
      <c r="A5" s="345"/>
      <c r="B5" s="345" t="s">
        <v>557</v>
      </c>
      <c r="C5" s="357"/>
    </row>
    <row r="6" spans="1:3">
      <c r="A6" s="346">
        <v>1</v>
      </c>
      <c r="B6" s="358" t="s">
        <v>609</v>
      </c>
      <c r="C6" s="359">
        <v>21154694797.332405</v>
      </c>
    </row>
    <row r="7" spans="1:3">
      <c r="A7" s="346">
        <v>2</v>
      </c>
      <c r="B7" s="358" t="s">
        <v>558</v>
      </c>
      <c r="C7" s="359">
        <v>-194454316.54999998</v>
      </c>
    </row>
    <row r="8" spans="1:3">
      <c r="A8" s="347">
        <v>3</v>
      </c>
      <c r="B8" s="360" t="s">
        <v>559</v>
      </c>
      <c r="C8" s="361">
        <f>C6+C7</f>
        <v>20960240480.782406</v>
      </c>
    </row>
    <row r="9" spans="1:3">
      <c r="A9" s="348"/>
      <c r="B9" s="348" t="s">
        <v>560</v>
      </c>
      <c r="C9" s="362"/>
    </row>
    <row r="10" spans="1:3">
      <c r="A10" s="349">
        <v>4</v>
      </c>
      <c r="B10" s="363" t="s">
        <v>561</v>
      </c>
      <c r="C10" s="359"/>
    </row>
    <row r="11" spans="1:3">
      <c r="A11" s="349">
        <v>5</v>
      </c>
      <c r="B11" s="364" t="s">
        <v>562</v>
      </c>
      <c r="C11" s="359"/>
    </row>
    <row r="12" spans="1:3">
      <c r="A12" s="349" t="s">
        <v>563</v>
      </c>
      <c r="B12" s="358" t="s">
        <v>564</v>
      </c>
      <c r="C12" s="361">
        <v>58690549.574924007</v>
      </c>
    </row>
    <row r="13" spans="1:3">
      <c r="A13" s="350">
        <v>6</v>
      </c>
      <c r="B13" s="365" t="s">
        <v>565</v>
      </c>
      <c r="C13" s="359"/>
    </row>
    <row r="14" spans="1:3">
      <c r="A14" s="350">
        <v>7</v>
      </c>
      <c r="B14" s="366" t="s">
        <v>566</v>
      </c>
      <c r="C14" s="359"/>
    </row>
    <row r="15" spans="1:3">
      <c r="A15" s="351">
        <v>8</v>
      </c>
      <c r="B15" s="358" t="s">
        <v>567</v>
      </c>
      <c r="C15" s="359"/>
    </row>
    <row r="16" spans="1:3" ht="24">
      <c r="A16" s="350">
        <v>9</v>
      </c>
      <c r="B16" s="366" t="s">
        <v>568</v>
      </c>
      <c r="C16" s="359"/>
    </row>
    <row r="17" spans="1:3">
      <c r="A17" s="350">
        <v>10</v>
      </c>
      <c r="B17" s="366" t="s">
        <v>569</v>
      </c>
      <c r="C17" s="359"/>
    </row>
    <row r="18" spans="1:3">
      <c r="A18" s="352">
        <v>11</v>
      </c>
      <c r="B18" s="367" t="s">
        <v>570</v>
      </c>
      <c r="C18" s="361">
        <f>SUM(C10:C17)</f>
        <v>58690549.574924007</v>
      </c>
    </row>
    <row r="19" spans="1:3">
      <c r="A19" s="348"/>
      <c r="B19" s="348" t="s">
        <v>571</v>
      </c>
      <c r="C19" s="368"/>
    </row>
    <row r="20" spans="1:3">
      <c r="A20" s="350">
        <v>12</v>
      </c>
      <c r="B20" s="363" t="s">
        <v>572</v>
      </c>
      <c r="C20" s="359"/>
    </row>
    <row r="21" spans="1:3">
      <c r="A21" s="350">
        <v>13</v>
      </c>
      <c r="B21" s="363" t="s">
        <v>573</v>
      </c>
      <c r="C21" s="359"/>
    </row>
    <row r="22" spans="1:3">
      <c r="A22" s="350">
        <v>14</v>
      </c>
      <c r="B22" s="363" t="s">
        <v>574</v>
      </c>
      <c r="C22" s="359"/>
    </row>
    <row r="23" spans="1:3" ht="24">
      <c r="A23" s="350" t="s">
        <v>575</v>
      </c>
      <c r="B23" s="363" t="s">
        <v>576</v>
      </c>
      <c r="C23" s="359"/>
    </row>
    <row r="24" spans="1:3">
      <c r="A24" s="350">
        <v>15</v>
      </c>
      <c r="B24" s="363" t="s">
        <v>577</v>
      </c>
      <c r="C24" s="359"/>
    </row>
    <row r="25" spans="1:3">
      <c r="A25" s="350" t="s">
        <v>578</v>
      </c>
      <c r="B25" s="358" t="s">
        <v>579</v>
      </c>
      <c r="C25" s="359"/>
    </row>
    <row r="26" spans="1:3">
      <c r="A26" s="352">
        <v>16</v>
      </c>
      <c r="B26" s="367" t="s">
        <v>580</v>
      </c>
      <c r="C26" s="361">
        <f>SUM(C20:C25)</f>
        <v>0</v>
      </c>
    </row>
    <row r="27" spans="1:3">
      <c r="A27" s="348"/>
      <c r="B27" s="348" t="s">
        <v>581</v>
      </c>
      <c r="C27" s="362"/>
    </row>
    <row r="28" spans="1:3">
      <c r="A28" s="349">
        <v>17</v>
      </c>
      <c r="B28" s="358" t="s">
        <v>582</v>
      </c>
      <c r="C28" s="359">
        <v>2205247471.1080999</v>
      </c>
    </row>
    <row r="29" spans="1:3">
      <c r="A29" s="349">
        <v>18</v>
      </c>
      <c r="B29" s="358" t="s">
        <v>583</v>
      </c>
      <c r="C29" s="359">
        <v>-1205511235.22015</v>
      </c>
    </row>
    <row r="30" spans="1:3">
      <c r="A30" s="352">
        <v>19</v>
      </c>
      <c r="B30" s="367" t="s">
        <v>584</v>
      </c>
      <c r="C30" s="361">
        <f>C28+C29</f>
        <v>999736235.88794994</v>
      </c>
    </row>
    <row r="31" spans="1:3">
      <c r="A31" s="353"/>
      <c r="B31" s="348" t="s">
        <v>585</v>
      </c>
      <c r="C31" s="362"/>
    </row>
    <row r="32" spans="1:3">
      <c r="A32" s="349" t="s">
        <v>586</v>
      </c>
      <c r="B32" s="363" t="s">
        <v>587</v>
      </c>
      <c r="C32" s="369"/>
    </row>
    <row r="33" spans="1:3">
      <c r="A33" s="349" t="s">
        <v>588</v>
      </c>
      <c r="B33" s="364" t="s">
        <v>589</v>
      </c>
      <c r="C33" s="369"/>
    </row>
    <row r="34" spans="1:3">
      <c r="A34" s="348"/>
      <c r="B34" s="348" t="s">
        <v>590</v>
      </c>
      <c r="C34" s="362"/>
    </row>
    <row r="35" spans="1:3">
      <c r="A35" s="352">
        <v>20</v>
      </c>
      <c r="B35" s="367" t="s">
        <v>89</v>
      </c>
      <c r="C35" s="361">
        <v>2195991874.749898</v>
      </c>
    </row>
    <row r="36" spans="1:3">
      <c r="A36" s="352">
        <v>21</v>
      </c>
      <c r="B36" s="367" t="s">
        <v>591</v>
      </c>
      <c r="C36" s="361">
        <f>C8+C18+C26+C30</f>
        <v>22018667266.245281</v>
      </c>
    </row>
    <row r="37" spans="1:3">
      <c r="A37" s="354"/>
      <c r="B37" s="354" t="s">
        <v>556</v>
      </c>
      <c r="C37" s="362"/>
    </row>
    <row r="38" spans="1:3">
      <c r="A38" s="352">
        <v>22</v>
      </c>
      <c r="B38" s="367" t="s">
        <v>556</v>
      </c>
      <c r="C38" s="559">
        <f>IFERROR(C35/C36,0)</f>
        <v>9.973318767191526E-2</v>
      </c>
    </row>
    <row r="39" spans="1:3">
      <c r="A39" s="354"/>
      <c r="B39" s="354" t="s">
        <v>592</v>
      </c>
      <c r="C39" s="362"/>
    </row>
    <row r="40" spans="1:3">
      <c r="A40" s="355" t="s">
        <v>593</v>
      </c>
      <c r="B40" s="363" t="s">
        <v>594</v>
      </c>
      <c r="C40" s="369"/>
    </row>
    <row r="41" spans="1:3">
      <c r="A41" s="356" t="s">
        <v>595</v>
      </c>
      <c r="B41" s="364" t="s">
        <v>596</v>
      </c>
      <c r="C41" s="369"/>
    </row>
    <row r="43" spans="1:3">
      <c r="B43" s="378"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topLeftCell="A71" workbookViewId="0">
      <selection activeCell="C116" sqref="C116"/>
    </sheetView>
  </sheetViews>
  <sheetFormatPr defaultColWidth="43.5703125" defaultRowHeight="11.25"/>
  <cols>
    <col min="1" max="1" width="5.28515625" style="208" customWidth="1"/>
    <col min="2" max="2" width="66.140625" style="209" customWidth="1"/>
    <col min="3" max="3" width="131.42578125" style="210" customWidth="1"/>
    <col min="4" max="5" width="10.28515625" style="201" customWidth="1"/>
    <col min="6" max="16384" width="43.5703125" style="201"/>
  </cols>
  <sheetData>
    <row r="1" spans="1:3" ht="12.75" thickTop="1" thickBot="1">
      <c r="A1" s="618" t="s">
        <v>325</v>
      </c>
      <c r="B1" s="619"/>
      <c r="C1" s="620"/>
    </row>
    <row r="2" spans="1:3">
      <c r="A2" s="413"/>
      <c r="B2" s="621" t="s">
        <v>326</v>
      </c>
      <c r="C2" s="621"/>
    </row>
    <row r="3" spans="1:3" s="206" customFormat="1">
      <c r="A3" s="205"/>
      <c r="B3" s="621" t="s">
        <v>418</v>
      </c>
      <c r="C3" s="621"/>
    </row>
    <row r="4" spans="1:3" ht="12" thickBot="1">
      <c r="A4" s="622" t="s">
        <v>422</v>
      </c>
      <c r="B4" s="623"/>
      <c r="C4" s="624"/>
    </row>
    <row r="5" spans="1:3" ht="12" thickTop="1">
      <c r="A5" s="202"/>
      <c r="B5" s="625" t="s">
        <v>327</v>
      </c>
      <c r="C5" s="626"/>
    </row>
    <row r="6" spans="1:3">
      <c r="A6" s="413"/>
      <c r="B6" s="616" t="s">
        <v>419</v>
      </c>
      <c r="C6" s="617"/>
    </row>
    <row r="7" spans="1:3">
      <c r="A7" s="413"/>
      <c r="B7" s="616" t="s">
        <v>328</v>
      </c>
      <c r="C7" s="617"/>
    </row>
    <row r="8" spans="1:3">
      <c r="A8" s="413"/>
      <c r="B8" s="616" t="s">
        <v>420</v>
      </c>
      <c r="C8" s="617"/>
    </row>
    <row r="9" spans="1:3">
      <c r="A9" s="413"/>
      <c r="B9" s="629" t="s">
        <v>421</v>
      </c>
      <c r="C9" s="630"/>
    </row>
    <row r="10" spans="1:3">
      <c r="A10" s="413"/>
      <c r="B10" s="627" t="s">
        <v>329</v>
      </c>
      <c r="C10" s="628" t="s">
        <v>329</v>
      </c>
    </row>
    <row r="11" spans="1:3">
      <c r="A11" s="413"/>
      <c r="B11" s="627" t="s">
        <v>330</v>
      </c>
      <c r="C11" s="628" t="s">
        <v>330</v>
      </c>
    </row>
    <row r="12" spans="1:3">
      <c r="A12" s="413"/>
      <c r="B12" s="627" t="s">
        <v>331</v>
      </c>
      <c r="C12" s="628" t="s">
        <v>331</v>
      </c>
    </row>
    <row r="13" spans="1:3">
      <c r="A13" s="413"/>
      <c r="B13" s="627" t="s">
        <v>332</v>
      </c>
      <c r="C13" s="628" t="s">
        <v>332</v>
      </c>
    </row>
    <row r="14" spans="1:3">
      <c r="A14" s="413"/>
      <c r="B14" s="627" t="s">
        <v>333</v>
      </c>
      <c r="C14" s="628" t="s">
        <v>333</v>
      </c>
    </row>
    <row r="15" spans="1:3">
      <c r="A15" s="413"/>
      <c r="B15" s="627" t="s">
        <v>334</v>
      </c>
      <c r="C15" s="628" t="s">
        <v>334</v>
      </c>
    </row>
    <row r="16" spans="1:3">
      <c r="A16" s="413"/>
      <c r="B16" s="627" t="s">
        <v>335</v>
      </c>
      <c r="C16" s="628" t="s">
        <v>336</v>
      </c>
    </row>
    <row r="17" spans="1:3">
      <c r="A17" s="413"/>
      <c r="B17" s="627" t="s">
        <v>337</v>
      </c>
      <c r="C17" s="628" t="s">
        <v>338</v>
      </c>
    </row>
    <row r="18" spans="1:3">
      <c r="A18" s="413"/>
      <c r="B18" s="627" t="s">
        <v>339</v>
      </c>
      <c r="C18" s="628" t="s">
        <v>340</v>
      </c>
    </row>
    <row r="19" spans="1:3">
      <c r="A19" s="413"/>
      <c r="B19" s="627" t="s">
        <v>341</v>
      </c>
      <c r="C19" s="628" t="s">
        <v>341</v>
      </c>
    </row>
    <row r="20" spans="1:3">
      <c r="A20" s="413"/>
      <c r="B20" s="627" t="s">
        <v>342</v>
      </c>
      <c r="C20" s="628" t="s">
        <v>342</v>
      </c>
    </row>
    <row r="21" spans="1:3">
      <c r="A21" s="413"/>
      <c r="B21" s="627" t="s">
        <v>343</v>
      </c>
      <c r="C21" s="628" t="s">
        <v>343</v>
      </c>
    </row>
    <row r="22" spans="1:3">
      <c r="A22" s="413"/>
      <c r="B22" s="627" t="s">
        <v>344</v>
      </c>
      <c r="C22" s="628" t="s">
        <v>345</v>
      </c>
    </row>
    <row r="23" spans="1:3">
      <c r="A23" s="413"/>
      <c r="B23" s="627" t="s">
        <v>346</v>
      </c>
      <c r="C23" s="628" t="s">
        <v>346</v>
      </c>
    </row>
    <row r="24" spans="1:3">
      <c r="A24" s="413"/>
      <c r="B24" s="627" t="s">
        <v>347</v>
      </c>
      <c r="C24" s="628" t="s">
        <v>348</v>
      </c>
    </row>
    <row r="25" spans="1:3" ht="12" thickBot="1">
      <c r="A25" s="203"/>
      <c r="B25" s="633" t="s">
        <v>349</v>
      </c>
      <c r="C25" s="634"/>
    </row>
    <row r="26" spans="1:3" ht="12.75" thickTop="1" thickBot="1">
      <c r="A26" s="622" t="s">
        <v>432</v>
      </c>
      <c r="B26" s="623"/>
      <c r="C26" s="624"/>
    </row>
    <row r="27" spans="1:3" ht="12.75" thickTop="1" thickBot="1">
      <c r="A27" s="204"/>
      <c r="B27" s="635" t="s">
        <v>350</v>
      </c>
      <c r="C27" s="636"/>
    </row>
    <row r="28" spans="1:3" ht="12.75" thickTop="1" thickBot="1">
      <c r="A28" s="622" t="s">
        <v>423</v>
      </c>
      <c r="B28" s="623"/>
      <c r="C28" s="624"/>
    </row>
    <row r="29" spans="1:3" ht="12" thickTop="1">
      <c r="A29" s="202"/>
      <c r="B29" s="637" t="s">
        <v>351</v>
      </c>
      <c r="C29" s="638" t="s">
        <v>352</v>
      </c>
    </row>
    <row r="30" spans="1:3">
      <c r="A30" s="413"/>
      <c r="B30" s="631" t="s">
        <v>353</v>
      </c>
      <c r="C30" s="632" t="s">
        <v>354</v>
      </c>
    </row>
    <row r="31" spans="1:3">
      <c r="A31" s="413"/>
      <c r="B31" s="631" t="s">
        <v>355</v>
      </c>
      <c r="C31" s="632" t="s">
        <v>356</v>
      </c>
    </row>
    <row r="32" spans="1:3">
      <c r="A32" s="413"/>
      <c r="B32" s="631" t="s">
        <v>357</v>
      </c>
      <c r="C32" s="632" t="s">
        <v>358</v>
      </c>
    </row>
    <row r="33" spans="1:3">
      <c r="A33" s="413"/>
      <c r="B33" s="631" t="s">
        <v>359</v>
      </c>
      <c r="C33" s="632" t="s">
        <v>360</v>
      </c>
    </row>
    <row r="34" spans="1:3">
      <c r="A34" s="413"/>
      <c r="B34" s="631" t="s">
        <v>361</v>
      </c>
      <c r="C34" s="632" t="s">
        <v>362</v>
      </c>
    </row>
    <row r="35" spans="1:3">
      <c r="A35" s="413"/>
      <c r="B35" s="631" t="s">
        <v>363</v>
      </c>
      <c r="C35" s="632" t="s">
        <v>364</v>
      </c>
    </row>
    <row r="36" spans="1:3">
      <c r="A36" s="413"/>
      <c r="B36" s="631" t="s">
        <v>365</v>
      </c>
      <c r="C36" s="632" t="s">
        <v>366</v>
      </c>
    </row>
    <row r="37" spans="1:3">
      <c r="A37" s="413"/>
      <c r="B37" s="631" t="s">
        <v>367</v>
      </c>
      <c r="C37" s="632" t="s">
        <v>368</v>
      </c>
    </row>
    <row r="38" spans="1:3">
      <c r="A38" s="413"/>
      <c r="B38" s="631" t="s">
        <v>424</v>
      </c>
      <c r="C38" s="632" t="s">
        <v>369</v>
      </c>
    </row>
    <row r="39" spans="1:3">
      <c r="A39" s="413"/>
      <c r="B39" s="627" t="s">
        <v>439</v>
      </c>
      <c r="C39" s="628" t="s">
        <v>370</v>
      </c>
    </row>
    <row r="40" spans="1:3">
      <c r="A40" s="413"/>
      <c r="B40" s="631" t="s">
        <v>371</v>
      </c>
      <c r="C40" s="632" t="s">
        <v>372</v>
      </c>
    </row>
    <row r="41" spans="1:3" ht="12" thickBot="1">
      <c r="A41" s="203"/>
      <c r="B41" s="639" t="s">
        <v>373</v>
      </c>
      <c r="C41" s="640" t="s">
        <v>374</v>
      </c>
    </row>
    <row r="42" spans="1:3" ht="12.75" thickTop="1" thickBot="1">
      <c r="A42" s="622" t="s">
        <v>425</v>
      </c>
      <c r="B42" s="623"/>
      <c r="C42" s="624"/>
    </row>
    <row r="43" spans="1:3" ht="12" thickTop="1">
      <c r="A43" s="202"/>
      <c r="B43" s="625" t="s">
        <v>462</v>
      </c>
      <c r="C43" s="626" t="s">
        <v>375</v>
      </c>
    </row>
    <row r="44" spans="1:3">
      <c r="A44" s="413"/>
      <c r="B44" s="616" t="s">
        <v>461</v>
      </c>
      <c r="C44" s="617"/>
    </row>
    <row r="45" spans="1:3" ht="12" thickBot="1">
      <c r="A45" s="203"/>
      <c r="B45" s="641" t="s">
        <v>376</v>
      </c>
      <c r="C45" s="642" t="s">
        <v>377</v>
      </c>
    </row>
    <row r="46" spans="1:3" ht="12.75" thickTop="1" thickBot="1">
      <c r="A46" s="622" t="s">
        <v>426</v>
      </c>
      <c r="B46" s="623"/>
      <c r="C46" s="624"/>
    </row>
    <row r="47" spans="1:3" ht="12" thickTop="1">
      <c r="A47" s="413"/>
      <c r="B47" s="616" t="s">
        <v>427</v>
      </c>
      <c r="C47" s="617"/>
    </row>
    <row r="48" spans="1:3" ht="12" thickBot="1">
      <c r="A48" s="622" t="s">
        <v>428</v>
      </c>
      <c r="B48" s="623"/>
      <c r="C48" s="624"/>
    </row>
    <row r="49" spans="1:3" ht="12" thickTop="1">
      <c r="A49" s="202"/>
      <c r="B49" s="625" t="s">
        <v>378</v>
      </c>
      <c r="C49" s="626" t="s">
        <v>378</v>
      </c>
    </row>
    <row r="50" spans="1:3">
      <c r="A50" s="413"/>
      <c r="B50" s="616" t="s">
        <v>379</v>
      </c>
      <c r="C50" s="617" t="s">
        <v>379</v>
      </c>
    </row>
    <row r="51" spans="1:3">
      <c r="A51" s="413"/>
      <c r="B51" s="616" t="s">
        <v>380</v>
      </c>
      <c r="C51" s="617" t="s">
        <v>380</v>
      </c>
    </row>
    <row r="52" spans="1:3">
      <c r="A52" s="413"/>
      <c r="B52" s="616" t="s">
        <v>489</v>
      </c>
      <c r="C52" s="617" t="s">
        <v>381</v>
      </c>
    </row>
    <row r="53" spans="1:3">
      <c r="A53" s="413"/>
      <c r="B53" s="616" t="s">
        <v>382</v>
      </c>
      <c r="C53" s="617" t="s">
        <v>382</v>
      </c>
    </row>
    <row r="54" spans="1:3">
      <c r="A54" s="413"/>
      <c r="B54" s="616" t="s">
        <v>482</v>
      </c>
      <c r="C54" s="617" t="s">
        <v>383</v>
      </c>
    </row>
    <row r="55" spans="1:3" ht="12" thickBot="1">
      <c r="A55" s="622" t="s">
        <v>429</v>
      </c>
      <c r="B55" s="623"/>
      <c r="C55" s="624"/>
    </row>
    <row r="56" spans="1:3" ht="12" thickTop="1">
      <c r="A56" s="202"/>
      <c r="B56" s="625" t="s">
        <v>378</v>
      </c>
      <c r="C56" s="626" t="s">
        <v>378</v>
      </c>
    </row>
    <row r="57" spans="1:3">
      <c r="A57" s="413"/>
      <c r="B57" s="616" t="s">
        <v>384</v>
      </c>
      <c r="C57" s="617" t="s">
        <v>384</v>
      </c>
    </row>
    <row r="58" spans="1:3">
      <c r="A58" s="413"/>
      <c r="B58" s="616" t="s">
        <v>435</v>
      </c>
      <c r="C58" s="617" t="s">
        <v>385</v>
      </c>
    </row>
    <row r="59" spans="1:3">
      <c r="A59" s="413"/>
      <c r="B59" s="616" t="s">
        <v>386</v>
      </c>
      <c r="C59" s="617" t="s">
        <v>386</v>
      </c>
    </row>
    <row r="60" spans="1:3">
      <c r="A60" s="413"/>
      <c r="B60" s="616" t="s">
        <v>387</v>
      </c>
      <c r="C60" s="617" t="s">
        <v>387</v>
      </c>
    </row>
    <row r="61" spans="1:3">
      <c r="A61" s="413"/>
      <c r="B61" s="616" t="s">
        <v>388</v>
      </c>
      <c r="C61" s="617" t="s">
        <v>388</v>
      </c>
    </row>
    <row r="62" spans="1:3">
      <c r="A62" s="413"/>
      <c r="B62" s="616" t="s">
        <v>436</v>
      </c>
      <c r="C62" s="617" t="s">
        <v>389</v>
      </c>
    </row>
    <row r="63" spans="1:3">
      <c r="A63" s="413"/>
      <c r="B63" s="616" t="s">
        <v>390</v>
      </c>
      <c r="C63" s="617" t="s">
        <v>390</v>
      </c>
    </row>
    <row r="64" spans="1:3" ht="12" thickBot="1">
      <c r="A64" s="203"/>
      <c r="B64" s="641" t="s">
        <v>391</v>
      </c>
      <c r="C64" s="642" t="s">
        <v>391</v>
      </c>
    </row>
    <row r="65" spans="1:3" ht="12" thickTop="1">
      <c r="A65" s="643" t="s">
        <v>430</v>
      </c>
      <c r="B65" s="644"/>
      <c r="C65" s="645"/>
    </row>
    <row r="66" spans="1:3" ht="12" thickBot="1">
      <c r="A66" s="203"/>
      <c r="B66" s="641" t="s">
        <v>392</v>
      </c>
      <c r="C66" s="642" t="s">
        <v>392</v>
      </c>
    </row>
    <row r="67" spans="1:3" ht="12.75" thickTop="1" thickBot="1">
      <c r="A67" s="622" t="s">
        <v>431</v>
      </c>
      <c r="B67" s="623"/>
      <c r="C67" s="624"/>
    </row>
    <row r="68" spans="1:3" ht="12" thickTop="1">
      <c r="A68" s="202"/>
      <c r="B68" s="625" t="s">
        <v>393</v>
      </c>
      <c r="C68" s="626" t="s">
        <v>393</v>
      </c>
    </row>
    <row r="69" spans="1:3">
      <c r="A69" s="413"/>
      <c r="B69" s="616" t="s">
        <v>394</v>
      </c>
      <c r="C69" s="617" t="s">
        <v>394</v>
      </c>
    </row>
    <row r="70" spans="1:3">
      <c r="A70" s="413"/>
      <c r="B70" s="616" t="s">
        <v>395</v>
      </c>
      <c r="C70" s="617" t="s">
        <v>395</v>
      </c>
    </row>
    <row r="71" spans="1:3">
      <c r="A71" s="413"/>
      <c r="B71" s="646" t="s">
        <v>438</v>
      </c>
      <c r="C71" s="647" t="s">
        <v>396</v>
      </c>
    </row>
    <row r="72" spans="1:3">
      <c r="A72" s="413"/>
      <c r="B72" s="646" t="s">
        <v>441</v>
      </c>
      <c r="C72" s="647" t="s">
        <v>397</v>
      </c>
    </row>
    <row r="73" spans="1:3">
      <c r="A73" s="413"/>
      <c r="B73" s="646" t="s">
        <v>437</v>
      </c>
      <c r="C73" s="647" t="s">
        <v>398</v>
      </c>
    </row>
    <row r="74" spans="1:3">
      <c r="A74" s="413"/>
      <c r="B74" s="616" t="s">
        <v>399</v>
      </c>
      <c r="C74" s="617" t="s">
        <v>399</v>
      </c>
    </row>
    <row r="75" spans="1:3" ht="12" thickBot="1">
      <c r="A75" s="203"/>
      <c r="B75" s="641" t="s">
        <v>400</v>
      </c>
      <c r="C75" s="642" t="s">
        <v>400</v>
      </c>
    </row>
    <row r="76" spans="1:3" ht="12" thickTop="1">
      <c r="A76" s="643" t="s">
        <v>465</v>
      </c>
      <c r="B76" s="644"/>
      <c r="C76" s="645"/>
    </row>
    <row r="77" spans="1:3">
      <c r="A77" s="413"/>
      <c r="B77" s="616" t="s">
        <v>392</v>
      </c>
      <c r="C77" s="617"/>
    </row>
    <row r="78" spans="1:3">
      <c r="A78" s="413"/>
      <c r="B78" s="616" t="s">
        <v>463</v>
      </c>
      <c r="C78" s="617"/>
    </row>
    <row r="79" spans="1:3">
      <c r="A79" s="413"/>
      <c r="B79" s="616" t="s">
        <v>464</v>
      </c>
      <c r="C79" s="617"/>
    </row>
    <row r="80" spans="1:3">
      <c r="A80" s="643" t="s">
        <v>466</v>
      </c>
      <c r="B80" s="644"/>
      <c r="C80" s="645"/>
    </row>
    <row r="81" spans="1:3">
      <c r="A81" s="413"/>
      <c r="B81" s="616" t="s">
        <v>392</v>
      </c>
      <c r="C81" s="617"/>
    </row>
    <row r="82" spans="1:3">
      <c r="A82" s="413"/>
      <c r="B82" s="616" t="s">
        <v>467</v>
      </c>
      <c r="C82" s="617"/>
    </row>
    <row r="83" spans="1:3">
      <c r="A83" s="413"/>
      <c r="B83" s="616" t="s">
        <v>481</v>
      </c>
      <c r="C83" s="617"/>
    </row>
    <row r="84" spans="1:3">
      <c r="A84" s="413"/>
      <c r="B84" s="616" t="s">
        <v>480</v>
      </c>
      <c r="C84" s="617"/>
    </row>
    <row r="85" spans="1:3">
      <c r="A85" s="413"/>
      <c r="B85" s="616" t="s">
        <v>468</v>
      </c>
      <c r="C85" s="617"/>
    </row>
    <row r="86" spans="1:3">
      <c r="A86" s="413"/>
      <c r="B86" s="616" t="s">
        <v>469</v>
      </c>
      <c r="C86" s="617"/>
    </row>
    <row r="87" spans="1:3">
      <c r="A87" s="413"/>
      <c r="B87" s="616" t="s">
        <v>470</v>
      </c>
      <c r="C87" s="617"/>
    </row>
    <row r="88" spans="1:3">
      <c r="A88" s="643" t="s">
        <v>471</v>
      </c>
      <c r="B88" s="644"/>
      <c r="C88" s="645"/>
    </row>
    <row r="89" spans="1:3">
      <c r="A89" s="413"/>
      <c r="B89" s="616" t="s">
        <v>392</v>
      </c>
      <c r="C89" s="617"/>
    </row>
    <row r="90" spans="1:3">
      <c r="A90" s="413"/>
      <c r="B90" s="616" t="s">
        <v>473</v>
      </c>
      <c r="C90" s="617"/>
    </row>
    <row r="91" spans="1:3">
      <c r="A91" s="413"/>
      <c r="B91" s="616" t="s">
        <v>474</v>
      </c>
      <c r="C91" s="617"/>
    </row>
    <row r="92" spans="1:3">
      <c r="A92" s="413"/>
      <c r="B92" s="616" t="s">
        <v>475</v>
      </c>
      <c r="C92" s="617"/>
    </row>
    <row r="93" spans="1:3">
      <c r="A93" s="413"/>
      <c r="B93" s="631" t="s">
        <v>517</v>
      </c>
      <c r="C93" s="632"/>
    </row>
    <row r="94" spans="1:3">
      <c r="A94" s="413"/>
      <c r="B94" s="631" t="s">
        <v>518</v>
      </c>
      <c r="C94" s="632"/>
    </row>
    <row r="95" spans="1:3">
      <c r="A95" s="413"/>
      <c r="B95" s="631" t="s">
        <v>476</v>
      </c>
      <c r="C95" s="632"/>
    </row>
    <row r="96" spans="1:3" ht="12" thickBot="1">
      <c r="A96" s="649" t="s">
        <v>513</v>
      </c>
      <c r="B96" s="650"/>
      <c r="C96" s="651"/>
    </row>
    <row r="97" spans="1:3" ht="12.75" thickTop="1" thickBot="1">
      <c r="A97" s="648" t="s">
        <v>401</v>
      </c>
      <c r="B97" s="648"/>
      <c r="C97" s="648"/>
    </row>
    <row r="98" spans="1:3">
      <c r="A98" s="293">
        <v>2</v>
      </c>
      <c r="B98" s="566" t="s">
        <v>493</v>
      </c>
      <c r="C98" s="566" t="s">
        <v>514</v>
      </c>
    </row>
    <row r="99" spans="1:3">
      <c r="A99" s="207">
        <v>3</v>
      </c>
      <c r="B99" s="412" t="s">
        <v>494</v>
      </c>
      <c r="C99" s="565" t="s">
        <v>515</v>
      </c>
    </row>
    <row r="100" spans="1:3">
      <c r="A100" s="207">
        <v>4</v>
      </c>
      <c r="B100" s="412" t="s">
        <v>495</v>
      </c>
      <c r="C100" s="565" t="s">
        <v>519</v>
      </c>
    </row>
    <row r="101" spans="1:3" ht="22.5">
      <c r="A101" s="207">
        <v>5</v>
      </c>
      <c r="B101" s="412" t="s">
        <v>496</v>
      </c>
      <c r="C101" s="565" t="s">
        <v>516</v>
      </c>
    </row>
    <row r="102" spans="1:3" ht="22.5">
      <c r="A102" s="207">
        <v>6</v>
      </c>
      <c r="B102" s="412" t="s">
        <v>511</v>
      </c>
      <c r="C102" s="565" t="s">
        <v>497</v>
      </c>
    </row>
    <row r="103" spans="1:3">
      <c r="A103" s="207">
        <v>7</v>
      </c>
      <c r="B103" s="412" t="s">
        <v>498</v>
      </c>
      <c r="C103" s="565" t="s">
        <v>512</v>
      </c>
    </row>
    <row r="104" spans="1:3">
      <c r="A104" s="207">
        <v>8</v>
      </c>
      <c r="B104" s="412" t="s">
        <v>503</v>
      </c>
      <c r="C104" s="565" t="s">
        <v>523</v>
      </c>
    </row>
    <row r="105" spans="1:3">
      <c r="A105" s="643" t="s">
        <v>477</v>
      </c>
      <c r="B105" s="644"/>
      <c r="C105" s="645"/>
    </row>
    <row r="106" spans="1:3">
      <c r="A106" s="413"/>
      <c r="B106" s="616" t="s">
        <v>392</v>
      </c>
      <c r="C106" s="617"/>
    </row>
  </sheetData>
  <mergeCells count="99">
    <mergeCell ref="A97:C97"/>
    <mergeCell ref="A105:C105"/>
    <mergeCell ref="B106:C106"/>
    <mergeCell ref="B91:C91"/>
    <mergeCell ref="B92:C92"/>
    <mergeCell ref="B93:C93"/>
    <mergeCell ref="B94:C94"/>
    <mergeCell ref="B95:C95"/>
    <mergeCell ref="A96:C96"/>
    <mergeCell ref="B90:C90"/>
    <mergeCell ref="B79:C79"/>
    <mergeCell ref="A80:C80"/>
    <mergeCell ref="B81:C81"/>
    <mergeCell ref="B82:C82"/>
    <mergeCell ref="B83:C83"/>
    <mergeCell ref="B84:C84"/>
    <mergeCell ref="B85:C85"/>
    <mergeCell ref="B86:C86"/>
    <mergeCell ref="B87:C87"/>
    <mergeCell ref="A88:C88"/>
    <mergeCell ref="B89:C89"/>
    <mergeCell ref="B78:C78"/>
    <mergeCell ref="A67:C67"/>
    <mergeCell ref="B68:C68"/>
    <mergeCell ref="B69:C69"/>
    <mergeCell ref="B70:C70"/>
    <mergeCell ref="B71:C71"/>
    <mergeCell ref="B72:C72"/>
    <mergeCell ref="B73:C73"/>
    <mergeCell ref="B74:C74"/>
    <mergeCell ref="B75:C75"/>
    <mergeCell ref="A76:C76"/>
    <mergeCell ref="B77:C77"/>
    <mergeCell ref="B66:C66"/>
    <mergeCell ref="A55:C55"/>
    <mergeCell ref="B56:C56"/>
    <mergeCell ref="B57:C57"/>
    <mergeCell ref="B58:C58"/>
    <mergeCell ref="B59:C59"/>
    <mergeCell ref="B60:C60"/>
    <mergeCell ref="B61:C61"/>
    <mergeCell ref="B62:C62"/>
    <mergeCell ref="B63:C63"/>
    <mergeCell ref="B64:C64"/>
    <mergeCell ref="A65:C65"/>
    <mergeCell ref="B54:C54"/>
    <mergeCell ref="B43:C43"/>
    <mergeCell ref="B44:C44"/>
    <mergeCell ref="B45:C45"/>
    <mergeCell ref="A46:C46"/>
    <mergeCell ref="B47:C47"/>
    <mergeCell ref="A48:C48"/>
    <mergeCell ref="B49:C49"/>
    <mergeCell ref="B50:C50"/>
    <mergeCell ref="B51:C51"/>
    <mergeCell ref="B52:C52"/>
    <mergeCell ref="B53:C53"/>
    <mergeCell ref="A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A26:C26"/>
    <mergeCell ref="B27:C27"/>
    <mergeCell ref="A28:C28"/>
    <mergeCell ref="B29:C29"/>
    <mergeCell ref="B18:C18"/>
    <mergeCell ref="B7:C7"/>
    <mergeCell ref="B8:C8"/>
    <mergeCell ref="B9:C9"/>
    <mergeCell ref="B10:C10"/>
    <mergeCell ref="B11:C11"/>
    <mergeCell ref="B12:C12"/>
    <mergeCell ref="B13:C13"/>
    <mergeCell ref="B14:C14"/>
    <mergeCell ref="B15:C15"/>
    <mergeCell ref="B16:C16"/>
    <mergeCell ref="B17:C17"/>
    <mergeCell ref="B6:C6"/>
    <mergeCell ref="A1:C1"/>
    <mergeCell ref="B2:C2"/>
    <mergeCell ref="B3:C3"/>
    <mergeCell ref="A4:C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1"/>
  <sheetViews>
    <sheetView showGridLines="0" zoomScaleNormal="100" workbookViewId="0">
      <pane xSplit="1" ySplit="5" topLeftCell="B30" activePane="bottomRight" state="frozen"/>
      <selection activeCell="B10" sqref="B10"/>
      <selection pane="topRight" activeCell="B10" sqref="B10"/>
      <selection pane="bottomLeft" activeCell="B10" sqref="B10"/>
      <selection pane="bottomRight" activeCell="B47" sqref="B47"/>
    </sheetView>
  </sheetViews>
  <sheetFormatPr defaultRowHeight="15.75"/>
  <cols>
    <col min="1" max="1" width="9.5703125" style="16" bestFit="1" customWidth="1"/>
    <col min="2" max="2" width="88" style="13" bestFit="1" customWidth="1"/>
    <col min="3" max="3" width="13.85546875" style="13" bestFit="1" customWidth="1"/>
    <col min="4" max="7" width="13.85546875" style="1" bestFit="1" customWidth="1"/>
    <col min="9" max="9" width="12" bestFit="1" customWidth="1"/>
  </cols>
  <sheetData>
    <row r="1" spans="1:7">
      <c r="A1" s="14" t="s">
        <v>188</v>
      </c>
      <c r="B1" s="377" t="str">
        <f>Info!C2</f>
        <v>სს ”საქართველოს ბანკი”</v>
      </c>
    </row>
    <row r="2" spans="1:7">
      <c r="A2" s="14" t="s">
        <v>189</v>
      </c>
      <c r="B2" s="394">
        <v>44286</v>
      </c>
      <c r="C2" s="26"/>
      <c r="D2" s="15"/>
      <c r="E2" s="15"/>
      <c r="F2" s="15"/>
      <c r="G2" s="15"/>
    </row>
    <row r="3" spans="1:7">
      <c r="A3" s="14"/>
      <c r="C3" s="26"/>
      <c r="D3" s="15"/>
      <c r="E3" s="15"/>
      <c r="F3" s="15"/>
      <c r="G3" s="15"/>
    </row>
    <row r="4" spans="1:7" ht="16.5" thickBot="1">
      <c r="A4" s="540" t="s">
        <v>404</v>
      </c>
      <c r="B4" s="541" t="s">
        <v>223</v>
      </c>
      <c r="C4" s="542"/>
      <c r="D4" s="543"/>
      <c r="E4" s="543"/>
      <c r="F4" s="543"/>
      <c r="G4" s="543"/>
    </row>
    <row r="5" spans="1:7" ht="15">
      <c r="A5" s="268" t="s">
        <v>26</v>
      </c>
      <c r="B5" s="269"/>
      <c r="C5" s="395" t="str">
        <f>INT((MONTH($B$2))/3)&amp;"Q"&amp;"-"&amp;YEAR($B$2)</f>
        <v>1Q-2021</v>
      </c>
      <c r="D5" s="395" t="str">
        <f>IF(INT(MONTH($B$2))=3, "4"&amp;"Q"&amp;"-"&amp;YEAR($B$2)-1, IF(INT(MONTH($B$2))=6, "1"&amp;"Q"&amp;"-"&amp;YEAR($B$2), IF(INT(MONTH($B$2))=9, "2"&amp;"Q"&amp;"-"&amp;YEAR($B$2),IF(INT(MONTH($B$2))=12, "3"&amp;"Q"&amp;"-"&amp;YEAR($B$2), 0))))</f>
        <v>4Q-2020</v>
      </c>
      <c r="E5" s="395" t="str">
        <f>IF(INT(MONTH($B$2))=3, "3"&amp;"Q"&amp;"-"&amp;YEAR($B$2)-1, IF(INT(MONTH($B$2))=6, "4"&amp;"Q"&amp;"-"&amp;YEAR($B$2)-1, IF(INT(MONTH($B$2))=9, "1"&amp;"Q"&amp;"-"&amp;YEAR($B$2),IF(INT(MONTH($B$2))=12, "2"&amp;"Q"&amp;"-"&amp;YEAR($B$2), 0))))</f>
        <v>3Q-2020</v>
      </c>
      <c r="F5" s="395" t="str">
        <f>IF(INT(MONTH($B$2))=3, "2"&amp;"Q"&amp;"-"&amp;YEAR($B$2)-1, IF(INT(MONTH($B$2))=6, "3"&amp;"Q"&amp;"-"&amp;YEAR($B$2)-1, IF(INT(MONTH($B$2))=9, "4"&amp;"Q"&amp;"-"&amp;YEAR($B$2)-1,IF(INT(MONTH($B$2))=12, "1"&amp;"Q"&amp;"-"&amp;YEAR($B$2), 0))))</f>
        <v>2Q-2020</v>
      </c>
      <c r="G5" s="396" t="str">
        <f>IF(INT(MONTH($B$2))=3, "1"&amp;"Q"&amp;"-"&amp;YEAR($B$2)-1, IF(INT(MONTH($B$2))=6, "2"&amp;"Q"&amp;"-"&amp;YEAR($B$2)-1, IF(INT(MONTH($B$2))=9, "3"&amp;"Q"&amp;"-"&amp;YEAR($B$2)-1,IF(INT(MONTH($B$2))=12, "4"&amp;"Q"&amp;"-"&amp;YEAR($B$2)-1, 0))))</f>
        <v>1Q-2020</v>
      </c>
    </row>
    <row r="6" spans="1:7" ht="15">
      <c r="A6" s="397"/>
      <c r="B6" s="398" t="s">
        <v>186</v>
      </c>
      <c r="C6" s="409"/>
      <c r="D6" s="409"/>
      <c r="E6" s="409"/>
      <c r="F6" s="409"/>
      <c r="G6" s="544"/>
    </row>
    <row r="7" spans="1:7" ht="15">
      <c r="A7" s="397"/>
      <c r="B7" s="399" t="s">
        <v>190</v>
      </c>
      <c r="C7" s="409"/>
      <c r="D7" s="409"/>
      <c r="E7" s="409"/>
      <c r="F7" s="409"/>
      <c r="G7" s="544"/>
    </row>
    <row r="8" spans="1:7" ht="15">
      <c r="A8" s="382">
        <v>1</v>
      </c>
      <c r="B8" s="383" t="s">
        <v>23</v>
      </c>
      <c r="C8" s="400">
        <v>1854811874.7498977</v>
      </c>
      <c r="D8" s="400">
        <v>1661530109.5137014</v>
      </c>
      <c r="E8" s="400">
        <v>1496143769.3024974</v>
      </c>
      <c r="F8" s="400">
        <v>1389626153.6950002</v>
      </c>
      <c r="G8" s="545">
        <v>1222324838.3990865</v>
      </c>
    </row>
    <row r="9" spans="1:7" ht="15">
      <c r="A9" s="382">
        <v>2</v>
      </c>
      <c r="B9" s="383" t="s">
        <v>89</v>
      </c>
      <c r="C9" s="400">
        <v>2195991874.749898</v>
      </c>
      <c r="D9" s="400">
        <v>1989190109.5137014</v>
      </c>
      <c r="E9" s="400">
        <v>1824923769.3024974</v>
      </c>
      <c r="F9" s="400">
        <v>1695146153.6950002</v>
      </c>
      <c r="G9" s="545">
        <v>1550774838.3990865</v>
      </c>
    </row>
    <row r="10" spans="1:7" ht="15">
      <c r="A10" s="382">
        <v>3</v>
      </c>
      <c r="B10" s="383" t="s">
        <v>88</v>
      </c>
      <c r="C10" s="400">
        <v>3072725368.0715184</v>
      </c>
      <c r="D10" s="400">
        <v>2819334734.9281831</v>
      </c>
      <c r="E10" s="400">
        <v>2627685354.3039861</v>
      </c>
      <c r="F10" s="400">
        <v>2457145020.8415403</v>
      </c>
      <c r="G10" s="545">
        <v>2243904113.3104887</v>
      </c>
    </row>
    <row r="11" spans="1:7" ht="15">
      <c r="A11" s="382">
        <v>4</v>
      </c>
      <c r="B11" s="383" t="s">
        <v>615</v>
      </c>
      <c r="C11" s="400">
        <v>1292219484.3537927</v>
      </c>
      <c r="D11" s="400">
        <v>1182220009.8363709</v>
      </c>
      <c r="E11" s="400">
        <v>1042906996.9951419</v>
      </c>
      <c r="F11" s="400">
        <v>969957927.39580202</v>
      </c>
      <c r="G11" s="545">
        <v>1008886000.193487</v>
      </c>
    </row>
    <row r="12" spans="1:7" ht="15">
      <c r="A12" s="382">
        <v>5</v>
      </c>
      <c r="B12" s="383" t="s">
        <v>616</v>
      </c>
      <c r="C12" s="400">
        <v>1613262218.3694394</v>
      </c>
      <c r="D12" s="400">
        <v>1469759957.4729631</v>
      </c>
      <c r="E12" s="400">
        <v>1315117946.7334988</v>
      </c>
      <c r="F12" s="400">
        <v>1223144365.6267693</v>
      </c>
      <c r="G12" s="545">
        <v>1272357617.7082171</v>
      </c>
    </row>
    <row r="13" spans="1:7" ht="15">
      <c r="A13" s="382">
        <v>6</v>
      </c>
      <c r="B13" s="383" t="s">
        <v>617</v>
      </c>
      <c r="C13" s="400">
        <v>2273246408.3944073</v>
      </c>
      <c r="D13" s="400">
        <v>2206301322.1168251</v>
      </c>
      <c r="E13" s="400">
        <v>2010722740.466332</v>
      </c>
      <c r="F13" s="400">
        <v>1868760792.4655383</v>
      </c>
      <c r="G13" s="545">
        <v>1947448956.2715805</v>
      </c>
    </row>
    <row r="14" spans="1:7" ht="15">
      <c r="A14" s="397"/>
      <c r="B14" s="398" t="s">
        <v>619</v>
      </c>
      <c r="C14" s="409"/>
      <c r="D14" s="409"/>
      <c r="E14" s="409"/>
      <c r="F14" s="409"/>
      <c r="G14" s="544"/>
    </row>
    <row r="15" spans="1:7" ht="25.5">
      <c r="A15" s="382">
        <v>7</v>
      </c>
      <c r="B15" s="383" t="s">
        <v>618</v>
      </c>
      <c r="C15" s="401">
        <v>16516430453.718294</v>
      </c>
      <c r="D15" s="401">
        <v>16040093856.907156</v>
      </c>
      <c r="E15" s="401">
        <v>15162374036.939989</v>
      </c>
      <c r="F15" s="401">
        <v>14099109995.224945</v>
      </c>
      <c r="G15" s="546">
        <v>14641068044.455441</v>
      </c>
    </row>
    <row r="16" spans="1:7" ht="15">
      <c r="A16" s="397"/>
      <c r="B16" s="398" t="s">
        <v>623</v>
      </c>
      <c r="C16" s="409"/>
      <c r="D16" s="409"/>
      <c r="E16" s="409"/>
      <c r="F16" s="409"/>
      <c r="G16" s="544"/>
    </row>
    <row r="17" spans="1:7" s="2" customFormat="1" ht="15">
      <c r="A17" s="382"/>
      <c r="B17" s="399" t="s">
        <v>604</v>
      </c>
      <c r="C17" s="409"/>
      <c r="D17" s="409"/>
      <c r="E17" s="409"/>
      <c r="F17" s="409"/>
      <c r="G17" s="544"/>
    </row>
    <row r="18" spans="1:7" ht="15">
      <c r="A18" s="381">
        <v>8</v>
      </c>
      <c r="B18" s="402" t="s">
        <v>613</v>
      </c>
      <c r="C18" s="408">
        <f>C8/C15</f>
        <v>0.11230101322119088</v>
      </c>
      <c r="D18" s="408">
        <f t="shared" ref="D18:G18" si="0">D8/D15</f>
        <v>0.1035860590552727</v>
      </c>
      <c r="E18" s="408">
        <f t="shared" si="0"/>
        <v>9.8674769904597559E-2</v>
      </c>
      <c r="F18" s="408">
        <f t="shared" si="0"/>
        <v>9.8561267637860522E-2</v>
      </c>
      <c r="G18" s="547">
        <f t="shared" si="0"/>
        <v>8.3486043141639502E-2</v>
      </c>
    </row>
    <row r="19" spans="1:7" ht="15">
      <c r="A19" s="381">
        <v>9</v>
      </c>
      <c r="B19" s="402" t="s">
        <v>612</v>
      </c>
      <c r="C19" s="450">
        <f>C9/C15</f>
        <v>0.13295801904070143</v>
      </c>
      <c r="D19" s="450">
        <f t="shared" ref="D19:G19" si="1">D9/D15</f>
        <v>0.12401362032287112</v>
      </c>
      <c r="E19" s="450">
        <f t="shared" si="1"/>
        <v>0.12035870931929578</v>
      </c>
      <c r="F19" s="450">
        <f t="shared" si="1"/>
        <v>0.12023072053974389</v>
      </c>
      <c r="G19" s="548">
        <f t="shared" si="1"/>
        <v>0.10591951582291591</v>
      </c>
    </row>
    <row r="20" spans="1:7" ht="15">
      <c r="A20" s="381">
        <v>10</v>
      </c>
      <c r="B20" s="402" t="s">
        <v>614</v>
      </c>
      <c r="C20" s="408">
        <f>C10/C15</f>
        <v>0.18604052350668573</v>
      </c>
      <c r="D20" s="408">
        <f t="shared" ref="D20:G20" si="2">D10/D15</f>
        <v>0.17576796994327601</v>
      </c>
      <c r="E20" s="408">
        <f t="shared" si="2"/>
        <v>0.17330302945318285</v>
      </c>
      <c r="F20" s="408">
        <f t="shared" si="2"/>
        <v>0.17427660481219884</v>
      </c>
      <c r="G20" s="547">
        <f t="shared" si="2"/>
        <v>0.15326095790943703</v>
      </c>
    </row>
    <row r="21" spans="1:7" ht="15">
      <c r="A21" s="381">
        <v>11</v>
      </c>
      <c r="B21" s="383" t="s">
        <v>615</v>
      </c>
      <c r="C21" s="408">
        <f>C11/C15</f>
        <v>7.8238423730527029E-2</v>
      </c>
      <c r="D21" s="408">
        <f t="shared" ref="D21:G21" si="3">D11/D15</f>
        <v>7.3704058117296203E-2</v>
      </c>
      <c r="E21" s="408">
        <f t="shared" si="3"/>
        <v>6.8782566269260645E-2</v>
      </c>
      <c r="F21" s="408">
        <f t="shared" si="3"/>
        <v>6.8795684814453195E-2</v>
      </c>
      <c r="G21" s="547">
        <f t="shared" si="3"/>
        <v>6.8907951054537397E-2</v>
      </c>
    </row>
    <row r="22" spans="1:7" ht="15">
      <c r="A22" s="381">
        <v>12</v>
      </c>
      <c r="B22" s="383" t="s">
        <v>616</v>
      </c>
      <c r="C22" s="408">
        <f>C12/C15</f>
        <v>9.7676203274676132E-2</v>
      </c>
      <c r="D22" s="408">
        <f t="shared" ref="D22:G22" si="4">D12/D15</f>
        <v>9.1630383873349833E-2</v>
      </c>
      <c r="E22" s="408">
        <f t="shared" si="4"/>
        <v>8.6735622240256438E-2</v>
      </c>
      <c r="F22" s="408">
        <f t="shared" si="4"/>
        <v>8.6753303296521631E-2</v>
      </c>
      <c r="G22" s="547">
        <f t="shared" si="4"/>
        <v>8.6903333407432518E-2</v>
      </c>
    </row>
    <row r="23" spans="1:7" ht="15">
      <c r="A23" s="381">
        <v>13</v>
      </c>
      <c r="B23" s="383" t="s">
        <v>617</v>
      </c>
      <c r="C23" s="408">
        <f>C13/C15</f>
        <v>0.13763545426866966</v>
      </c>
      <c r="D23" s="408">
        <f t="shared" ref="D23:G23" si="5">D13/D15</f>
        <v>0.13754915287897468</v>
      </c>
      <c r="E23" s="408">
        <f t="shared" si="5"/>
        <v>0.13261265917643383</v>
      </c>
      <c r="F23" s="408">
        <f t="shared" si="5"/>
        <v>0.13254459275077973</v>
      </c>
      <c r="G23" s="547">
        <f t="shared" si="5"/>
        <v>0.13301276589647965</v>
      </c>
    </row>
    <row r="24" spans="1:7" ht="15">
      <c r="A24" s="397"/>
      <c r="B24" s="398" t="s">
        <v>6</v>
      </c>
      <c r="C24" s="409"/>
      <c r="D24" s="409"/>
      <c r="E24" s="409"/>
      <c r="F24" s="409"/>
      <c r="G24" s="544"/>
    </row>
    <row r="25" spans="1:7" ht="15">
      <c r="A25" s="403">
        <v>14</v>
      </c>
      <c r="B25" s="404" t="s">
        <v>7</v>
      </c>
      <c r="C25" s="449">
        <v>7.6043517607818426E-2</v>
      </c>
      <c r="D25" s="477">
        <v>7.7700000000000005E-2</v>
      </c>
      <c r="E25" s="477">
        <v>7.6700000000000004E-2</v>
      </c>
      <c r="F25" s="477">
        <v>7.5800000000000006E-2</v>
      </c>
      <c r="G25" s="549">
        <v>7.8799999999999995E-2</v>
      </c>
    </row>
    <row r="26" spans="1:7" ht="15">
      <c r="A26" s="403">
        <v>15</v>
      </c>
      <c r="B26" s="404" t="s">
        <v>8</v>
      </c>
      <c r="C26" s="449">
        <v>3.9721897649765685E-2</v>
      </c>
      <c r="D26" s="477">
        <v>4.3799999999999999E-2</v>
      </c>
      <c r="E26" s="477">
        <v>4.4200000000000003E-2</v>
      </c>
      <c r="F26" s="477">
        <v>4.4900000000000002E-2</v>
      </c>
      <c r="G26" s="549">
        <v>4.4299999999999999E-2</v>
      </c>
    </row>
    <row r="27" spans="1:7" ht="15">
      <c r="A27" s="403">
        <v>16</v>
      </c>
      <c r="B27" s="404" t="s">
        <v>9</v>
      </c>
      <c r="C27" s="449">
        <v>3.1804445931864149E-2</v>
      </c>
      <c r="D27" s="477">
        <v>2.6100000000000002E-2</v>
      </c>
      <c r="E27" s="477">
        <v>2.4899999999999999E-2</v>
      </c>
      <c r="F27" s="477">
        <v>2.7799999999999998E-2</v>
      </c>
      <c r="G27" s="549">
        <v>3.5499999999999997E-2</v>
      </c>
    </row>
    <row r="28" spans="1:7" ht="15">
      <c r="A28" s="403">
        <v>17</v>
      </c>
      <c r="B28" s="404" t="s">
        <v>224</v>
      </c>
      <c r="C28" s="449">
        <v>3.7657011219597018E-2</v>
      </c>
      <c r="D28" s="477">
        <v>3.4000000000000002E-2</v>
      </c>
      <c r="E28" s="477">
        <v>3.2500000000000001E-2</v>
      </c>
      <c r="F28" s="477">
        <v>3.09E-2</v>
      </c>
      <c r="G28" s="549">
        <v>3.4500000000000003E-2</v>
      </c>
    </row>
    <row r="29" spans="1:7" ht="15">
      <c r="A29" s="403">
        <v>18</v>
      </c>
      <c r="B29" s="404" t="s">
        <v>10</v>
      </c>
      <c r="C29" s="449">
        <v>3.7657011219597018E-2</v>
      </c>
      <c r="D29" s="477">
        <v>3.0999999999999999E-3</v>
      </c>
      <c r="E29" s="477">
        <v>-5.7999999999999996E-3</v>
      </c>
      <c r="F29" s="477">
        <v>-1.8200000000000001E-2</v>
      </c>
      <c r="G29" s="549">
        <v>-6.4199999999999993E-2</v>
      </c>
    </row>
    <row r="30" spans="1:7" ht="15">
      <c r="A30" s="403">
        <v>19</v>
      </c>
      <c r="B30" s="404" t="s">
        <v>11</v>
      </c>
      <c r="C30" s="449">
        <v>0.39302036477068952</v>
      </c>
      <c r="D30" s="477">
        <v>3.4200000000000001E-2</v>
      </c>
      <c r="E30" s="477">
        <v>-6.3500000000000001E-2</v>
      </c>
      <c r="F30" s="477">
        <v>-0.19539999999999999</v>
      </c>
      <c r="G30" s="549">
        <v>-0.65900000000000003</v>
      </c>
    </row>
    <row r="31" spans="1:7" ht="15">
      <c r="A31" s="397"/>
      <c r="B31" s="398" t="s">
        <v>12</v>
      </c>
      <c r="C31" s="409"/>
      <c r="D31" s="409"/>
      <c r="E31" s="409"/>
      <c r="F31" s="409"/>
      <c r="G31" s="544"/>
    </row>
    <row r="32" spans="1:7" ht="15">
      <c r="A32" s="403">
        <v>20</v>
      </c>
      <c r="B32" s="404" t="s">
        <v>13</v>
      </c>
      <c r="C32" s="449">
        <v>8.2625882879420937E-2</v>
      </c>
      <c r="D32" s="477">
        <v>8.3500000000000005E-2</v>
      </c>
      <c r="E32" s="477">
        <v>5.91E-2</v>
      </c>
      <c r="F32" s="477">
        <v>5.3100000000000001E-2</v>
      </c>
      <c r="G32" s="549">
        <v>3.5000000000000003E-2</v>
      </c>
    </row>
    <row r="33" spans="1:7" ht="15">
      <c r="A33" s="403">
        <v>21</v>
      </c>
      <c r="B33" s="404" t="s">
        <v>14</v>
      </c>
      <c r="C33" s="449">
        <f>-'2. RC'!E13/'2. RC'!E12</f>
        <v>5.3835392157695582E-2</v>
      </c>
      <c r="D33" s="477">
        <v>5.8299999999999998E-2</v>
      </c>
      <c r="E33" s="477">
        <v>6.1600000000000002E-2</v>
      </c>
      <c r="F33" s="477">
        <v>6.6000000000000003E-2</v>
      </c>
      <c r="G33" s="549">
        <v>6.6500000000000004E-2</v>
      </c>
    </row>
    <row r="34" spans="1:7" ht="15">
      <c r="A34" s="403">
        <v>22</v>
      </c>
      <c r="B34" s="404" t="s">
        <v>15</v>
      </c>
      <c r="C34" s="449">
        <f>'2. RC'!D12/'2. RC'!E12</f>
        <v>0.56271366640593856</v>
      </c>
      <c r="D34" s="477">
        <v>0.56659999999999999</v>
      </c>
      <c r="E34" s="477">
        <v>0.58140000000000003</v>
      </c>
      <c r="F34" s="477">
        <v>0.5786</v>
      </c>
      <c r="G34" s="549">
        <v>0.59640000000000004</v>
      </c>
    </row>
    <row r="35" spans="1:7" ht="15">
      <c r="A35" s="403">
        <v>23</v>
      </c>
      <c r="B35" s="404" t="s">
        <v>16</v>
      </c>
      <c r="C35" s="449">
        <f>'2. RC'!D20/'2. RC'!E20</f>
        <v>0.55616217923747668</v>
      </c>
      <c r="D35" s="477">
        <v>0.54659999999999997</v>
      </c>
      <c r="E35" s="477">
        <v>0.55869999999999997</v>
      </c>
      <c r="F35" s="477">
        <v>0.53859999999999997</v>
      </c>
      <c r="G35" s="549">
        <v>0.56969999999999998</v>
      </c>
    </row>
    <row r="36" spans="1:7" ht="15">
      <c r="A36" s="403">
        <v>24</v>
      </c>
      <c r="B36" s="404" t="s">
        <v>17</v>
      </c>
      <c r="C36" s="449">
        <f>('2. RC'!E12-13331727056.3351)/13331727056.3351</f>
        <v>2.9082696768327313E-2</v>
      </c>
      <c r="D36" s="477">
        <v>0.19400000000000001</v>
      </c>
      <c r="E36" s="477">
        <v>0.13469999999999999</v>
      </c>
      <c r="F36" s="477">
        <v>5.1999999999999998E-2</v>
      </c>
      <c r="G36" s="549">
        <v>0.1167</v>
      </c>
    </row>
    <row r="37" spans="1:7" ht="15">
      <c r="A37" s="397"/>
      <c r="B37" s="398" t="s">
        <v>18</v>
      </c>
      <c r="C37" s="409"/>
      <c r="D37" s="409"/>
      <c r="E37" s="409"/>
      <c r="F37" s="409"/>
      <c r="G37" s="544"/>
    </row>
    <row r="38" spans="1:7" ht="15">
      <c r="A38" s="403">
        <v>25</v>
      </c>
      <c r="B38" s="404" t="s">
        <v>19</v>
      </c>
      <c r="C38" s="449">
        <v>0.22373956826986105</v>
      </c>
      <c r="D38" s="477">
        <v>0.20930000000000001</v>
      </c>
      <c r="E38" s="477">
        <v>0.24429999999999999</v>
      </c>
      <c r="F38" s="477">
        <v>0.2203</v>
      </c>
      <c r="G38" s="549">
        <v>0.2031</v>
      </c>
    </row>
    <row r="39" spans="1:7" ht="15">
      <c r="A39" s="403">
        <v>26</v>
      </c>
      <c r="B39" s="404" t="s">
        <v>20</v>
      </c>
      <c r="C39" s="449">
        <f>'2. RC'!D31/'2. RC'!E31</f>
        <v>0.63518500116616761</v>
      </c>
      <c r="D39" s="477">
        <v>0.60580000000000001</v>
      </c>
      <c r="E39" s="477">
        <v>0.62380000000000002</v>
      </c>
      <c r="F39" s="477">
        <v>0.6119</v>
      </c>
      <c r="G39" s="549">
        <v>0.62749999999999995</v>
      </c>
    </row>
    <row r="40" spans="1:7" ht="15">
      <c r="A40" s="403">
        <v>27</v>
      </c>
      <c r="B40" s="405" t="s">
        <v>21</v>
      </c>
      <c r="C40" s="449">
        <f>('2. RC'!E23+'2. RC'!E24)/'2. RC'!E20</f>
        <v>0.29930663083605497</v>
      </c>
      <c r="D40" s="477">
        <v>0.29049999999999998</v>
      </c>
      <c r="E40" s="477">
        <v>0.28639999999999999</v>
      </c>
      <c r="F40" s="477">
        <v>0.27789999999999998</v>
      </c>
      <c r="G40" s="549">
        <v>0.27750000000000002</v>
      </c>
    </row>
    <row r="41" spans="1:7" ht="15">
      <c r="A41" s="406"/>
      <c r="B41" s="398" t="s">
        <v>525</v>
      </c>
      <c r="C41" s="409"/>
      <c r="D41" s="409"/>
      <c r="E41" s="409"/>
      <c r="F41" s="409"/>
      <c r="G41" s="544"/>
    </row>
    <row r="42" spans="1:7" ht="15">
      <c r="A42" s="403">
        <v>28</v>
      </c>
      <c r="B42" s="411" t="s">
        <v>509</v>
      </c>
      <c r="C42" s="478">
        <f>'14. LCR'!H23</f>
        <v>4974429847.0233536</v>
      </c>
      <c r="D42" s="478">
        <v>4724925985</v>
      </c>
      <c r="E42" s="478">
        <v>4436678184</v>
      </c>
      <c r="F42" s="478">
        <v>3822186633</v>
      </c>
      <c r="G42" s="550">
        <v>3674496259</v>
      </c>
    </row>
    <row r="43" spans="1:7" ht="15">
      <c r="A43" s="403">
        <v>29</v>
      </c>
      <c r="B43" s="404" t="s">
        <v>510</v>
      </c>
      <c r="C43" s="478">
        <f>'14. LCR'!H24</f>
        <v>3484462549.7171888</v>
      </c>
      <c r="D43" s="478">
        <v>3411193233</v>
      </c>
      <c r="E43" s="478">
        <v>3127127806</v>
      </c>
      <c r="F43" s="478">
        <v>3012794566</v>
      </c>
      <c r="G43" s="550">
        <v>2803216866</v>
      </c>
    </row>
    <row r="44" spans="1:7" ht="15">
      <c r="A44" s="403">
        <v>30</v>
      </c>
      <c r="B44" s="404" t="s">
        <v>508</v>
      </c>
      <c r="C44" s="477">
        <f>C42/C43</f>
        <v>1.4276031887405694</v>
      </c>
      <c r="D44" s="477">
        <f t="shared" ref="D44:G44" si="6">D42/D43</f>
        <v>1.3851241082712362</v>
      </c>
      <c r="E44" s="477">
        <f t="shared" si="6"/>
        <v>1.4187709806703053</v>
      </c>
      <c r="F44" s="477">
        <f t="shared" si="6"/>
        <v>1.2686515954768884</v>
      </c>
      <c r="G44" s="549">
        <f t="shared" si="6"/>
        <v>1.3108141234335737</v>
      </c>
    </row>
    <row r="45" spans="1:7" ht="15">
      <c r="A45" s="403"/>
      <c r="B45" s="398" t="s">
        <v>624</v>
      </c>
      <c r="C45" s="409"/>
      <c r="D45" s="409"/>
      <c r="E45" s="409"/>
      <c r="F45" s="409"/>
      <c r="G45" s="544"/>
    </row>
    <row r="46" spans="1:7" ht="15">
      <c r="A46" s="403">
        <v>31</v>
      </c>
      <c r="B46" s="404" t="s">
        <v>625</v>
      </c>
      <c r="C46" s="478">
        <v>14757354181.663342</v>
      </c>
      <c r="D46" s="478">
        <v>14161211127.763449</v>
      </c>
      <c r="E46" s="478">
        <v>13406712899.002537</v>
      </c>
      <c r="F46" s="478">
        <v>12241300687.892048</v>
      </c>
      <c r="G46" s="550">
        <v>14305007322.6684</v>
      </c>
    </row>
    <row r="47" spans="1:7" ht="15">
      <c r="A47" s="403">
        <v>32</v>
      </c>
      <c r="B47" s="404" t="s">
        <v>626</v>
      </c>
      <c r="C47" s="478">
        <v>10532377786.909607</v>
      </c>
      <c r="D47" s="478">
        <v>10298020443.480051</v>
      </c>
      <c r="E47" s="478">
        <v>9753322545.5996742</v>
      </c>
      <c r="F47" s="478">
        <v>8960585803.8593292</v>
      </c>
      <c r="G47" s="550">
        <v>10299677215.322989</v>
      </c>
    </row>
    <row r="48" spans="1:7" thickBot="1">
      <c r="A48" s="109">
        <v>33</v>
      </c>
      <c r="B48" s="217" t="s">
        <v>627</v>
      </c>
      <c r="C48" s="551">
        <f>C46/C47</f>
        <v>1.4011417440803193</v>
      </c>
      <c r="D48" s="551">
        <f>D46/D47</f>
        <v>1.3751391547032017</v>
      </c>
      <c r="E48" s="551">
        <f>E46/E47</f>
        <v>1.3745790561444247</v>
      </c>
      <c r="F48" s="551">
        <f>IFERROR(F46/F47,0)</f>
        <v>1.3661272773728379</v>
      </c>
      <c r="G48" s="552">
        <f>IFERROR(G46/G47,0)</f>
        <v>1.3888791875328501</v>
      </c>
    </row>
    <row r="49" spans="1:7">
      <c r="A49" s="17"/>
    </row>
    <row r="50" spans="1:7" ht="39.75">
      <c r="B50" s="20" t="s">
        <v>603</v>
      </c>
    </row>
    <row r="51" spans="1:7" ht="65.25">
      <c r="B51" s="312" t="s">
        <v>524</v>
      </c>
      <c r="D51" s="290"/>
      <c r="E51" s="290"/>
      <c r="F51" s="290"/>
      <c r="G51" s="29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15" activePane="bottomRight" state="frozen"/>
      <selection activeCell="B47" sqref="B47"/>
      <selection pane="topRight" activeCell="B47" sqref="B47"/>
      <selection pane="bottomLeft" activeCell="B47" sqref="B47"/>
      <selection pane="bottomRight" activeCell="B47" sqref="B47"/>
    </sheetView>
  </sheetViews>
  <sheetFormatPr defaultRowHeight="15"/>
  <cols>
    <col min="1" max="1" width="9.5703125" style="1" bestFit="1" customWidth="1"/>
    <col min="2" max="2" width="55.140625" style="1" bestFit="1" customWidth="1"/>
    <col min="3" max="3" width="16" style="1" customWidth="1"/>
    <col min="4" max="4" width="15.140625" style="1" customWidth="1"/>
    <col min="5" max="5" width="14.5703125" style="1" customWidth="1"/>
    <col min="6" max="6" width="12.7109375" style="1" bestFit="1" customWidth="1"/>
    <col min="7" max="7" width="13.7109375" style="1" customWidth="1"/>
    <col min="8" max="8" width="14.5703125" style="1" customWidth="1"/>
  </cols>
  <sheetData>
    <row r="1" spans="1:8" ht="15.75">
      <c r="A1" s="14" t="s">
        <v>188</v>
      </c>
      <c r="B1" s="290" t="str">
        <f>Info!C2</f>
        <v>სს ”საქართველოს ბანკი”</v>
      </c>
    </row>
    <row r="2" spans="1:8" ht="15.75">
      <c r="A2" s="14" t="s">
        <v>189</v>
      </c>
      <c r="B2" s="407">
        <f>'1. key ratios'!B2</f>
        <v>44286</v>
      </c>
    </row>
    <row r="3" spans="1:8" ht="15.75">
      <c r="A3" s="14"/>
    </row>
    <row r="4" spans="1:8" ht="16.5" thickBot="1">
      <c r="A4" s="28" t="s">
        <v>405</v>
      </c>
      <c r="B4" s="67" t="s">
        <v>244</v>
      </c>
      <c r="C4" s="28"/>
      <c r="D4" s="29"/>
      <c r="E4" s="29"/>
      <c r="F4" s="30"/>
      <c r="G4" s="30"/>
      <c r="H4" s="31" t="s">
        <v>93</v>
      </c>
    </row>
    <row r="5" spans="1:8" ht="15.75">
      <c r="A5" s="32"/>
      <c r="B5" s="33"/>
      <c r="C5" s="569" t="s">
        <v>194</v>
      </c>
      <c r="D5" s="570"/>
      <c r="E5" s="571"/>
      <c r="F5" s="569" t="s">
        <v>195</v>
      </c>
      <c r="G5" s="570"/>
      <c r="H5" s="572"/>
    </row>
    <row r="6" spans="1:8" ht="15.75">
      <c r="A6" s="34" t="s">
        <v>26</v>
      </c>
      <c r="B6" s="35" t="s">
        <v>153</v>
      </c>
      <c r="C6" s="36" t="s">
        <v>27</v>
      </c>
      <c r="D6" s="36" t="s">
        <v>94</v>
      </c>
      <c r="E6" s="36" t="s">
        <v>68</v>
      </c>
      <c r="F6" s="36" t="s">
        <v>27</v>
      </c>
      <c r="G6" s="36" t="s">
        <v>94</v>
      </c>
      <c r="H6" s="37" t="s">
        <v>68</v>
      </c>
    </row>
    <row r="7" spans="1:8" ht="15.75">
      <c r="A7" s="34">
        <v>1</v>
      </c>
      <c r="B7" s="38" t="s">
        <v>154</v>
      </c>
      <c r="C7" s="414">
        <v>278213022.87599999</v>
      </c>
      <c r="D7" s="414">
        <v>340969879.08999997</v>
      </c>
      <c r="E7" s="219">
        <f>C7+D7</f>
        <v>619182901.96599996</v>
      </c>
      <c r="F7" s="452">
        <v>252417660</v>
      </c>
      <c r="G7" s="453">
        <v>339522247</v>
      </c>
      <c r="H7" s="454">
        <v>591939907</v>
      </c>
    </row>
    <row r="8" spans="1:8" ht="15.75">
      <c r="A8" s="34">
        <v>2</v>
      </c>
      <c r="B8" s="38" t="s">
        <v>155</v>
      </c>
      <c r="C8" s="414">
        <v>19638083.670000002</v>
      </c>
      <c r="D8" s="414">
        <v>2136202414.6400001</v>
      </c>
      <c r="E8" s="219">
        <f t="shared" ref="E8:E20" si="0">C8+D8</f>
        <v>2155840498.3099999</v>
      </c>
      <c r="F8" s="455">
        <v>179281580</v>
      </c>
      <c r="G8" s="456">
        <v>1868185289</v>
      </c>
      <c r="H8" s="457">
        <v>2047466869</v>
      </c>
    </row>
    <row r="9" spans="1:8" ht="15.75">
      <c r="A9" s="34">
        <v>3</v>
      </c>
      <c r="B9" s="38" t="s">
        <v>156</v>
      </c>
      <c r="C9" s="414">
        <v>89396.3</v>
      </c>
      <c r="D9" s="414">
        <v>1662620254.49</v>
      </c>
      <c r="E9" s="219">
        <f t="shared" si="0"/>
        <v>1662709650.79</v>
      </c>
      <c r="F9" s="455">
        <v>37610</v>
      </c>
      <c r="G9" s="456">
        <v>780436195</v>
      </c>
      <c r="H9" s="457">
        <v>780473806</v>
      </c>
    </row>
    <row r="10" spans="1:8" ht="15.75">
      <c r="A10" s="34">
        <v>4</v>
      </c>
      <c r="B10" s="38" t="s">
        <v>185</v>
      </c>
      <c r="C10" s="414">
        <v>303.24</v>
      </c>
      <c r="D10" s="414">
        <v>0</v>
      </c>
      <c r="E10" s="219">
        <f t="shared" si="0"/>
        <v>303.24</v>
      </c>
      <c r="F10" s="455">
        <v>303</v>
      </c>
      <c r="G10" s="456">
        <v>0</v>
      </c>
      <c r="H10" s="457">
        <v>303</v>
      </c>
    </row>
    <row r="11" spans="1:8" ht="15.75">
      <c r="A11" s="34">
        <v>5</v>
      </c>
      <c r="B11" s="38" t="s">
        <v>157</v>
      </c>
      <c r="C11" s="414">
        <v>2186964361.7695999</v>
      </c>
      <c r="D11" s="414">
        <v>36917487.024799995</v>
      </c>
      <c r="E11" s="219">
        <f t="shared" si="0"/>
        <v>2223881848.7943997</v>
      </c>
      <c r="F11" s="455">
        <v>1781491553</v>
      </c>
      <c r="G11" s="456">
        <v>0</v>
      </c>
      <c r="H11" s="457">
        <v>1781491553</v>
      </c>
    </row>
    <row r="12" spans="1:8" ht="15.75">
      <c r="A12" s="34">
        <v>6.1</v>
      </c>
      <c r="B12" s="39" t="s">
        <v>158</v>
      </c>
      <c r="C12" s="414">
        <v>5999327828.3799992</v>
      </c>
      <c r="D12" s="414">
        <v>7720121803.3325996</v>
      </c>
      <c r="E12" s="219">
        <f t="shared" si="0"/>
        <v>13719449631.712599</v>
      </c>
      <c r="F12" s="455">
        <v>5032862718</v>
      </c>
      <c r="G12" s="456">
        <v>7435856805</v>
      </c>
      <c r="H12" s="457">
        <v>12468719523</v>
      </c>
    </row>
    <row r="13" spans="1:8" ht="15.75">
      <c r="A13" s="34">
        <v>6.2</v>
      </c>
      <c r="B13" s="39" t="s">
        <v>159</v>
      </c>
      <c r="C13" s="414">
        <v>-289809380.29289997</v>
      </c>
      <c r="D13" s="414">
        <v>-448782570.81809998</v>
      </c>
      <c r="E13" s="219">
        <f t="shared" si="0"/>
        <v>-738591951.11099994</v>
      </c>
      <c r="F13" s="455">
        <v>-572414784</v>
      </c>
      <c r="G13" s="456">
        <v>-256845997</v>
      </c>
      <c r="H13" s="457">
        <v>-829260781</v>
      </c>
    </row>
    <row r="14" spans="1:8" ht="15.75">
      <c r="A14" s="34">
        <v>6</v>
      </c>
      <c r="B14" s="38" t="s">
        <v>160</v>
      </c>
      <c r="C14" s="415">
        <f>C12+C13</f>
        <v>5709518448.0870991</v>
      </c>
      <c r="D14" s="415">
        <f>D12+D13</f>
        <v>7271339232.5144997</v>
      </c>
      <c r="E14" s="219">
        <f t="shared" si="0"/>
        <v>12980857680.601599</v>
      </c>
      <c r="F14" s="457">
        <v>4460447935</v>
      </c>
      <c r="G14" s="458">
        <v>7179010808</v>
      </c>
      <c r="H14" s="457">
        <v>11639458742</v>
      </c>
    </row>
    <row r="15" spans="1:8" ht="15.75">
      <c r="A15" s="34">
        <v>7</v>
      </c>
      <c r="B15" s="38" t="s">
        <v>161</v>
      </c>
      <c r="C15" s="414">
        <v>156142716.65000001</v>
      </c>
      <c r="D15" s="414">
        <v>63067813.645199999</v>
      </c>
      <c r="E15" s="219">
        <f t="shared" si="0"/>
        <v>219210530.29519999</v>
      </c>
      <c r="F15" s="455">
        <v>101410970</v>
      </c>
      <c r="G15" s="456">
        <v>49088804</v>
      </c>
      <c r="H15" s="457">
        <v>150499774</v>
      </c>
    </row>
    <row r="16" spans="1:8" ht="15.75">
      <c r="A16" s="34">
        <v>8</v>
      </c>
      <c r="B16" s="38" t="s">
        <v>162</v>
      </c>
      <c r="C16" s="414">
        <v>101668536.62800001</v>
      </c>
      <c r="D16" s="414">
        <v>0</v>
      </c>
      <c r="E16" s="219">
        <f t="shared" si="0"/>
        <v>101668536.62800001</v>
      </c>
      <c r="F16" s="455">
        <v>100161763</v>
      </c>
      <c r="G16" s="456">
        <v>0</v>
      </c>
      <c r="H16" s="457">
        <v>100161763</v>
      </c>
    </row>
    <row r="17" spans="1:8" ht="15.75">
      <c r="A17" s="34">
        <v>9</v>
      </c>
      <c r="B17" s="38" t="s">
        <v>163</v>
      </c>
      <c r="C17" s="414">
        <v>146816124.55000001</v>
      </c>
      <c r="D17" s="414">
        <v>3188980.7299999995</v>
      </c>
      <c r="E17" s="219">
        <f t="shared" si="0"/>
        <v>150005105.28</v>
      </c>
      <c r="F17" s="455">
        <v>146256313</v>
      </c>
      <c r="G17" s="456">
        <v>2186106</v>
      </c>
      <c r="H17" s="457">
        <v>148442419</v>
      </c>
    </row>
    <row r="18" spans="1:8" ht="15.75">
      <c r="A18" s="34">
        <v>10</v>
      </c>
      <c r="B18" s="38" t="s">
        <v>164</v>
      </c>
      <c r="C18" s="414">
        <v>508270273</v>
      </c>
      <c r="D18" s="414">
        <v>0</v>
      </c>
      <c r="E18" s="219">
        <f t="shared" si="0"/>
        <v>508270273</v>
      </c>
      <c r="F18" s="455">
        <v>514261012</v>
      </c>
      <c r="G18" s="456">
        <v>0</v>
      </c>
      <c r="H18" s="457">
        <v>514261012</v>
      </c>
    </row>
    <row r="19" spans="1:8" ht="15.75">
      <c r="A19" s="34">
        <v>11</v>
      </c>
      <c r="B19" s="38" t="s">
        <v>165</v>
      </c>
      <c r="C19" s="414">
        <v>162944822.6566</v>
      </c>
      <c r="D19" s="414">
        <v>102034748.00520001</v>
      </c>
      <c r="E19" s="219">
        <f t="shared" si="0"/>
        <v>264979570.66180003</v>
      </c>
      <c r="F19" s="455">
        <v>203233648</v>
      </c>
      <c r="G19" s="456">
        <v>28640689</v>
      </c>
      <c r="H19" s="457">
        <v>231874337</v>
      </c>
    </row>
    <row r="20" spans="1:8" ht="15.75">
      <c r="A20" s="34">
        <v>12</v>
      </c>
      <c r="B20" s="40" t="s">
        <v>166</v>
      </c>
      <c r="C20" s="415">
        <f>SUM(C7:C11)+SUM(C14:C19)</f>
        <v>9270266089.4272995</v>
      </c>
      <c r="D20" s="415">
        <f>SUM(D7:D11)+SUM(D14:D19)</f>
        <v>11616340810.1397</v>
      </c>
      <c r="E20" s="219">
        <f t="shared" si="0"/>
        <v>20886606899.567001</v>
      </c>
      <c r="F20" s="457">
        <v>7739000347</v>
      </c>
      <c r="G20" s="458">
        <v>10247070138</v>
      </c>
      <c r="H20" s="457">
        <v>17986070485</v>
      </c>
    </row>
    <row r="21" spans="1:8" ht="15.75">
      <c r="A21" s="34"/>
      <c r="B21" s="35" t="s">
        <v>183</v>
      </c>
      <c r="C21" s="416"/>
      <c r="D21" s="416"/>
      <c r="E21" s="220"/>
      <c r="F21" s="459"/>
      <c r="G21" s="460"/>
      <c r="H21" s="459"/>
    </row>
    <row r="22" spans="1:8" ht="15.75">
      <c r="A22" s="34">
        <v>13</v>
      </c>
      <c r="B22" s="38" t="s">
        <v>167</v>
      </c>
      <c r="C22" s="414">
        <v>135628097.84</v>
      </c>
      <c r="D22" s="414">
        <v>166374078.08000001</v>
      </c>
      <c r="E22" s="219">
        <f>C22+D22</f>
        <v>302002175.92000002</v>
      </c>
      <c r="F22" s="455">
        <v>130050802</v>
      </c>
      <c r="G22" s="456">
        <v>118219060</v>
      </c>
      <c r="H22" s="457">
        <v>248269862</v>
      </c>
    </row>
    <row r="23" spans="1:8" ht="15.75">
      <c r="A23" s="34">
        <v>14</v>
      </c>
      <c r="B23" s="38" t="s">
        <v>168</v>
      </c>
      <c r="C23" s="414">
        <v>1370602198.6164999</v>
      </c>
      <c r="D23" s="414">
        <v>1736691206.3699999</v>
      </c>
      <c r="E23" s="219">
        <f t="shared" ref="E23:E40" si="1">C23+D23</f>
        <v>3107293404.9864998</v>
      </c>
      <c r="F23" s="455">
        <v>848470409</v>
      </c>
      <c r="G23" s="456">
        <v>1614122006</v>
      </c>
      <c r="H23" s="457">
        <v>2462592416</v>
      </c>
    </row>
    <row r="24" spans="1:8" ht="15.75">
      <c r="A24" s="34">
        <v>15</v>
      </c>
      <c r="B24" s="38" t="s">
        <v>169</v>
      </c>
      <c r="C24" s="414">
        <v>958973239.89999998</v>
      </c>
      <c r="D24" s="414">
        <v>2185233295.8199997</v>
      </c>
      <c r="E24" s="219">
        <f t="shared" si="1"/>
        <v>3144206535.7199998</v>
      </c>
      <c r="F24" s="455">
        <v>709612239</v>
      </c>
      <c r="G24" s="456">
        <v>1818776411</v>
      </c>
      <c r="H24" s="457">
        <v>2528388650</v>
      </c>
    </row>
    <row r="25" spans="1:8" ht="15.75">
      <c r="A25" s="34">
        <v>16</v>
      </c>
      <c r="B25" s="38" t="s">
        <v>170</v>
      </c>
      <c r="C25" s="414">
        <v>2817765009.4700003</v>
      </c>
      <c r="D25" s="414">
        <v>4402544460.5</v>
      </c>
      <c r="E25" s="219">
        <f t="shared" si="1"/>
        <v>7220309469.9700003</v>
      </c>
      <c r="F25" s="455">
        <v>1423120903</v>
      </c>
      <c r="G25" s="456">
        <v>3781525895</v>
      </c>
      <c r="H25" s="457">
        <v>5204646797</v>
      </c>
    </row>
    <row r="26" spans="1:8" ht="15.75">
      <c r="A26" s="34">
        <v>17</v>
      </c>
      <c r="B26" s="38" t="s">
        <v>171</v>
      </c>
      <c r="C26" s="414">
        <v>0</v>
      </c>
      <c r="D26" s="414">
        <v>1138896462.5999999</v>
      </c>
      <c r="E26" s="219">
        <f t="shared" si="1"/>
        <v>1138896462.5999999</v>
      </c>
      <c r="F26" s="455">
        <v>602242230</v>
      </c>
      <c r="G26" s="456">
        <v>1221318334</v>
      </c>
      <c r="H26" s="457">
        <v>1823560563</v>
      </c>
    </row>
    <row r="27" spans="1:8" ht="15.75">
      <c r="A27" s="34">
        <v>18</v>
      </c>
      <c r="B27" s="38" t="s">
        <v>172</v>
      </c>
      <c r="C27" s="414">
        <v>1396948076.5999999</v>
      </c>
      <c r="D27" s="414">
        <v>846226773.70000005</v>
      </c>
      <c r="E27" s="219">
        <f t="shared" si="1"/>
        <v>2243174850.3000002</v>
      </c>
      <c r="F27" s="455">
        <v>2318729865</v>
      </c>
      <c r="G27" s="456">
        <v>544386708</v>
      </c>
      <c r="H27" s="457">
        <v>2863116573</v>
      </c>
    </row>
    <row r="28" spans="1:8" ht="15.75">
      <c r="A28" s="34">
        <v>19</v>
      </c>
      <c r="B28" s="38" t="s">
        <v>173</v>
      </c>
      <c r="C28" s="414">
        <v>48389826.090000004</v>
      </c>
      <c r="D28" s="414">
        <v>51390013.710000001</v>
      </c>
      <c r="E28" s="219">
        <f t="shared" si="1"/>
        <v>99779839.800000012</v>
      </c>
      <c r="F28" s="455">
        <v>62965494</v>
      </c>
      <c r="G28" s="456">
        <v>51745942</v>
      </c>
      <c r="H28" s="457">
        <v>114711437</v>
      </c>
    </row>
    <row r="29" spans="1:8" ht="15.75">
      <c r="A29" s="34">
        <v>20</v>
      </c>
      <c r="B29" s="38" t="s">
        <v>95</v>
      </c>
      <c r="C29" s="414">
        <v>144654319.24000001</v>
      </c>
      <c r="D29" s="414">
        <v>289484729.76059997</v>
      </c>
      <c r="E29" s="219">
        <f t="shared" si="1"/>
        <v>434139049.00059998</v>
      </c>
      <c r="F29" s="455">
        <v>68944582</v>
      </c>
      <c r="G29" s="456">
        <v>372843395</v>
      </c>
      <c r="H29" s="457">
        <v>441787977</v>
      </c>
    </row>
    <row r="30" spans="1:8" ht="15.75">
      <c r="A30" s="34">
        <v>21</v>
      </c>
      <c r="B30" s="38" t="s">
        <v>174</v>
      </c>
      <c r="C30" s="414">
        <v>0</v>
      </c>
      <c r="D30" s="414">
        <v>1149776600</v>
      </c>
      <c r="E30" s="219">
        <f t="shared" si="1"/>
        <v>1149776600</v>
      </c>
      <c r="F30" s="455">
        <v>0</v>
      </c>
      <c r="G30" s="456">
        <v>860539000</v>
      </c>
      <c r="H30" s="457">
        <v>860539000</v>
      </c>
    </row>
    <row r="31" spans="1:8" ht="15.75">
      <c r="A31" s="34">
        <v>22</v>
      </c>
      <c r="B31" s="40" t="s">
        <v>175</v>
      </c>
      <c r="C31" s="415">
        <f>SUM(C22:C30)</f>
        <v>6872960767.7565002</v>
      </c>
      <c r="D31" s="415">
        <f>SUM(D22:D30)</f>
        <v>11966617620.540598</v>
      </c>
      <c r="E31" s="219">
        <f>C31+D31</f>
        <v>18839578388.297096</v>
      </c>
      <c r="F31" s="457">
        <v>6164136524</v>
      </c>
      <c r="G31" s="458">
        <v>10383476752</v>
      </c>
      <c r="H31" s="457">
        <v>16547613276</v>
      </c>
    </row>
    <row r="32" spans="1:8" ht="15.75">
      <c r="A32" s="34"/>
      <c r="B32" s="35" t="s">
        <v>184</v>
      </c>
      <c r="C32" s="416"/>
      <c r="D32" s="416"/>
      <c r="E32" s="218"/>
      <c r="F32" s="459"/>
      <c r="G32" s="460"/>
      <c r="H32" s="455"/>
    </row>
    <row r="33" spans="1:8" ht="15.75">
      <c r="A33" s="34">
        <v>23</v>
      </c>
      <c r="B33" s="38" t="s">
        <v>176</v>
      </c>
      <c r="C33" s="414">
        <v>27993660.18</v>
      </c>
      <c r="D33" s="416"/>
      <c r="E33" s="219">
        <f t="shared" si="1"/>
        <v>27993660.18</v>
      </c>
      <c r="F33" s="455">
        <v>27993660</v>
      </c>
      <c r="G33" s="460"/>
      <c r="H33" s="457">
        <v>27993660</v>
      </c>
    </row>
    <row r="34" spans="1:8" ht="15.75">
      <c r="A34" s="34">
        <v>24</v>
      </c>
      <c r="B34" s="38" t="s">
        <v>177</v>
      </c>
      <c r="C34" s="414">
        <v>0</v>
      </c>
      <c r="D34" s="416"/>
      <c r="E34" s="219">
        <f t="shared" si="1"/>
        <v>0</v>
      </c>
      <c r="F34" s="455">
        <v>0</v>
      </c>
      <c r="G34" s="460"/>
      <c r="H34" s="457">
        <v>0</v>
      </c>
    </row>
    <row r="35" spans="1:8" ht="15.75">
      <c r="A35" s="34">
        <v>25</v>
      </c>
      <c r="B35" s="39" t="s">
        <v>178</v>
      </c>
      <c r="C35" s="414">
        <v>-2237680.2000000002</v>
      </c>
      <c r="D35" s="416"/>
      <c r="E35" s="219">
        <f t="shared" si="1"/>
        <v>-2237680.2000000002</v>
      </c>
      <c r="F35" s="455">
        <v>-2237680</v>
      </c>
      <c r="G35" s="460"/>
      <c r="H35" s="457">
        <v>-2237680</v>
      </c>
    </row>
    <row r="36" spans="1:8" ht="15.75">
      <c r="A36" s="34">
        <v>26</v>
      </c>
      <c r="B36" s="38" t="s">
        <v>179</v>
      </c>
      <c r="C36" s="414">
        <v>230740599.25999999</v>
      </c>
      <c r="D36" s="416"/>
      <c r="E36" s="219">
        <f t="shared" si="1"/>
        <v>230740599.25999999</v>
      </c>
      <c r="F36" s="455">
        <v>180628144</v>
      </c>
      <c r="G36" s="460"/>
      <c r="H36" s="457">
        <v>180628144</v>
      </c>
    </row>
    <row r="37" spans="1:8" ht="15.75">
      <c r="A37" s="34">
        <v>27</v>
      </c>
      <c r="B37" s="38" t="s">
        <v>180</v>
      </c>
      <c r="C37" s="414">
        <v>0</v>
      </c>
      <c r="D37" s="416"/>
      <c r="E37" s="219">
        <f t="shared" si="1"/>
        <v>0</v>
      </c>
      <c r="F37" s="455">
        <v>0</v>
      </c>
      <c r="G37" s="460"/>
      <c r="H37" s="457">
        <v>0</v>
      </c>
    </row>
    <row r="38" spans="1:8" ht="15.75">
      <c r="A38" s="34">
        <v>28</v>
      </c>
      <c r="B38" s="38" t="s">
        <v>181</v>
      </c>
      <c r="C38" s="414">
        <v>1741653206.8598976</v>
      </c>
      <c r="D38" s="416"/>
      <c r="E38" s="219">
        <f t="shared" si="1"/>
        <v>1741653206.8598976</v>
      </c>
      <c r="F38" s="455">
        <v>1233715885</v>
      </c>
      <c r="G38" s="460"/>
      <c r="H38" s="457">
        <v>1233715885</v>
      </c>
    </row>
    <row r="39" spans="1:8" ht="15.75">
      <c r="A39" s="34">
        <v>29</v>
      </c>
      <c r="B39" s="38" t="s">
        <v>196</v>
      </c>
      <c r="C39" s="414">
        <v>48878725.140000001</v>
      </c>
      <c r="D39" s="416"/>
      <c r="E39" s="219">
        <f t="shared" si="1"/>
        <v>48878725.140000001</v>
      </c>
      <c r="F39" s="455">
        <v>-1642799</v>
      </c>
      <c r="G39" s="460"/>
      <c r="H39" s="457">
        <v>-1642799</v>
      </c>
    </row>
    <row r="40" spans="1:8" ht="15.75">
      <c r="A40" s="34">
        <v>30</v>
      </c>
      <c r="B40" s="40" t="s">
        <v>182</v>
      </c>
      <c r="C40" s="414">
        <f>SUM(C33:C39)</f>
        <v>2047028511.2398977</v>
      </c>
      <c r="D40" s="416"/>
      <c r="E40" s="219">
        <f t="shared" si="1"/>
        <v>2047028511.2398977</v>
      </c>
      <c r="F40" s="455">
        <v>1438457210</v>
      </c>
      <c r="G40" s="460"/>
      <c r="H40" s="457">
        <v>1438457210</v>
      </c>
    </row>
    <row r="41" spans="1:8" ht="16.5" thickBot="1">
      <c r="A41" s="41">
        <v>31</v>
      </c>
      <c r="B41" s="42" t="s">
        <v>197</v>
      </c>
      <c r="C41" s="221">
        <f>C31+C40</f>
        <v>8919989278.9963989</v>
      </c>
      <c r="D41" s="221">
        <f>D31+D40</f>
        <v>11966617620.540598</v>
      </c>
      <c r="E41" s="221">
        <f>C41+D41</f>
        <v>20886606899.536995</v>
      </c>
      <c r="F41" s="461">
        <v>7602593734</v>
      </c>
      <c r="G41" s="462">
        <v>10383476752</v>
      </c>
      <c r="H41" s="463">
        <v>17986070485</v>
      </c>
    </row>
    <row r="43" spans="1:8">
      <c r="B43" s="43"/>
    </row>
  </sheetData>
  <mergeCells count="2">
    <mergeCell ref="C5:E5"/>
    <mergeCell ref="F5:H5"/>
  </mergeCells>
  <dataValidations count="1">
    <dataValidation type="whole" operator="lessThanOrEqual" allowBlank="1" showInputMessage="1" showErrorMessage="1" sqref="C13:D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42" activePane="bottomRight" state="frozen"/>
      <selection activeCell="B47" sqref="B47"/>
      <selection pane="topRight" activeCell="B47" sqref="B47"/>
      <selection pane="bottomLeft" activeCell="B47" sqref="B47"/>
      <selection pane="bottomRight" activeCell="B47" sqref="B47"/>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4" t="s">
        <v>188</v>
      </c>
      <c r="B1" s="13" t="str">
        <f>Info!C2</f>
        <v>სს ”საქართველოს ბანკი”</v>
      </c>
      <c r="C1" s="13"/>
    </row>
    <row r="2" spans="1:8" ht="15.75">
      <c r="A2" s="14" t="s">
        <v>189</v>
      </c>
      <c r="B2" s="407">
        <f>'1. key ratios'!B2</f>
        <v>44286</v>
      </c>
      <c r="C2" s="26"/>
      <c r="D2" s="15"/>
      <c r="E2" s="15"/>
      <c r="F2" s="15"/>
      <c r="G2" s="15"/>
      <c r="H2" s="15"/>
    </row>
    <row r="3" spans="1:8" ht="15.75">
      <c r="A3" s="14"/>
      <c r="B3" s="13"/>
      <c r="C3" s="26"/>
      <c r="D3" s="15"/>
      <c r="E3" s="15"/>
      <c r="F3" s="15"/>
      <c r="G3" s="15"/>
      <c r="H3" s="15"/>
    </row>
    <row r="4" spans="1:8" ht="16.5" thickBot="1">
      <c r="A4" s="44" t="s">
        <v>406</v>
      </c>
      <c r="B4" s="27" t="s">
        <v>222</v>
      </c>
      <c r="C4" s="30"/>
      <c r="D4" s="30"/>
      <c r="E4" s="30"/>
      <c r="F4" s="44"/>
      <c r="G4" s="44"/>
      <c r="H4" s="45" t="s">
        <v>93</v>
      </c>
    </row>
    <row r="5" spans="1:8" ht="15.75">
      <c r="A5" s="110"/>
      <c r="B5" s="111"/>
      <c r="C5" s="569" t="s">
        <v>194</v>
      </c>
      <c r="D5" s="570"/>
      <c r="E5" s="571"/>
      <c r="F5" s="569" t="s">
        <v>195</v>
      </c>
      <c r="G5" s="570"/>
      <c r="H5" s="572"/>
    </row>
    <row r="6" spans="1:8">
      <c r="A6" s="112" t="s">
        <v>26</v>
      </c>
      <c r="B6" s="46"/>
      <c r="C6" s="47" t="s">
        <v>27</v>
      </c>
      <c r="D6" s="47" t="s">
        <v>96</v>
      </c>
      <c r="E6" s="47" t="s">
        <v>68</v>
      </c>
      <c r="F6" s="47" t="s">
        <v>27</v>
      </c>
      <c r="G6" s="47" t="s">
        <v>96</v>
      </c>
      <c r="H6" s="113" t="s">
        <v>68</v>
      </c>
    </row>
    <row r="7" spans="1:8">
      <c r="A7" s="114"/>
      <c r="B7" s="49" t="s">
        <v>92</v>
      </c>
      <c r="C7" s="50"/>
      <c r="D7" s="50"/>
      <c r="E7" s="50"/>
      <c r="F7" s="50"/>
      <c r="G7" s="50"/>
      <c r="H7" s="115"/>
    </row>
    <row r="8" spans="1:8" ht="15.75">
      <c r="A8" s="114">
        <v>1</v>
      </c>
      <c r="B8" s="51" t="s">
        <v>97</v>
      </c>
      <c r="C8" s="417">
        <v>3442280.47</v>
      </c>
      <c r="D8" s="417">
        <v>-1253743.23</v>
      </c>
      <c r="E8" s="219">
        <f>C8+D8</f>
        <v>2188537.2400000002</v>
      </c>
      <c r="F8" s="464">
        <v>4553195</v>
      </c>
      <c r="G8" s="465">
        <v>5861803</v>
      </c>
      <c r="H8" s="454">
        <v>10414998</v>
      </c>
    </row>
    <row r="9" spans="1:8" ht="15.75">
      <c r="A9" s="114">
        <v>2</v>
      </c>
      <c r="B9" s="51" t="s">
        <v>98</v>
      </c>
      <c r="C9" s="418">
        <f>SUM(C10:C18)</f>
        <v>206234185.32990003</v>
      </c>
      <c r="D9" s="418">
        <f>SUM(D10:D18)</f>
        <v>128332187.43746355</v>
      </c>
      <c r="E9" s="219">
        <f t="shared" ref="E9:E67" si="0">C9+D9</f>
        <v>334566372.76736355</v>
      </c>
      <c r="F9" s="466">
        <v>178932150</v>
      </c>
      <c r="G9" s="467">
        <v>107526352</v>
      </c>
      <c r="H9" s="457">
        <v>286458502</v>
      </c>
    </row>
    <row r="10" spans="1:8" ht="15.75">
      <c r="A10" s="114">
        <v>2.1</v>
      </c>
      <c r="B10" s="52" t="s">
        <v>99</v>
      </c>
      <c r="C10" s="417">
        <v>1</v>
      </c>
      <c r="D10" s="417">
        <v>15998.49</v>
      </c>
      <c r="E10" s="219">
        <f t="shared" si="0"/>
        <v>15999.49</v>
      </c>
      <c r="F10" s="468">
        <v>39449</v>
      </c>
      <c r="G10" s="469">
        <v>11396</v>
      </c>
      <c r="H10" s="457">
        <v>50846</v>
      </c>
    </row>
    <row r="11" spans="1:8" ht="15.75">
      <c r="A11" s="114">
        <v>2.2000000000000002</v>
      </c>
      <c r="B11" s="52" t="s">
        <v>100</v>
      </c>
      <c r="C11" s="417">
        <v>28899149.238200001</v>
      </c>
      <c r="D11" s="417">
        <v>43676453.088941954</v>
      </c>
      <c r="E11" s="219">
        <f t="shared" si="0"/>
        <v>72575602.327141955</v>
      </c>
      <c r="F11" s="468">
        <v>24770700</v>
      </c>
      <c r="G11" s="469">
        <v>33332108</v>
      </c>
      <c r="H11" s="457">
        <v>58102809</v>
      </c>
    </row>
    <row r="12" spans="1:8" ht="15.75">
      <c r="A12" s="114">
        <v>2.2999999999999998</v>
      </c>
      <c r="B12" s="52" t="s">
        <v>101</v>
      </c>
      <c r="C12" s="417">
        <v>1116395.6000000001</v>
      </c>
      <c r="D12" s="417">
        <v>1397653.66</v>
      </c>
      <c r="E12" s="219">
        <f t="shared" si="0"/>
        <v>2514049.2599999998</v>
      </c>
      <c r="F12" s="468">
        <v>620257</v>
      </c>
      <c r="G12" s="469">
        <v>638775</v>
      </c>
      <c r="H12" s="457">
        <v>1259032</v>
      </c>
    </row>
    <row r="13" spans="1:8" ht="15.75">
      <c r="A13" s="114">
        <v>2.4</v>
      </c>
      <c r="B13" s="52" t="s">
        <v>102</v>
      </c>
      <c r="C13" s="417">
        <v>4358038.8846000005</v>
      </c>
      <c r="D13" s="417">
        <v>2381870.5511943167</v>
      </c>
      <c r="E13" s="219">
        <f t="shared" si="0"/>
        <v>6739909.4357943172</v>
      </c>
      <c r="F13" s="468">
        <v>3660887</v>
      </c>
      <c r="G13" s="469">
        <v>1038479</v>
      </c>
      <c r="H13" s="457">
        <v>4699366</v>
      </c>
    </row>
    <row r="14" spans="1:8" ht="15.75">
      <c r="A14" s="114">
        <v>2.5</v>
      </c>
      <c r="B14" s="52" t="s">
        <v>103</v>
      </c>
      <c r="C14" s="417">
        <v>1917455.95</v>
      </c>
      <c r="D14" s="417">
        <v>11179264.780000001</v>
      </c>
      <c r="E14" s="219">
        <f t="shared" si="0"/>
        <v>13096720.73</v>
      </c>
      <c r="F14" s="468">
        <v>1328576</v>
      </c>
      <c r="G14" s="469">
        <v>9824010</v>
      </c>
      <c r="H14" s="457">
        <v>11152586</v>
      </c>
    </row>
    <row r="15" spans="1:8" ht="15.75">
      <c r="A15" s="114">
        <v>2.6</v>
      </c>
      <c r="B15" s="52" t="s">
        <v>104</v>
      </c>
      <c r="C15" s="417">
        <v>8884319.1300000008</v>
      </c>
      <c r="D15" s="417">
        <v>17782769.300427303</v>
      </c>
      <c r="E15" s="219">
        <f t="shared" si="0"/>
        <v>26667088.430427305</v>
      </c>
      <c r="F15" s="468">
        <v>5628659</v>
      </c>
      <c r="G15" s="469">
        <v>18341234</v>
      </c>
      <c r="H15" s="457">
        <v>23969894</v>
      </c>
    </row>
    <row r="16" spans="1:8" ht="15.75">
      <c r="A16" s="114">
        <v>2.7</v>
      </c>
      <c r="B16" s="52" t="s">
        <v>105</v>
      </c>
      <c r="C16" s="417">
        <v>2107658.0370999998</v>
      </c>
      <c r="D16" s="417">
        <v>2483431.3160999999</v>
      </c>
      <c r="E16" s="219">
        <f t="shared" si="0"/>
        <v>4591089.3531999998</v>
      </c>
      <c r="F16" s="468">
        <v>1949792</v>
      </c>
      <c r="G16" s="469">
        <v>2168351</v>
      </c>
      <c r="H16" s="457">
        <v>4118143</v>
      </c>
    </row>
    <row r="17" spans="1:8" ht="15.75">
      <c r="A17" s="114">
        <v>2.8</v>
      </c>
      <c r="B17" s="52" t="s">
        <v>106</v>
      </c>
      <c r="C17" s="417">
        <v>158163160.44</v>
      </c>
      <c r="D17" s="417">
        <v>48736616.400799997</v>
      </c>
      <c r="E17" s="219">
        <f t="shared" si="0"/>
        <v>206899776.84079999</v>
      </c>
      <c r="F17" s="468">
        <v>140325088</v>
      </c>
      <c r="G17" s="469">
        <v>41477546</v>
      </c>
      <c r="H17" s="457">
        <v>181802634</v>
      </c>
    </row>
    <row r="18" spans="1:8" ht="15.75">
      <c r="A18" s="114">
        <v>2.9</v>
      </c>
      <c r="B18" s="52" t="s">
        <v>107</v>
      </c>
      <c r="C18" s="417">
        <v>788007.05</v>
      </c>
      <c r="D18" s="417">
        <v>678129.85</v>
      </c>
      <c r="E18" s="219">
        <f t="shared" si="0"/>
        <v>1466136.9</v>
      </c>
      <c r="F18" s="468">
        <v>608741</v>
      </c>
      <c r="G18" s="469">
        <v>694452</v>
      </c>
      <c r="H18" s="457">
        <v>1303193</v>
      </c>
    </row>
    <row r="19" spans="1:8" ht="15.75">
      <c r="A19" s="114">
        <v>3</v>
      </c>
      <c r="B19" s="51" t="s">
        <v>108</v>
      </c>
      <c r="C19" s="417">
        <v>2567545.71</v>
      </c>
      <c r="D19" s="417">
        <v>597361.74</v>
      </c>
      <c r="E19" s="219">
        <f t="shared" si="0"/>
        <v>3164907.45</v>
      </c>
      <c r="F19" s="468">
        <v>2485863</v>
      </c>
      <c r="G19" s="469">
        <v>422900</v>
      </c>
      <c r="H19" s="457">
        <v>2908763</v>
      </c>
    </row>
    <row r="20" spans="1:8" ht="15.75">
      <c r="A20" s="114">
        <v>4</v>
      </c>
      <c r="B20" s="51" t="s">
        <v>109</v>
      </c>
      <c r="C20" s="417">
        <v>47748623</v>
      </c>
      <c r="D20" s="417">
        <v>873073.59</v>
      </c>
      <c r="E20" s="219">
        <f t="shared" si="0"/>
        <v>48621696.590000004</v>
      </c>
      <c r="F20" s="468">
        <v>39158898</v>
      </c>
      <c r="G20" s="469">
        <v>138955</v>
      </c>
      <c r="H20" s="457">
        <v>39297853</v>
      </c>
    </row>
    <row r="21" spans="1:8" ht="15.75">
      <c r="A21" s="114">
        <v>5</v>
      </c>
      <c r="B21" s="51" t="s">
        <v>110</v>
      </c>
      <c r="C21" s="417">
        <v>0</v>
      </c>
      <c r="D21" s="417">
        <v>0</v>
      </c>
      <c r="E21" s="219">
        <f t="shared" si="0"/>
        <v>0</v>
      </c>
      <c r="F21" s="468">
        <v>0</v>
      </c>
      <c r="G21" s="469">
        <v>0</v>
      </c>
      <c r="H21" s="457">
        <v>0</v>
      </c>
    </row>
    <row r="22" spans="1:8" ht="15.75">
      <c r="A22" s="114">
        <v>6</v>
      </c>
      <c r="B22" s="53" t="s">
        <v>111</v>
      </c>
      <c r="C22" s="418">
        <f>C8+C9+C19+C20+C21</f>
        <v>259992634.50990003</v>
      </c>
      <c r="D22" s="418">
        <f>D8+D9+D19+D20+D21</f>
        <v>128548879.53746355</v>
      </c>
      <c r="E22" s="219">
        <f>C22+D22</f>
        <v>388541514.04736358</v>
      </c>
      <c r="F22" s="466">
        <v>225130107</v>
      </c>
      <c r="G22" s="467">
        <v>113950010</v>
      </c>
      <c r="H22" s="457">
        <v>339080117</v>
      </c>
    </row>
    <row r="23" spans="1:8" ht="15.75">
      <c r="A23" s="114"/>
      <c r="B23" s="49" t="s">
        <v>90</v>
      </c>
      <c r="C23" s="417"/>
      <c r="D23" s="417"/>
      <c r="E23" s="218"/>
      <c r="F23" s="468"/>
      <c r="G23" s="469"/>
      <c r="H23" s="455"/>
    </row>
    <row r="24" spans="1:8" ht="15.75">
      <c r="A24" s="114">
        <v>7</v>
      </c>
      <c r="B24" s="51" t="s">
        <v>112</v>
      </c>
      <c r="C24" s="417">
        <v>21497681.260000002</v>
      </c>
      <c r="D24" s="417">
        <v>6062375.8099999996</v>
      </c>
      <c r="E24" s="219">
        <f t="shared" si="0"/>
        <v>27560057.07</v>
      </c>
      <c r="F24" s="468">
        <v>15934367</v>
      </c>
      <c r="G24" s="469">
        <v>4907613</v>
      </c>
      <c r="H24" s="457">
        <v>20841980</v>
      </c>
    </row>
    <row r="25" spans="1:8" ht="15.75">
      <c r="A25" s="114">
        <v>8</v>
      </c>
      <c r="B25" s="51" t="s">
        <v>113</v>
      </c>
      <c r="C25" s="417">
        <v>71312173.530000001</v>
      </c>
      <c r="D25" s="417">
        <v>27204057.809999999</v>
      </c>
      <c r="E25" s="219">
        <f t="shared" si="0"/>
        <v>98516231.340000004</v>
      </c>
      <c r="F25" s="468">
        <v>36689583</v>
      </c>
      <c r="G25" s="469">
        <v>26443622</v>
      </c>
      <c r="H25" s="457">
        <v>63133205</v>
      </c>
    </row>
    <row r="26" spans="1:8" ht="15.75">
      <c r="A26" s="114">
        <v>9</v>
      </c>
      <c r="B26" s="51" t="s">
        <v>114</v>
      </c>
      <c r="C26" s="417">
        <v>1514972.02</v>
      </c>
      <c r="D26" s="417">
        <v>2011.3</v>
      </c>
      <c r="E26" s="219">
        <f t="shared" si="0"/>
        <v>1516983.32</v>
      </c>
      <c r="F26" s="468">
        <v>1082106</v>
      </c>
      <c r="G26" s="469">
        <v>289218</v>
      </c>
      <c r="H26" s="457">
        <v>1371324</v>
      </c>
    </row>
    <row r="27" spans="1:8" ht="15.75">
      <c r="A27" s="114">
        <v>10</v>
      </c>
      <c r="B27" s="51" t="s">
        <v>115</v>
      </c>
      <c r="C27" s="417">
        <v>682873.44</v>
      </c>
      <c r="D27" s="417">
        <v>26756040.129999999</v>
      </c>
      <c r="E27" s="219">
        <f t="shared" si="0"/>
        <v>27438913.57</v>
      </c>
      <c r="F27" s="468">
        <v>16310711</v>
      </c>
      <c r="G27" s="469">
        <v>27294401</v>
      </c>
      <c r="H27" s="457">
        <v>43605113</v>
      </c>
    </row>
    <row r="28" spans="1:8" ht="15.75">
      <c r="A28" s="114">
        <v>11</v>
      </c>
      <c r="B28" s="51" t="s">
        <v>116</v>
      </c>
      <c r="C28" s="417">
        <v>32004697.629999999</v>
      </c>
      <c r="D28" s="417">
        <v>15920670.050000001</v>
      </c>
      <c r="E28" s="219">
        <f t="shared" si="0"/>
        <v>47925367.68</v>
      </c>
      <c r="F28" s="468">
        <v>46255064</v>
      </c>
      <c r="G28" s="469">
        <v>15464577</v>
      </c>
      <c r="H28" s="457">
        <v>61719641</v>
      </c>
    </row>
    <row r="29" spans="1:8" ht="15.75">
      <c r="A29" s="114">
        <v>12</v>
      </c>
      <c r="B29" s="51" t="s">
        <v>117</v>
      </c>
      <c r="C29" s="417">
        <v>0</v>
      </c>
      <c r="D29" s="417">
        <v>0</v>
      </c>
      <c r="E29" s="219">
        <f t="shared" si="0"/>
        <v>0</v>
      </c>
      <c r="F29" s="468">
        <v>0</v>
      </c>
      <c r="G29" s="469">
        <v>0</v>
      </c>
      <c r="H29" s="457">
        <v>0</v>
      </c>
    </row>
    <row r="30" spans="1:8" ht="15.75">
      <c r="A30" s="114">
        <v>13</v>
      </c>
      <c r="B30" s="54" t="s">
        <v>118</v>
      </c>
      <c r="C30" s="418">
        <f>SUM(C24:C29)</f>
        <v>127012397.88</v>
      </c>
      <c r="D30" s="418">
        <f>SUM(D24:D29)</f>
        <v>75945155.099999994</v>
      </c>
      <c r="E30" s="219">
        <f t="shared" si="0"/>
        <v>202957552.97999999</v>
      </c>
      <c r="F30" s="466">
        <v>116271831</v>
      </c>
      <c r="G30" s="467">
        <v>74399432</v>
      </c>
      <c r="H30" s="457">
        <v>190671263</v>
      </c>
    </row>
    <row r="31" spans="1:8" ht="15.75">
      <c r="A31" s="114">
        <v>14</v>
      </c>
      <c r="B31" s="54" t="s">
        <v>119</v>
      </c>
      <c r="C31" s="418">
        <f>C22-C30</f>
        <v>132980236.62990004</v>
      </c>
      <c r="D31" s="418">
        <f>D22-D30</f>
        <v>52603724.437463552</v>
      </c>
      <c r="E31" s="219">
        <f t="shared" si="0"/>
        <v>185583961.06736359</v>
      </c>
      <c r="F31" s="466">
        <v>108858275</v>
      </c>
      <c r="G31" s="467">
        <v>39550578</v>
      </c>
      <c r="H31" s="457">
        <v>148408854</v>
      </c>
    </row>
    <row r="32" spans="1:8">
      <c r="A32" s="114"/>
      <c r="B32" s="49"/>
      <c r="C32" s="419"/>
      <c r="D32" s="419"/>
      <c r="E32" s="223"/>
      <c r="F32" s="470"/>
      <c r="G32" s="471"/>
      <c r="H32" s="470"/>
    </row>
    <row r="33" spans="1:8" ht="15.75">
      <c r="A33" s="114"/>
      <c r="B33" s="49" t="s">
        <v>120</v>
      </c>
      <c r="C33" s="417"/>
      <c r="D33" s="417"/>
      <c r="E33" s="218"/>
      <c r="F33" s="468"/>
      <c r="G33" s="469"/>
      <c r="H33" s="455"/>
    </row>
    <row r="34" spans="1:8" ht="15.75">
      <c r="A34" s="114">
        <v>15</v>
      </c>
      <c r="B34" s="48" t="s">
        <v>91</v>
      </c>
      <c r="C34" s="420">
        <f>C35-C36</f>
        <v>43121180.130000003</v>
      </c>
      <c r="D34" s="420">
        <f>D35-D36</f>
        <v>-3566742.7799999993</v>
      </c>
      <c r="E34" s="219">
        <f t="shared" si="0"/>
        <v>39554437.350000001</v>
      </c>
      <c r="F34" s="466">
        <v>38481074</v>
      </c>
      <c r="G34" s="467">
        <v>-7723121</v>
      </c>
      <c r="H34" s="457">
        <v>30757953</v>
      </c>
    </row>
    <row r="35" spans="1:8" ht="15.75">
      <c r="A35" s="114">
        <v>15.1</v>
      </c>
      <c r="B35" s="52" t="s">
        <v>121</v>
      </c>
      <c r="C35" s="417">
        <v>55005989.710000001</v>
      </c>
      <c r="D35" s="417">
        <v>14358305.1</v>
      </c>
      <c r="E35" s="219">
        <f t="shared" si="0"/>
        <v>69364294.810000002</v>
      </c>
      <c r="F35" s="468">
        <v>48578474</v>
      </c>
      <c r="G35" s="469">
        <v>15216077</v>
      </c>
      <c r="H35" s="457">
        <v>63794551</v>
      </c>
    </row>
    <row r="36" spans="1:8" ht="15.75">
      <c r="A36" s="114">
        <v>15.2</v>
      </c>
      <c r="B36" s="52" t="s">
        <v>122</v>
      </c>
      <c r="C36" s="417">
        <v>11884809.58</v>
      </c>
      <c r="D36" s="417">
        <v>17925047.879999999</v>
      </c>
      <c r="E36" s="219">
        <f t="shared" si="0"/>
        <v>29809857.460000001</v>
      </c>
      <c r="F36" s="468">
        <v>10097400</v>
      </c>
      <c r="G36" s="469">
        <v>22939199</v>
      </c>
      <c r="H36" s="457">
        <v>33036599</v>
      </c>
    </row>
    <row r="37" spans="1:8" ht="15.75">
      <c r="A37" s="114">
        <v>16</v>
      </c>
      <c r="B37" s="51" t="s">
        <v>123</v>
      </c>
      <c r="C37" s="417">
        <v>0</v>
      </c>
      <c r="D37" s="417">
        <v>0</v>
      </c>
      <c r="E37" s="219">
        <f t="shared" si="0"/>
        <v>0</v>
      </c>
      <c r="F37" s="468">
        <v>632376</v>
      </c>
      <c r="G37" s="469">
        <v>0</v>
      </c>
      <c r="H37" s="457">
        <v>632376</v>
      </c>
    </row>
    <row r="38" spans="1:8" ht="15.75">
      <c r="A38" s="114">
        <v>17</v>
      </c>
      <c r="B38" s="51" t="s">
        <v>124</v>
      </c>
      <c r="C38" s="417">
        <v>0</v>
      </c>
      <c r="D38" s="417">
        <v>0</v>
      </c>
      <c r="E38" s="219">
        <f t="shared" si="0"/>
        <v>0</v>
      </c>
      <c r="F38" s="468">
        <v>0</v>
      </c>
      <c r="G38" s="469">
        <v>1223294</v>
      </c>
      <c r="H38" s="457">
        <v>1223294</v>
      </c>
    </row>
    <row r="39" spans="1:8" ht="15.75">
      <c r="A39" s="114">
        <v>18</v>
      </c>
      <c r="B39" s="51" t="s">
        <v>125</v>
      </c>
      <c r="C39" s="417">
        <v>11418165.42</v>
      </c>
      <c r="D39" s="417">
        <v>29193.09</v>
      </c>
      <c r="E39" s="219">
        <f t="shared" si="0"/>
        <v>11447358.51</v>
      </c>
      <c r="F39" s="468">
        <v>343621</v>
      </c>
      <c r="G39" s="469">
        <v>485323</v>
      </c>
      <c r="H39" s="457">
        <v>828945</v>
      </c>
    </row>
    <row r="40" spans="1:8" ht="15.75">
      <c r="A40" s="114">
        <v>19</v>
      </c>
      <c r="B40" s="51" t="s">
        <v>126</v>
      </c>
      <c r="C40" s="417">
        <v>20495374.690000001</v>
      </c>
      <c r="D40" s="417">
        <v>0</v>
      </c>
      <c r="E40" s="219">
        <f t="shared" si="0"/>
        <v>20495374.690000001</v>
      </c>
      <c r="F40" s="468">
        <v>62856342</v>
      </c>
      <c r="G40" s="469">
        <v>0</v>
      </c>
      <c r="H40" s="457">
        <v>62856342</v>
      </c>
    </row>
    <row r="41" spans="1:8" ht="15.75">
      <c r="A41" s="114">
        <v>20</v>
      </c>
      <c r="B41" s="51" t="s">
        <v>127</v>
      </c>
      <c r="C41" s="417">
        <v>9723239.7200000007</v>
      </c>
      <c r="D41" s="417">
        <v>0</v>
      </c>
      <c r="E41" s="219">
        <f t="shared" si="0"/>
        <v>9723239.7200000007</v>
      </c>
      <c r="F41" s="468">
        <v>-20820704</v>
      </c>
      <c r="G41" s="469">
        <v>0</v>
      </c>
      <c r="H41" s="457">
        <v>-20820704</v>
      </c>
    </row>
    <row r="42" spans="1:8" ht="15.75">
      <c r="A42" s="114">
        <v>21</v>
      </c>
      <c r="B42" s="51" t="s">
        <v>128</v>
      </c>
      <c r="C42" s="417">
        <v>9200724.3699999992</v>
      </c>
      <c r="D42" s="417">
        <v>0</v>
      </c>
      <c r="E42" s="219">
        <f t="shared" si="0"/>
        <v>9200724.3699999992</v>
      </c>
      <c r="F42" s="468">
        <v>1507614</v>
      </c>
      <c r="G42" s="469">
        <v>0</v>
      </c>
      <c r="H42" s="457">
        <v>1507614</v>
      </c>
    </row>
    <row r="43" spans="1:8" ht="15.75">
      <c r="A43" s="114">
        <v>22</v>
      </c>
      <c r="B43" s="51" t="s">
        <v>129</v>
      </c>
      <c r="C43" s="417">
        <v>2764221.02</v>
      </c>
      <c r="D43" s="417">
        <v>7404989.1200000001</v>
      </c>
      <c r="E43" s="219">
        <f t="shared" si="0"/>
        <v>10169210.140000001</v>
      </c>
      <c r="F43" s="468">
        <v>2617479</v>
      </c>
      <c r="G43" s="469">
        <v>8320134</v>
      </c>
      <c r="H43" s="457">
        <v>10937613</v>
      </c>
    </row>
    <row r="44" spans="1:8" ht="15.75">
      <c r="A44" s="114">
        <v>23</v>
      </c>
      <c r="B44" s="51" t="s">
        <v>130</v>
      </c>
      <c r="C44" s="417">
        <v>12709663.449999999</v>
      </c>
      <c r="D44" s="417">
        <v>173073.01693405153</v>
      </c>
      <c r="E44" s="219">
        <f t="shared" si="0"/>
        <v>12882736.466934051</v>
      </c>
      <c r="F44" s="468">
        <v>8061736</v>
      </c>
      <c r="G44" s="469">
        <v>-346</v>
      </c>
      <c r="H44" s="457">
        <v>8061390</v>
      </c>
    </row>
    <row r="45" spans="1:8" ht="15.75">
      <c r="A45" s="114">
        <v>24</v>
      </c>
      <c r="B45" s="54" t="s">
        <v>131</v>
      </c>
      <c r="C45" s="418">
        <f>C34+C37+C38+C39+C40+C41+C42+C43+C44</f>
        <v>109432568.80000001</v>
      </c>
      <c r="D45" s="418">
        <f>D34+D37+D38+D39+D40+D41+D42+D43+D44</f>
        <v>4040512.4469340523</v>
      </c>
      <c r="E45" s="219">
        <f t="shared" si="0"/>
        <v>113473081.24693407</v>
      </c>
      <c r="F45" s="466">
        <v>93679538</v>
      </c>
      <c r="G45" s="467">
        <v>2305284</v>
      </c>
      <c r="H45" s="457">
        <v>95984822</v>
      </c>
    </row>
    <row r="46" spans="1:8">
      <c r="A46" s="114"/>
      <c r="B46" s="49" t="s">
        <v>132</v>
      </c>
      <c r="C46" s="417"/>
      <c r="D46" s="417"/>
      <c r="E46" s="222"/>
      <c r="F46" s="468"/>
      <c r="G46" s="469"/>
      <c r="H46" s="468"/>
    </row>
    <row r="47" spans="1:8" ht="15.75">
      <c r="A47" s="114">
        <v>25</v>
      </c>
      <c r="B47" s="51" t="s">
        <v>133</v>
      </c>
      <c r="C47" s="417">
        <v>4115064.67</v>
      </c>
      <c r="D47" s="417">
        <v>2133057.16</v>
      </c>
      <c r="E47" s="219">
        <f t="shared" si="0"/>
        <v>6248121.8300000001</v>
      </c>
      <c r="F47" s="468">
        <v>2915560</v>
      </c>
      <c r="G47" s="469">
        <v>2155932</v>
      </c>
      <c r="H47" s="457">
        <v>5071492</v>
      </c>
    </row>
    <row r="48" spans="1:8" ht="15.75">
      <c r="A48" s="114">
        <v>26</v>
      </c>
      <c r="B48" s="51" t="s">
        <v>134</v>
      </c>
      <c r="C48" s="417">
        <v>5183217.28</v>
      </c>
      <c r="D48" s="417">
        <v>2539587.23</v>
      </c>
      <c r="E48" s="219">
        <f t="shared" si="0"/>
        <v>7722804.5099999998</v>
      </c>
      <c r="F48" s="468">
        <v>6213017</v>
      </c>
      <c r="G48" s="469">
        <v>4383127</v>
      </c>
      <c r="H48" s="457">
        <v>10596144</v>
      </c>
    </row>
    <row r="49" spans="1:9" ht="15.75">
      <c r="A49" s="114">
        <v>27</v>
      </c>
      <c r="B49" s="51" t="s">
        <v>135</v>
      </c>
      <c r="C49" s="417">
        <v>54846845.140000001</v>
      </c>
      <c r="D49" s="417">
        <v>0</v>
      </c>
      <c r="E49" s="219">
        <f t="shared" si="0"/>
        <v>54846845.140000001</v>
      </c>
      <c r="F49" s="468">
        <v>52184721</v>
      </c>
      <c r="G49" s="469">
        <v>0</v>
      </c>
      <c r="H49" s="457">
        <v>52184721</v>
      </c>
    </row>
    <row r="50" spans="1:9" ht="15.75">
      <c r="A50" s="114">
        <v>28</v>
      </c>
      <c r="B50" s="51" t="s">
        <v>271</v>
      </c>
      <c r="C50" s="417">
        <v>3707440.18</v>
      </c>
      <c r="D50" s="417">
        <v>0</v>
      </c>
      <c r="E50" s="219">
        <f t="shared" si="0"/>
        <v>3707440.18</v>
      </c>
      <c r="F50" s="468">
        <v>2762413</v>
      </c>
      <c r="G50" s="469">
        <v>0</v>
      </c>
      <c r="H50" s="457">
        <v>2762413</v>
      </c>
    </row>
    <row r="51" spans="1:9" ht="15.75">
      <c r="A51" s="114">
        <v>29</v>
      </c>
      <c r="B51" s="51" t="s">
        <v>136</v>
      </c>
      <c r="C51" s="417">
        <v>18622890.98</v>
      </c>
      <c r="D51" s="417">
        <v>0</v>
      </c>
      <c r="E51" s="219">
        <f t="shared" si="0"/>
        <v>18622890.98</v>
      </c>
      <c r="F51" s="468">
        <v>24049803</v>
      </c>
      <c r="G51" s="469">
        <v>0</v>
      </c>
      <c r="H51" s="457">
        <v>24049803</v>
      </c>
    </row>
    <row r="52" spans="1:9" ht="15.75">
      <c r="A52" s="114">
        <v>30</v>
      </c>
      <c r="B52" s="51" t="s">
        <v>137</v>
      </c>
      <c r="C52" s="417">
        <v>14862495.789999999</v>
      </c>
      <c r="D52" s="417">
        <v>171492.25</v>
      </c>
      <c r="E52" s="219">
        <f t="shared" si="0"/>
        <v>15033988.039999999</v>
      </c>
      <c r="F52" s="468">
        <v>13889448</v>
      </c>
      <c r="G52" s="469">
        <v>184111</v>
      </c>
      <c r="H52" s="457">
        <v>14073559</v>
      </c>
    </row>
    <row r="53" spans="1:9" ht="15.75">
      <c r="A53" s="114">
        <v>31</v>
      </c>
      <c r="B53" s="54" t="s">
        <v>138</v>
      </c>
      <c r="C53" s="418">
        <f>C47+C48+C49+C50+C51+C52</f>
        <v>101337954.04000002</v>
      </c>
      <c r="D53" s="418">
        <f>D47+D48+D49+D50+D51+D52</f>
        <v>4844136.6400000006</v>
      </c>
      <c r="E53" s="219">
        <f t="shared" si="0"/>
        <v>106182090.68000002</v>
      </c>
      <c r="F53" s="466">
        <v>102014961</v>
      </c>
      <c r="G53" s="467">
        <v>6723171</v>
      </c>
      <c r="H53" s="457">
        <v>108738132</v>
      </c>
    </row>
    <row r="54" spans="1:9" ht="15.75">
      <c r="A54" s="114">
        <v>32</v>
      </c>
      <c r="B54" s="54" t="s">
        <v>139</v>
      </c>
      <c r="C54" s="418">
        <f>C45-C53</f>
        <v>8094614.7599999905</v>
      </c>
      <c r="D54" s="418">
        <f>D45-D53</f>
        <v>-803624.19306594832</v>
      </c>
      <c r="E54" s="219">
        <f t="shared" si="0"/>
        <v>7290990.5669340417</v>
      </c>
      <c r="F54" s="466">
        <v>-8335423</v>
      </c>
      <c r="G54" s="467">
        <v>-4417887</v>
      </c>
      <c r="H54" s="457">
        <v>-12753310</v>
      </c>
    </row>
    <row r="55" spans="1:9">
      <c r="A55" s="114"/>
      <c r="B55" s="49"/>
      <c r="C55" s="419"/>
      <c r="D55" s="419"/>
      <c r="E55" s="223"/>
      <c r="F55" s="470"/>
      <c r="G55" s="471"/>
      <c r="H55" s="470"/>
    </row>
    <row r="56" spans="1:9" ht="15.75">
      <c r="A56" s="114">
        <v>33</v>
      </c>
      <c r="B56" s="54" t="s">
        <v>140</v>
      </c>
      <c r="C56" s="418">
        <f>C31+C54</f>
        <v>141074851.38990003</v>
      </c>
      <c r="D56" s="418">
        <f>D31+D54</f>
        <v>51800100.244397603</v>
      </c>
      <c r="E56" s="219">
        <f t="shared" si="0"/>
        <v>192874951.63429764</v>
      </c>
      <c r="F56" s="466">
        <v>100522852</v>
      </c>
      <c r="G56" s="467">
        <v>35132692</v>
      </c>
      <c r="H56" s="457">
        <v>135655544</v>
      </c>
    </row>
    <row r="57" spans="1:9">
      <c r="A57" s="114"/>
      <c r="B57" s="49"/>
      <c r="C57" s="419"/>
      <c r="D57" s="419"/>
      <c r="E57" s="223"/>
      <c r="F57" s="470"/>
      <c r="G57" s="471"/>
      <c r="H57" s="470"/>
    </row>
    <row r="58" spans="1:9" ht="15.75">
      <c r="A58" s="114">
        <v>34</v>
      </c>
      <c r="B58" s="51" t="s">
        <v>141</v>
      </c>
      <c r="C58" s="417">
        <v>-7061675.6964999996</v>
      </c>
      <c r="D58" s="417">
        <v>-6793388.4800000004</v>
      </c>
      <c r="E58" s="219">
        <f t="shared" si="0"/>
        <v>-13855064.1765</v>
      </c>
      <c r="F58" s="468">
        <v>454607446</v>
      </c>
      <c r="G58" s="469">
        <v>-1598059</v>
      </c>
      <c r="H58" s="457">
        <v>453009387</v>
      </c>
    </row>
    <row r="59" spans="1:9" s="190" customFormat="1" ht="15.75">
      <c r="A59" s="114">
        <v>35</v>
      </c>
      <c r="B59" s="48" t="s">
        <v>142</v>
      </c>
      <c r="C59" s="417">
        <v>-1423903.97</v>
      </c>
      <c r="D59" s="417">
        <v>0</v>
      </c>
      <c r="E59" s="224">
        <f t="shared" si="0"/>
        <v>-1423903.97</v>
      </c>
      <c r="F59" s="468">
        <v>5046664</v>
      </c>
      <c r="G59" s="469">
        <v>0</v>
      </c>
      <c r="H59" s="472">
        <v>5046664</v>
      </c>
      <c r="I59" s="189"/>
    </row>
    <row r="60" spans="1:9" ht="15.75">
      <c r="A60" s="114">
        <v>36</v>
      </c>
      <c r="B60" s="51" t="s">
        <v>143</v>
      </c>
      <c r="C60" s="417">
        <v>4999530.0608999999</v>
      </c>
      <c r="D60" s="417">
        <v>-153281.29999999999</v>
      </c>
      <c r="E60" s="219">
        <f t="shared" si="0"/>
        <v>4846248.7609000001</v>
      </c>
      <c r="F60" s="468">
        <v>10629017</v>
      </c>
      <c r="G60" s="469">
        <v>1359858</v>
      </c>
      <c r="H60" s="457">
        <v>11988875</v>
      </c>
    </row>
    <row r="61" spans="1:9" ht="15.75">
      <c r="A61" s="114">
        <v>37</v>
      </c>
      <c r="B61" s="54" t="s">
        <v>144</v>
      </c>
      <c r="C61" s="418">
        <f>C58+C59+C60</f>
        <v>-3486049.6056000004</v>
      </c>
      <c r="D61" s="418">
        <f>D58+D59+D60</f>
        <v>-6946669.7800000003</v>
      </c>
      <c r="E61" s="219">
        <f t="shared" si="0"/>
        <v>-10432719.385600001</v>
      </c>
      <c r="F61" s="466">
        <v>470283128</v>
      </c>
      <c r="G61" s="467">
        <v>-238201</v>
      </c>
      <c r="H61" s="457">
        <v>470044926</v>
      </c>
    </row>
    <row r="62" spans="1:9">
      <c r="A62" s="114"/>
      <c r="B62" s="55"/>
      <c r="C62" s="417"/>
      <c r="D62" s="417"/>
      <c r="E62" s="222"/>
      <c r="F62" s="468"/>
      <c r="G62" s="469"/>
      <c r="H62" s="468"/>
    </row>
    <row r="63" spans="1:9" ht="15.75">
      <c r="A63" s="114">
        <v>38</v>
      </c>
      <c r="B63" s="56" t="s">
        <v>272</v>
      </c>
      <c r="C63" s="418">
        <f>C56-C61</f>
        <v>144560900.99550003</v>
      </c>
      <c r="D63" s="418">
        <f>D56-D61</f>
        <v>58746770.024397604</v>
      </c>
      <c r="E63" s="219">
        <f t="shared" si="0"/>
        <v>203307671.01989764</v>
      </c>
      <c r="F63" s="466">
        <v>-369760275</v>
      </c>
      <c r="G63" s="467">
        <v>35370893</v>
      </c>
      <c r="H63" s="457">
        <v>-334389382</v>
      </c>
    </row>
    <row r="64" spans="1:9" ht="15.75">
      <c r="A64" s="112">
        <v>39</v>
      </c>
      <c r="B64" s="51" t="s">
        <v>145</v>
      </c>
      <c r="C64" s="421">
        <v>10751021</v>
      </c>
      <c r="D64" s="421"/>
      <c r="E64" s="219">
        <f t="shared" si="0"/>
        <v>10751021</v>
      </c>
      <c r="F64" s="473">
        <v>-58623336</v>
      </c>
      <c r="G64" s="474"/>
      <c r="H64" s="457">
        <v>-58623336</v>
      </c>
    </row>
    <row r="65" spans="1:8" ht="15.75">
      <c r="A65" s="114">
        <v>40</v>
      </c>
      <c r="B65" s="54" t="s">
        <v>146</v>
      </c>
      <c r="C65" s="418">
        <f>C63-C64</f>
        <v>133809879.99550003</v>
      </c>
      <c r="D65" s="418">
        <f>D63-D64</f>
        <v>58746770.024397604</v>
      </c>
      <c r="E65" s="219">
        <f t="shared" si="0"/>
        <v>192556650.01989764</v>
      </c>
      <c r="F65" s="466">
        <v>-311136939</v>
      </c>
      <c r="G65" s="467">
        <v>35370893</v>
      </c>
      <c r="H65" s="457">
        <v>-275766046</v>
      </c>
    </row>
    <row r="66" spans="1:8" ht="15.75">
      <c r="A66" s="112">
        <v>41</v>
      </c>
      <c r="B66" s="51" t="s">
        <v>147</v>
      </c>
      <c r="C66" s="421">
        <v>-149557.16</v>
      </c>
      <c r="D66" s="421"/>
      <c r="E66" s="219">
        <f t="shared" si="0"/>
        <v>-149557.16</v>
      </c>
      <c r="F66" s="473">
        <v>-649391</v>
      </c>
      <c r="G66" s="474"/>
      <c r="H66" s="457">
        <v>-649391</v>
      </c>
    </row>
    <row r="67" spans="1:8" ht="16.5" thickBot="1">
      <c r="A67" s="116">
        <v>42</v>
      </c>
      <c r="B67" s="117" t="s">
        <v>148</v>
      </c>
      <c r="C67" s="225">
        <f>C65+C66</f>
        <v>133660322.83550003</v>
      </c>
      <c r="D67" s="225">
        <f>D65+D66</f>
        <v>58746770.024397604</v>
      </c>
      <c r="E67" s="221">
        <f t="shared" si="0"/>
        <v>192407092.85989764</v>
      </c>
      <c r="F67" s="475">
        <v>-311786331</v>
      </c>
      <c r="G67" s="476">
        <v>35370893</v>
      </c>
      <c r="H67" s="463">
        <v>-276415438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topLeftCell="A4" zoomScaleNormal="100" workbookViewId="0">
      <selection activeCell="C8" sqref="C8:D11"/>
    </sheetView>
  </sheetViews>
  <sheetFormatPr defaultRowHeight="15"/>
  <cols>
    <col min="1" max="1" width="9.5703125" bestFit="1" customWidth="1"/>
    <col min="2" max="2" width="72.28515625" customWidth="1"/>
    <col min="3" max="5" width="13.85546875" bestFit="1" customWidth="1"/>
    <col min="6" max="6" width="12.7109375" customWidth="1"/>
    <col min="7" max="7" width="13.85546875" bestFit="1" customWidth="1"/>
    <col min="8" max="8" width="17.28515625" customWidth="1"/>
  </cols>
  <sheetData>
    <row r="1" spans="1:8">
      <c r="A1" s="1" t="s">
        <v>188</v>
      </c>
      <c r="B1" t="str">
        <f>Info!C2</f>
        <v>სს ”საქართველოს ბანკი”</v>
      </c>
    </row>
    <row r="2" spans="1:8">
      <c r="A2" s="1" t="s">
        <v>189</v>
      </c>
      <c r="B2" s="407">
        <f>'1. key ratios'!B2</f>
        <v>44286</v>
      </c>
    </row>
    <row r="3" spans="1:8">
      <c r="A3" s="1"/>
    </row>
    <row r="4" spans="1:8" ht="16.5" thickBot="1">
      <c r="A4" s="1" t="s">
        <v>407</v>
      </c>
      <c r="B4" s="1"/>
      <c r="C4" s="191"/>
      <c r="D4" s="191"/>
      <c r="E4" s="191"/>
      <c r="F4" s="192"/>
      <c r="G4" s="192"/>
      <c r="H4" s="193" t="s">
        <v>93</v>
      </c>
    </row>
    <row r="5" spans="1:8" ht="15.75">
      <c r="A5" s="573" t="s">
        <v>26</v>
      </c>
      <c r="B5" s="575" t="s">
        <v>245</v>
      </c>
      <c r="C5" s="577" t="s">
        <v>194</v>
      </c>
      <c r="D5" s="577"/>
      <c r="E5" s="577"/>
      <c r="F5" s="577" t="s">
        <v>195</v>
      </c>
      <c r="G5" s="577"/>
      <c r="H5" s="578"/>
    </row>
    <row r="6" spans="1:8">
      <c r="A6" s="574"/>
      <c r="B6" s="576"/>
      <c r="C6" s="36" t="s">
        <v>27</v>
      </c>
      <c r="D6" s="36" t="s">
        <v>94</v>
      </c>
      <c r="E6" s="36" t="s">
        <v>68</v>
      </c>
      <c r="F6" s="36" t="s">
        <v>27</v>
      </c>
      <c r="G6" s="36" t="s">
        <v>94</v>
      </c>
      <c r="H6" s="37" t="s">
        <v>68</v>
      </c>
    </row>
    <row r="7" spans="1:8" s="2" customFormat="1" ht="15.75">
      <c r="A7" s="194">
        <v>1</v>
      </c>
      <c r="B7" s="195" t="s">
        <v>483</v>
      </c>
      <c r="C7" s="422"/>
      <c r="D7" s="422"/>
      <c r="E7" s="226">
        <f>C7+D7</f>
        <v>0</v>
      </c>
      <c r="F7" s="452"/>
      <c r="G7" s="453"/>
      <c r="H7" s="479">
        <v>0</v>
      </c>
    </row>
    <row r="8" spans="1:8" s="2" customFormat="1" ht="15.75">
      <c r="A8" s="194">
        <v>1.1000000000000001</v>
      </c>
      <c r="B8" s="196" t="s">
        <v>275</v>
      </c>
      <c r="C8" s="422">
        <v>696656255.38999999</v>
      </c>
      <c r="D8" s="422">
        <v>805522610.78260005</v>
      </c>
      <c r="E8" s="226">
        <f t="shared" ref="E8:E53" si="0">C8+D8</f>
        <v>1502178866.1726</v>
      </c>
      <c r="F8" s="452">
        <v>642634042</v>
      </c>
      <c r="G8" s="453">
        <v>775961325</v>
      </c>
      <c r="H8" s="457">
        <v>1418595367</v>
      </c>
    </row>
    <row r="9" spans="1:8" s="2" customFormat="1" ht="15.75">
      <c r="A9" s="194">
        <v>1.2</v>
      </c>
      <c r="B9" s="196" t="s">
        <v>276</v>
      </c>
      <c r="C9" s="422">
        <v>0</v>
      </c>
      <c r="D9" s="422">
        <v>124910827</v>
      </c>
      <c r="E9" s="226">
        <f t="shared" si="0"/>
        <v>124910827</v>
      </c>
      <c r="F9" s="455">
        <v>0</v>
      </c>
      <c r="G9" s="456">
        <v>101553794</v>
      </c>
      <c r="H9" s="457">
        <v>101553794</v>
      </c>
    </row>
    <row r="10" spans="1:8" s="2" customFormat="1" ht="15.75">
      <c r="A10" s="194">
        <v>1.3</v>
      </c>
      <c r="B10" s="196" t="s">
        <v>277</v>
      </c>
      <c r="C10" s="422">
        <v>207162188.88999999</v>
      </c>
      <c r="D10" s="422">
        <v>30195555.068399996</v>
      </c>
      <c r="E10" s="226">
        <f t="shared" si="0"/>
        <v>237357743.95839998</v>
      </c>
      <c r="F10" s="455">
        <v>209044614</v>
      </c>
      <c r="G10" s="456">
        <v>15739074</v>
      </c>
      <c r="H10" s="457">
        <v>224783689</v>
      </c>
    </row>
    <row r="11" spans="1:8" s="2" customFormat="1" ht="15.75">
      <c r="A11" s="194">
        <v>1.4</v>
      </c>
      <c r="B11" s="196" t="s">
        <v>278</v>
      </c>
      <c r="C11" s="422">
        <v>148601847.75999999</v>
      </c>
      <c r="D11" s="422">
        <v>200374152.7545</v>
      </c>
      <c r="E11" s="226">
        <f t="shared" si="0"/>
        <v>348976000.51450002</v>
      </c>
      <c r="F11" s="455">
        <v>104942305</v>
      </c>
      <c r="G11" s="456">
        <v>241715344</v>
      </c>
      <c r="H11" s="457">
        <v>346657649</v>
      </c>
    </row>
    <row r="12" spans="1:8" s="2" customFormat="1" ht="29.25" customHeight="1">
      <c r="A12" s="194">
        <v>2</v>
      </c>
      <c r="B12" s="195" t="s">
        <v>279</v>
      </c>
      <c r="C12" s="422">
        <v>0</v>
      </c>
      <c r="D12" s="422">
        <v>0</v>
      </c>
      <c r="E12" s="226">
        <f t="shared" si="0"/>
        <v>0</v>
      </c>
      <c r="F12" s="455">
        <v>0</v>
      </c>
      <c r="G12" s="456">
        <v>0</v>
      </c>
      <c r="H12" s="457">
        <v>0</v>
      </c>
    </row>
    <row r="13" spans="1:8" s="2" customFormat="1" ht="25.5">
      <c r="A13" s="194">
        <v>3</v>
      </c>
      <c r="B13" s="195" t="s">
        <v>280</v>
      </c>
      <c r="C13" s="422"/>
      <c r="D13" s="422"/>
      <c r="E13" s="226">
        <f t="shared" si="0"/>
        <v>0</v>
      </c>
      <c r="F13" s="455"/>
      <c r="G13" s="456"/>
      <c r="H13" s="457">
        <v>0</v>
      </c>
    </row>
    <row r="14" spans="1:8" s="2" customFormat="1" ht="15.75">
      <c r="A14" s="194">
        <v>3.1</v>
      </c>
      <c r="B14" s="196" t="s">
        <v>281</v>
      </c>
      <c r="C14" s="422">
        <v>1955549000</v>
      </c>
      <c r="D14" s="422">
        <v>0</v>
      </c>
      <c r="E14" s="226">
        <f t="shared" si="0"/>
        <v>1955549000</v>
      </c>
      <c r="F14" s="455">
        <v>2092737000</v>
      </c>
      <c r="G14" s="456">
        <v>0</v>
      </c>
      <c r="H14" s="457">
        <v>2092737000</v>
      </c>
    </row>
    <row r="15" spans="1:8" s="2" customFormat="1" ht="15.75">
      <c r="A15" s="194">
        <v>3.2</v>
      </c>
      <c r="B15" s="196" t="s">
        <v>282</v>
      </c>
      <c r="C15" s="422"/>
      <c r="D15" s="422"/>
      <c r="E15" s="226">
        <f t="shared" si="0"/>
        <v>0</v>
      </c>
      <c r="F15" s="455"/>
      <c r="G15" s="456"/>
      <c r="H15" s="457">
        <v>0</v>
      </c>
    </row>
    <row r="16" spans="1:8" s="2" customFormat="1" ht="15.75">
      <c r="A16" s="194">
        <v>4</v>
      </c>
      <c r="B16" s="195" t="s">
        <v>283</v>
      </c>
      <c r="C16" s="422"/>
      <c r="D16" s="422"/>
      <c r="E16" s="226">
        <f t="shared" si="0"/>
        <v>0</v>
      </c>
      <c r="F16" s="455"/>
      <c r="G16" s="456"/>
      <c r="H16" s="457">
        <v>0</v>
      </c>
    </row>
    <row r="17" spans="1:8" s="2" customFormat="1" ht="15.75">
      <c r="A17" s="194">
        <v>4.0999999999999996</v>
      </c>
      <c r="B17" s="196" t="s">
        <v>284</v>
      </c>
      <c r="C17" s="422">
        <v>325634003.44</v>
      </c>
      <c r="D17" s="422">
        <v>247091323.91</v>
      </c>
      <c r="E17" s="226">
        <f t="shared" si="0"/>
        <v>572725327.35000002</v>
      </c>
      <c r="F17" s="455">
        <v>257128204</v>
      </c>
      <c r="G17" s="456">
        <v>245121012</v>
      </c>
      <c r="H17" s="457">
        <v>502249216</v>
      </c>
    </row>
    <row r="18" spans="1:8" s="2" customFormat="1" ht="15.75">
      <c r="A18" s="194">
        <v>4.2</v>
      </c>
      <c r="B18" s="196" t="s">
        <v>285</v>
      </c>
      <c r="C18" s="422">
        <v>468949515.82999998</v>
      </c>
      <c r="D18" s="422">
        <v>541588648.13540006</v>
      </c>
      <c r="E18" s="226">
        <f t="shared" si="0"/>
        <v>1010538163.9654</v>
      </c>
      <c r="F18" s="455">
        <v>436371514</v>
      </c>
      <c r="G18" s="456">
        <v>519020116</v>
      </c>
      <c r="H18" s="457">
        <v>955391630</v>
      </c>
    </row>
    <row r="19" spans="1:8" s="2" customFormat="1" ht="25.5">
      <c r="A19" s="194">
        <v>5</v>
      </c>
      <c r="B19" s="195" t="s">
        <v>286</v>
      </c>
      <c r="C19" s="422"/>
      <c r="D19" s="422"/>
      <c r="E19" s="226">
        <f t="shared" si="0"/>
        <v>0</v>
      </c>
      <c r="F19" s="455"/>
      <c r="G19" s="456"/>
      <c r="H19" s="457">
        <v>0</v>
      </c>
    </row>
    <row r="20" spans="1:8" s="2" customFormat="1" ht="15.75">
      <c r="A20" s="194">
        <v>5.0999999999999996</v>
      </c>
      <c r="B20" s="196" t="s">
        <v>287</v>
      </c>
      <c r="C20" s="422">
        <v>204502902.41999999</v>
      </c>
      <c r="D20" s="422">
        <v>264469831.31</v>
      </c>
      <c r="E20" s="226">
        <f t="shared" si="0"/>
        <v>468972733.73000002</v>
      </c>
      <c r="F20" s="455">
        <v>144519892</v>
      </c>
      <c r="G20" s="456">
        <v>437691571</v>
      </c>
      <c r="H20" s="457">
        <v>582211463</v>
      </c>
    </row>
    <row r="21" spans="1:8" s="2" customFormat="1" ht="15.75">
      <c r="A21" s="194">
        <v>5.2</v>
      </c>
      <c r="B21" s="196" t="s">
        <v>288</v>
      </c>
      <c r="C21" s="422">
        <v>148282799.81</v>
      </c>
      <c r="D21" s="422">
        <v>615205.91</v>
      </c>
      <c r="E21" s="226">
        <f t="shared" si="0"/>
        <v>148898005.72</v>
      </c>
      <c r="F21" s="455">
        <v>96936725</v>
      </c>
      <c r="G21" s="456">
        <v>1114434</v>
      </c>
      <c r="H21" s="457">
        <v>98051159</v>
      </c>
    </row>
    <row r="22" spans="1:8" s="2" customFormat="1" ht="15.75">
      <c r="A22" s="194">
        <v>5.3</v>
      </c>
      <c r="B22" s="196" t="s">
        <v>289</v>
      </c>
      <c r="C22" s="422">
        <v>10484821472.1</v>
      </c>
      <c r="D22" s="422">
        <v>12703347818.299999</v>
      </c>
      <c r="E22" s="226">
        <f t="shared" si="0"/>
        <v>23188169290.400002</v>
      </c>
      <c r="F22" s="455">
        <v>8639714157</v>
      </c>
      <c r="G22" s="456">
        <v>11706390721</v>
      </c>
      <c r="H22" s="457">
        <v>20346104878</v>
      </c>
    </row>
    <row r="23" spans="1:8" s="2" customFormat="1" ht="15.75">
      <c r="A23" s="194" t="s">
        <v>290</v>
      </c>
      <c r="B23" s="197" t="s">
        <v>291</v>
      </c>
      <c r="C23" s="422">
        <v>7590101045.4700003</v>
      </c>
      <c r="D23" s="422">
        <v>5467019606.6499996</v>
      </c>
      <c r="E23" s="226">
        <f t="shared" si="0"/>
        <v>13057120652.119999</v>
      </c>
      <c r="F23" s="455">
        <v>6347753698</v>
      </c>
      <c r="G23" s="456">
        <v>5242225486</v>
      </c>
      <c r="H23" s="457">
        <v>11589979184</v>
      </c>
    </row>
    <row r="24" spans="1:8" s="2" customFormat="1" ht="15.75">
      <c r="A24" s="194" t="s">
        <v>292</v>
      </c>
      <c r="B24" s="197" t="s">
        <v>293</v>
      </c>
      <c r="C24" s="422">
        <v>1785641878.0599999</v>
      </c>
      <c r="D24" s="422">
        <v>5317956461.1099997</v>
      </c>
      <c r="E24" s="226">
        <f t="shared" si="0"/>
        <v>7103598339.1700001</v>
      </c>
      <c r="F24" s="455">
        <v>1397506884</v>
      </c>
      <c r="G24" s="456">
        <v>4827959240</v>
      </c>
      <c r="H24" s="457">
        <v>6225466124</v>
      </c>
    </row>
    <row r="25" spans="1:8" s="2" customFormat="1" ht="15.75">
      <c r="A25" s="194" t="s">
        <v>294</v>
      </c>
      <c r="B25" s="198" t="s">
        <v>295</v>
      </c>
      <c r="C25" s="422">
        <v>0</v>
      </c>
      <c r="D25" s="422">
        <v>0</v>
      </c>
      <c r="E25" s="226">
        <f t="shared" si="0"/>
        <v>0</v>
      </c>
      <c r="F25" s="455">
        <v>0</v>
      </c>
      <c r="G25" s="456">
        <v>0</v>
      </c>
      <c r="H25" s="457">
        <v>0</v>
      </c>
    </row>
    <row r="26" spans="1:8" s="2" customFormat="1" ht="15.75">
      <c r="A26" s="194" t="s">
        <v>296</v>
      </c>
      <c r="B26" s="197" t="s">
        <v>297</v>
      </c>
      <c r="C26" s="422">
        <v>1109078548.5699999</v>
      </c>
      <c r="D26" s="422">
        <v>1918371750.54</v>
      </c>
      <c r="E26" s="226">
        <f t="shared" si="0"/>
        <v>3027450299.1099997</v>
      </c>
      <c r="F26" s="455">
        <v>894453575</v>
      </c>
      <c r="G26" s="456">
        <v>1636205995</v>
      </c>
      <c r="H26" s="457">
        <v>2530659570</v>
      </c>
    </row>
    <row r="27" spans="1:8" s="2" customFormat="1" ht="15.75">
      <c r="A27" s="194" t="s">
        <v>298</v>
      </c>
      <c r="B27" s="197" t="s">
        <v>299</v>
      </c>
      <c r="C27" s="422">
        <v>0</v>
      </c>
      <c r="D27" s="422">
        <v>0</v>
      </c>
      <c r="E27" s="226">
        <f t="shared" si="0"/>
        <v>0</v>
      </c>
      <c r="F27" s="455">
        <v>0</v>
      </c>
      <c r="G27" s="456">
        <v>0</v>
      </c>
      <c r="H27" s="457">
        <v>0</v>
      </c>
    </row>
    <row r="28" spans="1:8" s="2" customFormat="1" ht="15.75">
      <c r="A28" s="194">
        <v>5.4</v>
      </c>
      <c r="B28" s="196" t="s">
        <v>300</v>
      </c>
      <c r="C28" s="422">
        <v>251073555.41</v>
      </c>
      <c r="D28" s="422">
        <v>475067656.73000002</v>
      </c>
      <c r="E28" s="226">
        <f t="shared" si="0"/>
        <v>726141212.13999999</v>
      </c>
      <c r="F28" s="455">
        <v>376229428</v>
      </c>
      <c r="G28" s="456">
        <v>1445665647</v>
      </c>
      <c r="H28" s="457">
        <v>1821895075</v>
      </c>
    </row>
    <row r="29" spans="1:8" s="2" customFormat="1" ht="15.75">
      <c r="A29" s="194">
        <v>5.5</v>
      </c>
      <c r="B29" s="196" t="s">
        <v>301</v>
      </c>
      <c r="C29" s="422">
        <v>0</v>
      </c>
      <c r="D29" s="422">
        <v>0</v>
      </c>
      <c r="E29" s="226">
        <f t="shared" si="0"/>
        <v>0</v>
      </c>
      <c r="F29" s="455">
        <v>0</v>
      </c>
      <c r="G29" s="456">
        <v>0</v>
      </c>
      <c r="H29" s="457">
        <v>0</v>
      </c>
    </row>
    <row r="30" spans="1:8" s="2" customFormat="1" ht="15.75">
      <c r="A30" s="194">
        <v>5.6</v>
      </c>
      <c r="B30" s="196" t="s">
        <v>302</v>
      </c>
      <c r="C30" s="422">
        <v>220615790.12</v>
      </c>
      <c r="D30" s="422">
        <v>1445924593.78</v>
      </c>
      <c r="E30" s="226">
        <f t="shared" si="0"/>
        <v>1666540383.9000001</v>
      </c>
      <c r="F30" s="455">
        <v>159603369</v>
      </c>
      <c r="G30" s="456">
        <v>1118057495</v>
      </c>
      <c r="H30" s="457">
        <v>1277660864</v>
      </c>
    </row>
    <row r="31" spans="1:8" s="2" customFormat="1" ht="15.75">
      <c r="A31" s="194">
        <v>5.7</v>
      </c>
      <c r="B31" s="196" t="s">
        <v>303</v>
      </c>
      <c r="C31" s="422">
        <v>2020571757.49</v>
      </c>
      <c r="D31" s="422">
        <v>4299455924.0699997</v>
      </c>
      <c r="E31" s="226">
        <f t="shared" si="0"/>
        <v>6320027681.5599995</v>
      </c>
      <c r="F31" s="455">
        <v>1723848213</v>
      </c>
      <c r="G31" s="456">
        <v>5435833287</v>
      </c>
      <c r="H31" s="457">
        <v>7159681500</v>
      </c>
    </row>
    <row r="32" spans="1:8" s="2" customFormat="1" ht="15.75">
      <c r="A32" s="194">
        <v>6</v>
      </c>
      <c r="B32" s="195" t="s">
        <v>304</v>
      </c>
      <c r="C32" s="422">
        <v>0</v>
      </c>
      <c r="D32" s="422">
        <v>0</v>
      </c>
      <c r="E32" s="226">
        <f t="shared" si="0"/>
        <v>0</v>
      </c>
      <c r="F32" s="455"/>
      <c r="G32" s="456"/>
      <c r="H32" s="457">
        <v>0</v>
      </c>
    </row>
    <row r="33" spans="1:8" s="2" customFormat="1" ht="25.5">
      <c r="A33" s="194">
        <v>6.1</v>
      </c>
      <c r="B33" s="196" t="s">
        <v>484</v>
      </c>
      <c r="C33" s="422">
        <v>121874941.04999998</v>
      </c>
      <c r="D33" s="422">
        <v>3092666516.040957</v>
      </c>
      <c r="E33" s="226">
        <f t="shared" si="0"/>
        <v>3214541457.0909572</v>
      </c>
      <c r="F33" s="455">
        <v>157123861</v>
      </c>
      <c r="G33" s="456">
        <v>3246618250</v>
      </c>
      <c r="H33" s="457">
        <v>3403742111</v>
      </c>
    </row>
    <row r="34" spans="1:8" s="2" customFormat="1" ht="25.5">
      <c r="A34" s="194">
        <v>6.2</v>
      </c>
      <c r="B34" s="196" t="s">
        <v>305</v>
      </c>
      <c r="C34" s="422">
        <v>86826789.370000005</v>
      </c>
      <c r="D34" s="422">
        <v>3144058206.276547</v>
      </c>
      <c r="E34" s="226">
        <f t="shared" si="0"/>
        <v>3230884995.6465468</v>
      </c>
      <c r="F34" s="455">
        <v>65972123</v>
      </c>
      <c r="G34" s="456">
        <v>3279708933</v>
      </c>
      <c r="H34" s="457">
        <v>3345681057</v>
      </c>
    </row>
    <row r="35" spans="1:8" s="2" customFormat="1" ht="25.5">
      <c r="A35" s="194">
        <v>6.3</v>
      </c>
      <c r="B35" s="196" t="s">
        <v>306</v>
      </c>
      <c r="C35" s="422"/>
      <c r="D35" s="423"/>
      <c r="E35" s="226">
        <f t="shared" si="0"/>
        <v>0</v>
      </c>
      <c r="F35" s="455"/>
      <c r="G35" s="480">
        <v>0</v>
      </c>
      <c r="H35" s="457">
        <v>0</v>
      </c>
    </row>
    <row r="36" spans="1:8" s="2" customFormat="1" ht="15.75">
      <c r="A36" s="194">
        <v>6.4</v>
      </c>
      <c r="B36" s="196" t="s">
        <v>307</v>
      </c>
      <c r="C36" s="422"/>
      <c r="D36" s="422"/>
      <c r="E36" s="226">
        <f t="shared" si="0"/>
        <v>0</v>
      </c>
      <c r="F36" s="455"/>
      <c r="G36" s="453"/>
      <c r="H36" s="457">
        <v>0</v>
      </c>
    </row>
    <row r="37" spans="1:8" s="2" customFormat="1" ht="15.75">
      <c r="A37" s="194">
        <v>6.5</v>
      </c>
      <c r="B37" s="196" t="s">
        <v>308</v>
      </c>
      <c r="C37" s="422"/>
      <c r="D37" s="423">
        <v>8188320</v>
      </c>
      <c r="E37" s="226">
        <f t="shared" si="0"/>
        <v>8188320</v>
      </c>
      <c r="F37" s="455"/>
      <c r="G37" s="480">
        <v>16750950</v>
      </c>
      <c r="H37" s="457">
        <v>16750950</v>
      </c>
    </row>
    <row r="38" spans="1:8" s="2" customFormat="1" ht="25.5">
      <c r="A38" s="194">
        <v>6.6</v>
      </c>
      <c r="B38" s="196" t="s">
        <v>309</v>
      </c>
      <c r="C38" s="422"/>
      <c r="D38" s="422"/>
      <c r="E38" s="226">
        <f t="shared" si="0"/>
        <v>0</v>
      </c>
      <c r="F38" s="455"/>
      <c r="G38" s="453"/>
      <c r="H38" s="457">
        <v>0</v>
      </c>
    </row>
    <row r="39" spans="1:8" s="2" customFormat="1" ht="25.5">
      <c r="A39" s="194">
        <v>6.7</v>
      </c>
      <c r="B39" s="196" t="s">
        <v>310</v>
      </c>
      <c r="C39" s="422"/>
      <c r="D39" s="422"/>
      <c r="E39" s="226">
        <f t="shared" si="0"/>
        <v>0</v>
      </c>
      <c r="F39" s="455"/>
      <c r="G39" s="456"/>
      <c r="H39" s="457">
        <v>0</v>
      </c>
    </row>
    <row r="40" spans="1:8" s="2" customFormat="1" ht="15.75">
      <c r="A40" s="194">
        <v>7</v>
      </c>
      <c r="B40" s="195" t="s">
        <v>311</v>
      </c>
      <c r="C40" s="422"/>
      <c r="D40" s="422"/>
      <c r="E40" s="226">
        <f t="shared" si="0"/>
        <v>0</v>
      </c>
      <c r="F40" s="455"/>
      <c r="G40" s="456"/>
      <c r="H40" s="457">
        <v>0</v>
      </c>
    </row>
    <row r="41" spans="1:8" s="2" customFormat="1" ht="25.5">
      <c r="A41" s="194">
        <v>7.1</v>
      </c>
      <c r="B41" s="196" t="s">
        <v>312</v>
      </c>
      <c r="C41" s="422">
        <v>27732289.079999998</v>
      </c>
      <c r="D41" s="422">
        <v>6063241.1699999999</v>
      </c>
      <c r="E41" s="226">
        <f t="shared" si="0"/>
        <v>33795530.25</v>
      </c>
      <c r="F41" s="455">
        <v>13250575</v>
      </c>
      <c r="G41" s="456">
        <v>7228288</v>
      </c>
      <c r="H41" s="457">
        <v>20478863</v>
      </c>
    </row>
    <row r="42" spans="1:8" s="2" customFormat="1" ht="25.5">
      <c r="A42" s="194">
        <v>7.2</v>
      </c>
      <c r="B42" s="196" t="s">
        <v>313</v>
      </c>
      <c r="C42" s="422">
        <v>2380377</v>
      </c>
      <c r="D42" s="422">
        <v>1083542.6881820001</v>
      </c>
      <c r="E42" s="226">
        <f t="shared" si="0"/>
        <v>3463919.6881820001</v>
      </c>
      <c r="F42" s="455">
        <v>2363320</v>
      </c>
      <c r="G42" s="456">
        <v>1197230</v>
      </c>
      <c r="H42" s="457">
        <v>3560550</v>
      </c>
    </row>
    <row r="43" spans="1:8" s="2" customFormat="1" ht="25.5">
      <c r="A43" s="194">
        <v>7.3</v>
      </c>
      <c r="B43" s="196" t="s">
        <v>314</v>
      </c>
      <c r="C43" s="422">
        <v>119483323.28</v>
      </c>
      <c r="D43" s="422">
        <v>134764476.62</v>
      </c>
      <c r="E43" s="226">
        <f t="shared" si="0"/>
        <v>254247799.90000001</v>
      </c>
      <c r="F43" s="455">
        <v>134308710</v>
      </c>
      <c r="G43" s="456">
        <v>135209523</v>
      </c>
      <c r="H43" s="457">
        <v>269518234</v>
      </c>
    </row>
    <row r="44" spans="1:8" s="2" customFormat="1" ht="25.5">
      <c r="A44" s="194">
        <v>7.4</v>
      </c>
      <c r="B44" s="196" t="s">
        <v>315</v>
      </c>
      <c r="C44" s="422">
        <v>41239050.659999996</v>
      </c>
      <c r="D44" s="422">
        <v>33355940.520817</v>
      </c>
      <c r="E44" s="226">
        <f t="shared" si="0"/>
        <v>74594991.180816993</v>
      </c>
      <c r="F44" s="455">
        <v>44111637</v>
      </c>
      <c r="G44" s="456">
        <v>71184969</v>
      </c>
      <c r="H44" s="457">
        <v>115296606</v>
      </c>
    </row>
    <row r="45" spans="1:8" s="2" customFormat="1" ht="15.75">
      <c r="A45" s="194">
        <v>8</v>
      </c>
      <c r="B45" s="195" t="s">
        <v>316</v>
      </c>
      <c r="C45" s="422"/>
      <c r="D45" s="422"/>
      <c r="E45" s="226">
        <f t="shared" si="0"/>
        <v>0</v>
      </c>
      <c r="F45" s="455"/>
      <c r="G45" s="456"/>
      <c r="H45" s="457">
        <v>0</v>
      </c>
    </row>
    <row r="46" spans="1:8" s="2" customFormat="1" ht="15.75">
      <c r="A46" s="194">
        <v>8.1</v>
      </c>
      <c r="B46" s="196" t="s">
        <v>317</v>
      </c>
      <c r="C46" s="422"/>
      <c r="D46" s="422"/>
      <c r="E46" s="226">
        <f t="shared" si="0"/>
        <v>0</v>
      </c>
      <c r="F46" s="455"/>
      <c r="G46" s="456"/>
      <c r="H46" s="457">
        <v>0</v>
      </c>
    </row>
    <row r="47" spans="1:8" s="2" customFormat="1" ht="15.75">
      <c r="A47" s="194">
        <v>8.1999999999999993</v>
      </c>
      <c r="B47" s="196" t="s">
        <v>318</v>
      </c>
      <c r="C47" s="422"/>
      <c r="D47" s="422"/>
      <c r="E47" s="226">
        <f t="shared" si="0"/>
        <v>0</v>
      </c>
      <c r="F47" s="455"/>
      <c r="G47" s="456"/>
      <c r="H47" s="457">
        <v>0</v>
      </c>
    </row>
    <row r="48" spans="1:8" s="2" customFormat="1" ht="15.75">
      <c r="A48" s="194">
        <v>8.3000000000000007</v>
      </c>
      <c r="B48" s="196" t="s">
        <v>319</v>
      </c>
      <c r="C48" s="422"/>
      <c r="D48" s="422"/>
      <c r="E48" s="226">
        <f t="shared" si="0"/>
        <v>0</v>
      </c>
      <c r="F48" s="455"/>
      <c r="G48" s="456"/>
      <c r="H48" s="457">
        <v>0</v>
      </c>
    </row>
    <row r="49" spans="1:8" s="2" customFormat="1" ht="15.75">
      <c r="A49" s="194">
        <v>8.4</v>
      </c>
      <c r="B49" s="196" t="s">
        <v>320</v>
      </c>
      <c r="C49" s="422"/>
      <c r="D49" s="422"/>
      <c r="E49" s="226">
        <f t="shared" si="0"/>
        <v>0</v>
      </c>
      <c r="F49" s="455"/>
      <c r="G49" s="456"/>
      <c r="H49" s="457">
        <v>0</v>
      </c>
    </row>
    <row r="50" spans="1:8" s="2" customFormat="1" ht="15.75">
      <c r="A50" s="194">
        <v>8.5</v>
      </c>
      <c r="B50" s="196" t="s">
        <v>321</v>
      </c>
      <c r="C50" s="422"/>
      <c r="D50" s="422"/>
      <c r="E50" s="226">
        <f t="shared" si="0"/>
        <v>0</v>
      </c>
      <c r="F50" s="455"/>
      <c r="G50" s="456"/>
      <c r="H50" s="457">
        <v>0</v>
      </c>
    </row>
    <row r="51" spans="1:8" s="2" customFormat="1" ht="15.75">
      <c r="A51" s="194">
        <v>8.6</v>
      </c>
      <c r="B51" s="196" t="s">
        <v>322</v>
      </c>
      <c r="C51" s="422"/>
      <c r="D51" s="422"/>
      <c r="E51" s="226">
        <f t="shared" si="0"/>
        <v>0</v>
      </c>
      <c r="F51" s="455"/>
      <c r="G51" s="456"/>
      <c r="H51" s="457">
        <v>0</v>
      </c>
    </row>
    <row r="52" spans="1:8" s="2" customFormat="1" ht="15.75">
      <c r="A52" s="194">
        <v>8.6999999999999993</v>
      </c>
      <c r="B52" s="196" t="s">
        <v>323</v>
      </c>
      <c r="C52" s="422"/>
      <c r="D52" s="422"/>
      <c r="E52" s="226">
        <f t="shared" si="0"/>
        <v>0</v>
      </c>
      <c r="F52" s="455"/>
      <c r="G52" s="456"/>
      <c r="H52" s="457">
        <v>0</v>
      </c>
    </row>
    <row r="53" spans="1:8" s="2" customFormat="1" ht="26.25" thickBot="1">
      <c r="A53" s="199">
        <v>9</v>
      </c>
      <c r="B53" s="200" t="s">
        <v>324</v>
      </c>
      <c r="C53" s="227"/>
      <c r="D53" s="227"/>
      <c r="E53" s="228">
        <f t="shared" si="0"/>
        <v>0</v>
      </c>
      <c r="F53" s="481"/>
      <c r="G53" s="482"/>
      <c r="H53" s="46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B47" sqref="B47"/>
      <selection pane="topRight" activeCell="B47" sqref="B47"/>
      <selection pane="bottomLeft" activeCell="B47" sqref="B47"/>
      <selection pane="bottomRight" activeCell="B47" sqref="B47"/>
    </sheetView>
  </sheetViews>
  <sheetFormatPr defaultColWidth="9.140625" defaultRowHeight="12.75"/>
  <cols>
    <col min="1" max="1" width="9.5703125" style="1" bestFit="1" customWidth="1"/>
    <col min="2" max="2" width="93.5703125" style="1" customWidth="1"/>
    <col min="3" max="4" width="12.7109375" style="1" customWidth="1"/>
    <col min="5" max="5" width="12.85546875" style="9" customWidth="1"/>
    <col min="6" max="6" width="14.42578125" style="9" customWidth="1"/>
    <col min="7" max="7" width="15.7109375" style="9" customWidth="1"/>
    <col min="8" max="11" width="9.7109375" style="9" customWidth="1"/>
    <col min="12" max="16384" width="9.140625" style="9"/>
  </cols>
  <sheetData>
    <row r="1" spans="1:8" ht="15">
      <c r="A1" s="14" t="s">
        <v>188</v>
      </c>
      <c r="B1" s="13" t="str">
        <f>Info!C2</f>
        <v>სს ”საქართველოს ბანკი”</v>
      </c>
      <c r="C1" s="13"/>
      <c r="D1" s="290"/>
    </row>
    <row r="2" spans="1:8" ht="15">
      <c r="A2" s="14" t="s">
        <v>189</v>
      </c>
      <c r="B2" s="394">
        <v>44286</v>
      </c>
      <c r="C2" s="26"/>
      <c r="D2" s="15"/>
      <c r="E2" s="8"/>
      <c r="F2" s="8"/>
      <c r="G2" s="8"/>
      <c r="H2" s="8"/>
    </row>
    <row r="3" spans="1:8" ht="15">
      <c r="A3" s="14"/>
      <c r="B3" s="13"/>
      <c r="C3" s="26"/>
      <c r="D3" s="15"/>
      <c r="E3" s="8"/>
      <c r="F3" s="8"/>
      <c r="G3" s="8"/>
      <c r="H3" s="8"/>
    </row>
    <row r="4" spans="1:8" ht="15" customHeight="1" thickBot="1">
      <c r="A4" s="15" t="s">
        <v>408</v>
      </c>
      <c r="B4" s="504" t="s">
        <v>187</v>
      </c>
      <c r="C4" s="505" t="s">
        <v>93</v>
      </c>
    </row>
    <row r="5" spans="1:8" ht="15" customHeight="1">
      <c r="A5" s="506" t="s">
        <v>26</v>
      </c>
      <c r="B5" s="507"/>
      <c r="C5" s="395" t="str">
        <f>INT((MONTH($B$2))/3)&amp;"Q"&amp;"-"&amp;YEAR($B$2)</f>
        <v>1Q-2021</v>
      </c>
      <c r="D5" s="395" t="str">
        <f>IF(INT(MONTH($B$2))=3, "4"&amp;"Q"&amp;"-"&amp;YEAR($B$2)-1, IF(INT(MONTH($B$2))=6, "1"&amp;"Q"&amp;"-"&amp;YEAR($B$2), IF(INT(MONTH($B$2))=9, "2"&amp;"Q"&amp;"-"&amp;YEAR($B$2),IF(INT(MONTH($B$2))=12, "3"&amp;"Q"&amp;"-"&amp;YEAR($B$2), 0))))</f>
        <v>4Q-2020</v>
      </c>
      <c r="E5" s="395" t="str">
        <f>IF(INT(MONTH($B$2))=3, "3"&amp;"Q"&amp;"-"&amp;YEAR($B$2)-1, IF(INT(MONTH($B$2))=6, "4"&amp;"Q"&amp;"-"&amp;YEAR($B$2)-1, IF(INT(MONTH($B$2))=9, "1"&amp;"Q"&amp;"-"&amp;YEAR($B$2),IF(INT(MONTH($B$2))=12, "2"&amp;"Q"&amp;"-"&amp;YEAR($B$2), 0))))</f>
        <v>3Q-2020</v>
      </c>
      <c r="F5" s="395" t="str">
        <f>IF(INT(MONTH($B$2))=3, "2"&amp;"Q"&amp;"-"&amp;YEAR($B$2)-1, IF(INT(MONTH($B$2))=6, "3"&amp;"Q"&amp;"-"&amp;YEAR($B$2)-1, IF(INT(MONTH($B$2))=9, "4"&amp;"Q"&amp;"-"&amp;YEAR($B$2)-1,IF(INT(MONTH($B$2))=12, "1"&amp;"Q"&amp;"-"&amp;YEAR($B$2), 0))))</f>
        <v>2Q-2020</v>
      </c>
      <c r="G5" s="396" t="str">
        <f>IF(INT(MONTH($B$2))=3, "1"&amp;"Q"&amp;"-"&amp;YEAR($B$2)-1, IF(INT(MONTH($B$2))=6, "2"&amp;"Q"&amp;"-"&amp;YEAR($B$2)-1, IF(INT(MONTH($B$2))=9, "3"&amp;"Q"&amp;"-"&amp;YEAR($B$2)-1,IF(INT(MONTH($B$2))=12, "4"&amp;"Q"&amp;"-"&amp;YEAR($B$2)-1, 0))))</f>
        <v>1Q-2020</v>
      </c>
    </row>
    <row r="6" spans="1:8" ht="15" customHeight="1">
      <c r="A6" s="327">
        <v>1</v>
      </c>
      <c r="B6" s="384" t="s">
        <v>192</v>
      </c>
      <c r="C6" s="328">
        <f>C7+C9+C10</f>
        <v>14731047465.729626</v>
      </c>
      <c r="D6" s="328">
        <f>D7+D9+D10</f>
        <v>14248098033.158522</v>
      </c>
      <c r="E6" s="328">
        <f t="shared" ref="E6:G6" si="0">E7+E9+E10</f>
        <v>13463446480</v>
      </c>
      <c r="F6" s="328">
        <f t="shared" si="0"/>
        <v>12321125371</v>
      </c>
      <c r="G6" s="329">
        <f t="shared" si="0"/>
        <v>12883221993</v>
      </c>
    </row>
    <row r="7" spans="1:8" ht="15" customHeight="1">
      <c r="A7" s="327">
        <v>1.1000000000000001</v>
      </c>
      <c r="B7" s="330" t="s">
        <v>605</v>
      </c>
      <c r="C7" s="331">
        <v>14055197733.61487</v>
      </c>
      <c r="D7" s="331">
        <v>13556391833.248442</v>
      </c>
      <c r="E7" s="331">
        <v>12749398930</v>
      </c>
      <c r="F7" s="503">
        <v>11696327094</v>
      </c>
      <c r="G7" s="508">
        <v>12181260323</v>
      </c>
    </row>
    <row r="8" spans="1:8" ht="25.5">
      <c r="A8" s="327" t="s">
        <v>252</v>
      </c>
      <c r="B8" s="332" t="s">
        <v>402</v>
      </c>
      <c r="C8" s="331">
        <v>19638083.670000002</v>
      </c>
      <c r="D8" s="331">
        <v>338783151.70000005</v>
      </c>
      <c r="E8" s="331">
        <v>288205272</v>
      </c>
      <c r="F8" s="503">
        <v>317934764</v>
      </c>
      <c r="G8" s="508">
        <v>279980991</v>
      </c>
    </row>
    <row r="9" spans="1:8" ht="15" customHeight="1">
      <c r="A9" s="327">
        <v>1.2</v>
      </c>
      <c r="B9" s="330" t="s">
        <v>22</v>
      </c>
      <c r="C9" s="331">
        <v>649953863.49223745</v>
      </c>
      <c r="D9" s="331">
        <v>659735895.97358751</v>
      </c>
      <c r="E9" s="331">
        <v>677904371</v>
      </c>
      <c r="F9" s="503">
        <v>591314013</v>
      </c>
      <c r="G9" s="508">
        <v>660043487</v>
      </c>
    </row>
    <row r="10" spans="1:8" ht="15" customHeight="1">
      <c r="A10" s="327">
        <v>1.3</v>
      </c>
      <c r="B10" s="385" t="s">
        <v>77</v>
      </c>
      <c r="C10" s="331">
        <v>25895868.6225182</v>
      </c>
      <c r="D10" s="331">
        <v>31970303.936493397</v>
      </c>
      <c r="E10" s="333">
        <v>36143179</v>
      </c>
      <c r="F10" s="503">
        <v>33484264</v>
      </c>
      <c r="G10" s="508">
        <v>41918183</v>
      </c>
    </row>
    <row r="11" spans="1:8" ht="15" customHeight="1">
      <c r="A11" s="327">
        <v>2</v>
      </c>
      <c r="B11" s="384" t="s">
        <v>193</v>
      </c>
      <c r="C11" s="333">
        <v>6106753.9886693675</v>
      </c>
      <c r="D11" s="331">
        <v>12719589.748634126</v>
      </c>
      <c r="E11" s="331">
        <v>7126381</v>
      </c>
      <c r="F11" s="503">
        <v>86183447</v>
      </c>
      <c r="G11" s="508">
        <v>66044875</v>
      </c>
    </row>
    <row r="12" spans="1:8" ht="15" customHeight="1">
      <c r="A12" s="344">
        <v>3</v>
      </c>
      <c r="B12" s="386" t="s">
        <v>191</v>
      </c>
      <c r="C12" s="333">
        <v>1779276234</v>
      </c>
      <c r="D12" s="331">
        <v>1779276234</v>
      </c>
      <c r="E12" s="333">
        <v>1691801176</v>
      </c>
      <c r="F12" s="503">
        <v>1691801176</v>
      </c>
      <c r="G12" s="508">
        <v>1691801176</v>
      </c>
    </row>
    <row r="13" spans="1:8" ht="15" customHeight="1" thickBot="1">
      <c r="A13" s="119">
        <v>4</v>
      </c>
      <c r="B13" s="387" t="s">
        <v>253</v>
      </c>
      <c r="C13" s="229">
        <f>C6+C11+C12</f>
        <v>16516430453.718294</v>
      </c>
      <c r="D13" s="229">
        <f>D6+D11+D12</f>
        <v>16040093856.907156</v>
      </c>
      <c r="E13" s="229">
        <f t="shared" ref="E13:G13" si="1">E6+E11+E12</f>
        <v>15162374037</v>
      </c>
      <c r="F13" s="229">
        <f t="shared" si="1"/>
        <v>14099109994</v>
      </c>
      <c r="G13" s="230">
        <f t="shared" si="1"/>
        <v>14641068044</v>
      </c>
    </row>
    <row r="14" spans="1:8">
      <c r="B14" s="20"/>
      <c r="C14" s="509"/>
      <c r="D14" s="509"/>
      <c r="E14" s="509"/>
      <c r="F14" s="509"/>
      <c r="G14" s="509"/>
    </row>
    <row r="15" spans="1:8" ht="25.5">
      <c r="B15" s="94" t="s">
        <v>606</v>
      </c>
    </row>
    <row r="16" spans="1:8">
      <c r="B16" s="94"/>
    </row>
    <row r="17" spans="2:2">
      <c r="B17" s="94"/>
    </row>
    <row r="18" spans="2:2">
      <c r="B18" s="9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Normal="100" workbookViewId="0">
      <pane xSplit="1" ySplit="4" topLeftCell="B5" activePane="bottomRight" state="frozen"/>
      <selection activeCell="B47" sqref="B47"/>
      <selection pane="topRight" activeCell="B47" sqref="B47"/>
      <selection pane="bottomLeft" activeCell="B47" sqref="B47"/>
      <selection pane="bottomRight" activeCell="B47" sqref="B47"/>
    </sheetView>
  </sheetViews>
  <sheetFormatPr defaultRowHeight="15"/>
  <cols>
    <col min="1" max="1" width="9.5703125" style="1" bestFit="1" customWidth="1"/>
    <col min="2" max="2" width="58.85546875" style="1" customWidth="1"/>
    <col min="3" max="3" width="84.140625" style="1" customWidth="1"/>
  </cols>
  <sheetData>
    <row r="1" spans="1:8">
      <c r="A1" s="1" t="s">
        <v>188</v>
      </c>
      <c r="B1" s="290" t="str">
        <f>Info!C2</f>
        <v>სს ”საქართველოს ბანკი”</v>
      </c>
    </row>
    <row r="2" spans="1:8">
      <c r="A2" s="1" t="s">
        <v>189</v>
      </c>
      <c r="B2" s="407">
        <f>'1. key ratios'!B2</f>
        <v>44286</v>
      </c>
    </row>
    <row r="4" spans="1:8" ht="30.75" thickBot="1">
      <c r="A4" s="211" t="s">
        <v>409</v>
      </c>
      <c r="B4" s="58" t="s">
        <v>149</v>
      </c>
      <c r="C4" s="10"/>
    </row>
    <row r="5" spans="1:8" ht="15.75">
      <c r="A5" s="7"/>
      <c r="B5" s="379" t="s">
        <v>150</v>
      </c>
      <c r="C5" s="392" t="s">
        <v>620</v>
      </c>
    </row>
    <row r="6" spans="1:8" ht="15.75">
      <c r="A6" s="11">
        <v>1</v>
      </c>
      <c r="B6" s="485" t="s">
        <v>628</v>
      </c>
      <c r="C6" s="560" t="s">
        <v>641</v>
      </c>
    </row>
    <row r="7" spans="1:8" ht="15.75">
      <c r="A7" s="11">
        <v>2</v>
      </c>
      <c r="B7" s="485" t="s">
        <v>629</v>
      </c>
      <c r="C7" s="560" t="s">
        <v>642</v>
      </c>
    </row>
    <row r="8" spans="1:8" ht="15.75">
      <c r="A8" s="11">
        <v>3</v>
      </c>
      <c r="B8" s="485" t="s">
        <v>630</v>
      </c>
      <c r="C8" s="560" t="s">
        <v>643</v>
      </c>
    </row>
    <row r="9" spans="1:8" ht="15.75">
      <c r="A9" s="11">
        <v>4</v>
      </c>
      <c r="B9" s="485" t="s">
        <v>631</v>
      </c>
      <c r="C9" s="560" t="s">
        <v>642</v>
      </c>
    </row>
    <row r="10" spans="1:8" ht="18">
      <c r="A10" s="11">
        <v>5</v>
      </c>
      <c r="B10" s="484" t="s">
        <v>632</v>
      </c>
      <c r="C10" s="561" t="s">
        <v>642</v>
      </c>
    </row>
    <row r="11" spans="1:8">
      <c r="A11" s="11">
        <v>6</v>
      </c>
      <c r="B11" s="486" t="s">
        <v>633</v>
      </c>
      <c r="C11" s="560" t="s">
        <v>642</v>
      </c>
    </row>
    <row r="12" spans="1:8">
      <c r="A12" s="11">
        <v>7</v>
      </c>
      <c r="B12" s="486" t="s">
        <v>634</v>
      </c>
      <c r="C12" s="560" t="s">
        <v>642</v>
      </c>
      <c r="H12" s="3"/>
    </row>
    <row r="13" spans="1:8">
      <c r="A13" s="11">
        <v>8</v>
      </c>
      <c r="B13" s="59"/>
      <c r="C13" s="388"/>
    </row>
    <row r="14" spans="1:8">
      <c r="A14" s="11">
        <v>9</v>
      </c>
      <c r="B14" s="59"/>
      <c r="C14" s="388"/>
    </row>
    <row r="15" spans="1:8">
      <c r="A15" s="11">
        <v>10</v>
      </c>
      <c r="B15" s="59"/>
      <c r="C15" s="388"/>
    </row>
    <row r="16" spans="1:8">
      <c r="A16" s="11"/>
      <c r="B16" s="579"/>
      <c r="C16" s="580"/>
    </row>
    <row r="17" spans="1:3">
      <c r="A17" s="11"/>
      <c r="B17" s="380" t="s">
        <v>151</v>
      </c>
      <c r="C17" s="393" t="s">
        <v>621</v>
      </c>
    </row>
    <row r="18" spans="1:3" ht="15.75">
      <c r="A18" s="11">
        <v>1</v>
      </c>
      <c r="B18" s="487" t="s">
        <v>635</v>
      </c>
      <c r="C18" s="560" t="s">
        <v>644</v>
      </c>
    </row>
    <row r="19" spans="1:3" ht="15.75">
      <c r="A19" s="11">
        <v>2</v>
      </c>
      <c r="B19" s="487" t="s">
        <v>636</v>
      </c>
      <c r="C19" s="560" t="s">
        <v>645</v>
      </c>
    </row>
    <row r="20" spans="1:3" ht="15.75">
      <c r="A20" s="11">
        <v>3</v>
      </c>
      <c r="B20" s="487" t="s">
        <v>637</v>
      </c>
      <c r="C20" s="560" t="s">
        <v>650</v>
      </c>
    </row>
    <row r="21" spans="1:3" ht="15.75">
      <c r="A21" s="11">
        <v>4</v>
      </c>
      <c r="B21" s="487" t="s">
        <v>638</v>
      </c>
      <c r="C21" s="560" t="s">
        <v>653</v>
      </c>
    </row>
    <row r="22" spans="1:3" ht="15.75">
      <c r="A22" s="11">
        <v>5</v>
      </c>
      <c r="B22" s="487" t="s">
        <v>639</v>
      </c>
      <c r="C22" s="560" t="s">
        <v>652</v>
      </c>
    </row>
    <row r="23" spans="1:3" ht="15.75">
      <c r="A23" s="11">
        <v>6</v>
      </c>
      <c r="B23" s="487" t="s">
        <v>640</v>
      </c>
      <c r="C23" s="560" t="s">
        <v>651</v>
      </c>
    </row>
    <row r="24" spans="1:3" ht="30">
      <c r="A24" s="11">
        <v>7</v>
      </c>
      <c r="B24" s="487" t="s">
        <v>646</v>
      </c>
      <c r="C24" s="560" t="s">
        <v>647</v>
      </c>
    </row>
    <row r="25" spans="1:3" ht="30">
      <c r="A25" s="11">
        <v>8</v>
      </c>
      <c r="B25" s="487" t="s">
        <v>648</v>
      </c>
      <c r="C25" s="560" t="s">
        <v>649</v>
      </c>
    </row>
    <row r="26" spans="1:3" ht="15.75">
      <c r="A26" s="11">
        <v>9</v>
      </c>
      <c r="B26" s="24"/>
      <c r="C26" s="390"/>
    </row>
    <row r="27" spans="1:3" ht="15.75">
      <c r="A27" s="11">
        <v>10</v>
      </c>
      <c r="B27" s="24"/>
      <c r="C27" s="391"/>
    </row>
    <row r="28" spans="1:3" ht="15.75">
      <c r="A28" s="11"/>
      <c r="B28" s="24"/>
      <c r="C28" s="25"/>
    </row>
    <row r="29" spans="1:3">
      <c r="A29" s="11"/>
      <c r="B29" s="583" t="s">
        <v>152</v>
      </c>
      <c r="C29" s="584"/>
    </row>
    <row r="30" spans="1:3" ht="15.75">
      <c r="A30" s="483">
        <v>1</v>
      </c>
      <c r="B30" s="510" t="s">
        <v>658</v>
      </c>
      <c r="C30" s="511">
        <v>0.19770973141775675</v>
      </c>
    </row>
    <row r="31" spans="1:3">
      <c r="A31" s="11">
        <v>2</v>
      </c>
      <c r="B31" s="512" t="s">
        <v>659</v>
      </c>
      <c r="C31" s="511" t="s">
        <v>660</v>
      </c>
    </row>
    <row r="32" spans="1:3">
      <c r="A32" s="11"/>
      <c r="B32" s="59"/>
      <c r="C32" s="60"/>
    </row>
    <row r="33" spans="1:3" ht="39.75" customHeight="1">
      <c r="A33" s="11"/>
      <c r="B33" s="581" t="s">
        <v>663</v>
      </c>
      <c r="C33" s="582"/>
    </row>
    <row r="34" spans="1:3">
      <c r="A34" s="483">
        <v>1</v>
      </c>
      <c r="B34" s="513" t="s">
        <v>661</v>
      </c>
      <c r="C34" s="514">
        <v>0.19900000000000001</v>
      </c>
    </row>
    <row r="35" spans="1:3">
      <c r="A35" s="483">
        <v>2</v>
      </c>
      <c r="B35" s="513" t="s">
        <v>662</v>
      </c>
      <c r="C35" s="514">
        <v>6.54E-2</v>
      </c>
    </row>
    <row r="36" spans="1:3">
      <c r="A36" s="11"/>
      <c r="B36" s="59"/>
      <c r="C36" s="388"/>
    </row>
    <row r="37" spans="1:3" ht="16.5" thickBot="1">
      <c r="A37" s="12"/>
      <c r="B37" s="61"/>
      <c r="C37" s="389"/>
    </row>
  </sheetData>
  <mergeCells count="3">
    <mergeCell ref="B16:C16"/>
    <mergeCell ref="B33:C33"/>
    <mergeCell ref="B29:C29"/>
  </mergeCells>
  <dataValidations count="2">
    <dataValidation type="list" allowBlank="1" showInputMessage="1" showErrorMessage="1" sqref="C13: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2">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7" sqref="B47"/>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7" ht="15.75">
      <c r="A1" s="14" t="s">
        <v>188</v>
      </c>
      <c r="B1" s="13" t="str">
        <f>Info!C2</f>
        <v>სს ”საქართველოს ბანკი”</v>
      </c>
    </row>
    <row r="2" spans="1:7" s="18" customFormat="1" ht="15.75" customHeight="1">
      <c r="A2" s="18" t="s">
        <v>189</v>
      </c>
      <c r="B2" s="407">
        <f>'1. key ratios'!B2</f>
        <v>44286</v>
      </c>
    </row>
    <row r="3" spans="1:7" s="18" customFormat="1" ht="15.75" customHeight="1"/>
    <row r="4" spans="1:7" s="18" customFormat="1" ht="15.75" customHeight="1" thickBot="1">
      <c r="A4" s="212" t="s">
        <v>410</v>
      </c>
      <c r="B4" s="213" t="s">
        <v>263</v>
      </c>
      <c r="C4" s="174"/>
      <c r="D4" s="174"/>
      <c r="E4" s="175" t="s">
        <v>93</v>
      </c>
    </row>
    <row r="5" spans="1:7" s="107" customFormat="1" ht="17.45" customHeight="1">
      <c r="A5" s="302"/>
      <c r="B5" s="303"/>
      <c r="C5" s="173" t="s">
        <v>0</v>
      </c>
      <c r="D5" s="173" t="s">
        <v>1</v>
      </c>
      <c r="E5" s="304" t="s">
        <v>2</v>
      </c>
    </row>
    <row r="6" spans="1:7" s="139" customFormat="1" ht="14.45" customHeight="1">
      <c r="A6" s="305"/>
      <c r="B6" s="585" t="s">
        <v>231</v>
      </c>
      <c r="C6" s="585" t="s">
        <v>230</v>
      </c>
      <c r="D6" s="586" t="s">
        <v>229</v>
      </c>
      <c r="E6" s="587"/>
      <c r="G6"/>
    </row>
    <row r="7" spans="1:7" s="139" customFormat="1" ht="99.6" customHeight="1">
      <c r="A7" s="305"/>
      <c r="B7" s="585"/>
      <c r="C7" s="585"/>
      <c r="D7" s="300" t="s">
        <v>228</v>
      </c>
      <c r="E7" s="301" t="s">
        <v>522</v>
      </c>
      <c r="G7"/>
    </row>
    <row r="8" spans="1:7">
      <c r="A8" s="306">
        <v>1</v>
      </c>
      <c r="B8" s="307" t="s">
        <v>154</v>
      </c>
      <c r="C8" s="424">
        <f>'2. RC'!E7</f>
        <v>619182901.96599996</v>
      </c>
      <c r="D8" s="424"/>
      <c r="E8" s="425">
        <f>C8-D8</f>
        <v>619182901.96599996</v>
      </c>
    </row>
    <row r="9" spans="1:7">
      <c r="A9" s="306">
        <v>2</v>
      </c>
      <c r="B9" s="307" t="s">
        <v>155</v>
      </c>
      <c r="C9" s="424">
        <f>'2. RC'!E8</f>
        <v>2155840498.3099999</v>
      </c>
      <c r="D9" s="424"/>
      <c r="E9" s="425">
        <f t="shared" ref="E9:E20" si="0">C9-D9</f>
        <v>2155840498.3099999</v>
      </c>
    </row>
    <row r="10" spans="1:7">
      <c r="A10" s="306">
        <v>3</v>
      </c>
      <c r="B10" s="307" t="s">
        <v>227</v>
      </c>
      <c r="C10" s="424">
        <f>'2. RC'!E9</f>
        <v>1662709650.79</v>
      </c>
      <c r="D10" s="424"/>
      <c r="E10" s="425">
        <f t="shared" si="0"/>
        <v>1662709650.79</v>
      </c>
    </row>
    <row r="11" spans="1:7" ht="25.5">
      <c r="A11" s="306">
        <v>4</v>
      </c>
      <c r="B11" s="307" t="s">
        <v>185</v>
      </c>
      <c r="C11" s="424">
        <f>'2. RC'!E10</f>
        <v>303.24</v>
      </c>
      <c r="D11" s="424"/>
      <c r="E11" s="425">
        <f t="shared" si="0"/>
        <v>303.24</v>
      </c>
    </row>
    <row r="12" spans="1:7">
      <c r="A12" s="306">
        <v>5</v>
      </c>
      <c r="B12" s="307" t="s">
        <v>157</v>
      </c>
      <c r="C12" s="424">
        <f>'2. RC'!E11</f>
        <v>2223881848.7943997</v>
      </c>
      <c r="D12" s="424"/>
      <c r="E12" s="425">
        <f t="shared" si="0"/>
        <v>2223881848.7943997</v>
      </c>
    </row>
    <row r="13" spans="1:7">
      <c r="A13" s="306">
        <v>6.1</v>
      </c>
      <c r="B13" s="307" t="s">
        <v>158</v>
      </c>
      <c r="C13" s="424">
        <f>'2. RC'!E12</f>
        <v>13719449631.712599</v>
      </c>
      <c r="D13" s="424">
        <v>0</v>
      </c>
      <c r="E13" s="425">
        <f t="shared" si="0"/>
        <v>13719449631.712599</v>
      </c>
    </row>
    <row r="14" spans="1:7">
      <c r="A14" s="306">
        <v>6.2</v>
      </c>
      <c r="B14" s="308" t="s">
        <v>159</v>
      </c>
      <c r="C14" s="424">
        <f>'2. RC'!E13</f>
        <v>-738591951.11099994</v>
      </c>
      <c r="D14" s="424">
        <v>0</v>
      </c>
      <c r="E14" s="425">
        <f t="shared" si="0"/>
        <v>-738591951.11099994</v>
      </c>
    </row>
    <row r="15" spans="1:7">
      <c r="A15" s="306">
        <v>6</v>
      </c>
      <c r="B15" s="307" t="s">
        <v>226</v>
      </c>
      <c r="C15" s="424">
        <f>'2. RC'!E14</f>
        <v>12980857680.601599</v>
      </c>
      <c r="D15" s="424">
        <f>SUM(D13:D14)</f>
        <v>0</v>
      </c>
      <c r="E15" s="425">
        <f t="shared" si="0"/>
        <v>12980857680.601599</v>
      </c>
    </row>
    <row r="16" spans="1:7" ht="25.5">
      <c r="A16" s="306">
        <v>7</v>
      </c>
      <c r="B16" s="307" t="s">
        <v>161</v>
      </c>
      <c r="C16" s="424">
        <f>'2. RC'!E15</f>
        <v>219210530.29519999</v>
      </c>
      <c r="D16" s="424"/>
      <c r="E16" s="425">
        <f t="shared" si="0"/>
        <v>219210530.29519999</v>
      </c>
    </row>
    <row r="17" spans="1:7">
      <c r="A17" s="306">
        <v>8</v>
      </c>
      <c r="B17" s="307" t="s">
        <v>162</v>
      </c>
      <c r="C17" s="424">
        <f>'2. RC'!E16</f>
        <v>101668536.62800001</v>
      </c>
      <c r="D17" s="424"/>
      <c r="E17" s="425">
        <f t="shared" si="0"/>
        <v>101668536.62800001</v>
      </c>
      <c r="F17" s="5"/>
      <c r="G17" s="5"/>
    </row>
    <row r="18" spans="1:7">
      <c r="A18" s="306">
        <v>9</v>
      </c>
      <c r="B18" s="307" t="s">
        <v>163</v>
      </c>
      <c r="C18" s="424">
        <f>'2. RC'!E17</f>
        <v>150005105.28</v>
      </c>
      <c r="D18" s="424">
        <v>12381816.599999998</v>
      </c>
      <c r="E18" s="425">
        <f t="shared" si="0"/>
        <v>137623288.68000001</v>
      </c>
      <c r="G18" s="5"/>
    </row>
    <row r="19" spans="1:7" ht="25.5">
      <c r="A19" s="306">
        <v>10</v>
      </c>
      <c r="B19" s="307" t="s">
        <v>164</v>
      </c>
      <c r="C19" s="424">
        <f>'2. RC'!E18</f>
        <v>508270273</v>
      </c>
      <c r="D19" s="424">
        <v>130956094.7</v>
      </c>
      <c r="E19" s="425">
        <f t="shared" si="0"/>
        <v>377314178.30000001</v>
      </c>
      <c r="G19" s="5"/>
    </row>
    <row r="20" spans="1:7">
      <c r="A20" s="306">
        <v>11</v>
      </c>
      <c r="B20" s="307" t="s">
        <v>165</v>
      </c>
      <c r="C20" s="424">
        <f>'2. RC'!E19</f>
        <v>264979570.66180003</v>
      </c>
      <c r="D20" s="424">
        <v>0</v>
      </c>
      <c r="E20" s="425">
        <f t="shared" si="0"/>
        <v>264979570.66180003</v>
      </c>
    </row>
    <row r="21" spans="1:7" ht="51.75" thickBot="1">
      <c r="A21" s="309"/>
      <c r="B21" s="310" t="s">
        <v>485</v>
      </c>
      <c r="C21" s="267">
        <f>SUM(C8:C12, C15:C20)</f>
        <v>20886606899.566994</v>
      </c>
      <c r="D21" s="267">
        <f>SUM(D8:D12, D15:D20)</f>
        <v>143337911.30000001</v>
      </c>
      <c r="E21" s="311">
        <f>SUM(E8:E12, E15:E20)</f>
        <v>20743268988.266994</v>
      </c>
    </row>
    <row r="22" spans="1:7">
      <c r="A22"/>
      <c r="B22"/>
      <c r="C22"/>
      <c r="D22"/>
      <c r="E22"/>
    </row>
    <row r="23" spans="1:7">
      <c r="A23"/>
      <c r="B23"/>
      <c r="C23" s="553"/>
      <c r="D23"/>
      <c r="E23"/>
    </row>
    <row r="24" spans="1:7">
      <c r="C24" s="554" t="s">
        <v>654</v>
      </c>
    </row>
    <row r="25" spans="1:7" s="1" customFormat="1">
      <c r="B25" s="63"/>
      <c r="F25"/>
      <c r="G25"/>
    </row>
    <row r="26" spans="1:7" s="1" customFormat="1">
      <c r="B26" s="64"/>
      <c r="F26"/>
      <c r="G26"/>
    </row>
    <row r="27" spans="1:7" s="1" customFormat="1">
      <c r="B27" s="63"/>
      <c r="F27"/>
      <c r="G27"/>
    </row>
    <row r="28" spans="1:7" s="1" customFormat="1">
      <c r="B28" s="63"/>
      <c r="F28"/>
      <c r="G28"/>
    </row>
    <row r="29" spans="1:7" s="1" customFormat="1">
      <c r="B29" s="63"/>
      <c r="F29"/>
      <c r="G29"/>
    </row>
    <row r="30" spans="1:7" s="1" customFormat="1">
      <c r="B30" s="63"/>
      <c r="F30"/>
      <c r="G30"/>
    </row>
    <row r="31" spans="1:7" s="1" customFormat="1">
      <c r="B31" s="63"/>
      <c r="F31"/>
      <c r="G31"/>
    </row>
    <row r="32" spans="1:7" s="1" customFormat="1">
      <c r="B32" s="64"/>
      <c r="F32"/>
      <c r="G32"/>
    </row>
    <row r="33" spans="2:7" s="1" customFormat="1">
      <c r="B33" s="64"/>
      <c r="F33"/>
      <c r="G33"/>
    </row>
    <row r="34" spans="2:7" s="1" customFormat="1">
      <c r="B34" s="64"/>
      <c r="F34"/>
      <c r="G34"/>
    </row>
    <row r="35" spans="2:7" s="1" customFormat="1">
      <c r="B35" s="64"/>
      <c r="F35"/>
      <c r="G35"/>
    </row>
    <row r="36" spans="2:7" s="1" customFormat="1">
      <c r="B36" s="64"/>
      <c r="F36"/>
      <c r="G36"/>
    </row>
    <row r="37" spans="2:7" s="1"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B47" sqref="B47"/>
      <selection pane="topRight" activeCell="B47" sqref="B47"/>
      <selection pane="bottomLeft" activeCell="B47" sqref="B47"/>
      <selection pane="bottomRight" activeCell="B47" sqref="B47"/>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”საქართველოს ბანკი”</v>
      </c>
    </row>
    <row r="2" spans="1:6" s="18" customFormat="1" ht="15.75" customHeight="1">
      <c r="A2" s="18" t="s">
        <v>189</v>
      </c>
      <c r="B2" s="407">
        <f>'1. key ratios'!B2</f>
        <v>44286</v>
      </c>
      <c r="C2"/>
      <c r="D2"/>
      <c r="E2"/>
      <c r="F2"/>
    </row>
    <row r="3" spans="1:6" s="18" customFormat="1" ht="15.75" customHeight="1">
      <c r="C3"/>
      <c r="D3"/>
      <c r="E3"/>
      <c r="F3"/>
    </row>
    <row r="4" spans="1:6" s="18" customFormat="1" ht="26.25" thickBot="1">
      <c r="A4" s="18" t="s">
        <v>411</v>
      </c>
      <c r="B4" s="181" t="s">
        <v>266</v>
      </c>
      <c r="C4" s="175" t="s">
        <v>93</v>
      </c>
      <c r="D4"/>
      <c r="E4"/>
      <c r="F4"/>
    </row>
    <row r="5" spans="1:6" ht="26.25">
      <c r="A5" s="176">
        <v>1</v>
      </c>
      <c r="B5" s="177" t="s">
        <v>433</v>
      </c>
      <c r="C5" s="231">
        <f>'7. LI1'!E21</f>
        <v>20743268988.266994</v>
      </c>
    </row>
    <row r="6" spans="1:6" s="166" customFormat="1">
      <c r="A6" s="106">
        <v>2.1</v>
      </c>
      <c r="B6" s="183" t="s">
        <v>267</v>
      </c>
      <c r="C6" s="426">
        <v>2205247471.1080999</v>
      </c>
    </row>
    <row r="7" spans="1:6" s="3" customFormat="1" ht="25.5" outlineLevel="1">
      <c r="A7" s="182">
        <v>2.2000000000000002</v>
      </c>
      <c r="B7" s="178" t="s">
        <v>268</v>
      </c>
      <c r="C7" s="427">
        <v>2914957620.8133998</v>
      </c>
    </row>
    <row r="8" spans="1:6" s="3" customFormat="1" ht="26.25">
      <c r="A8" s="182">
        <v>3</v>
      </c>
      <c r="B8" s="179" t="s">
        <v>434</v>
      </c>
      <c r="C8" s="555">
        <f>SUM(C5:C7)</f>
        <v>25863474080.188496</v>
      </c>
    </row>
    <row r="9" spans="1:6" s="166" customFormat="1">
      <c r="A9" s="106">
        <v>4</v>
      </c>
      <c r="B9" s="186" t="s">
        <v>264</v>
      </c>
      <c r="C9" s="563">
        <v>232270184.26449996</v>
      </c>
    </row>
    <row r="10" spans="1:6" s="3" customFormat="1" ht="25.5" outlineLevel="1">
      <c r="A10" s="182">
        <v>5.0999999999999996</v>
      </c>
      <c r="B10" s="178" t="s">
        <v>273</v>
      </c>
      <c r="C10" s="426">
        <v>-1240408835.2716</v>
      </c>
    </row>
    <row r="11" spans="1:6" s="3" customFormat="1" ht="25.5" outlineLevel="1">
      <c r="A11" s="182">
        <v>5.2</v>
      </c>
      <c r="B11" s="178" t="s">
        <v>274</v>
      </c>
      <c r="C11" s="427">
        <v>-2856267071.2384758</v>
      </c>
    </row>
    <row r="12" spans="1:6" s="3" customFormat="1">
      <c r="A12" s="182">
        <v>6</v>
      </c>
      <c r="B12" s="184" t="s">
        <v>607</v>
      </c>
      <c r="C12" s="427">
        <v>35817713.619999997</v>
      </c>
    </row>
    <row r="13" spans="1:6" s="3" customFormat="1" ht="15.75" thickBot="1">
      <c r="A13" s="185">
        <v>7</v>
      </c>
      <c r="B13" s="180" t="s">
        <v>265</v>
      </c>
      <c r="C13" s="232">
        <f>SUM(C8:C12)</f>
        <v>22034886071.56292</v>
      </c>
    </row>
    <row r="15" spans="1:6" ht="26.25">
      <c r="B15" s="20" t="s">
        <v>608</v>
      </c>
    </row>
    <row r="17" spans="2:9" s="1" customFormat="1">
      <c r="B17" s="65"/>
      <c r="C17"/>
      <c r="D17"/>
      <c r="E17"/>
      <c r="F17"/>
      <c r="G17"/>
      <c r="H17"/>
      <c r="I17"/>
    </row>
    <row r="18" spans="2:9" s="1" customFormat="1">
      <c r="B18" s="62"/>
      <c r="C18"/>
      <c r="D18"/>
      <c r="E18"/>
      <c r="F18"/>
      <c r="G18"/>
      <c r="H18"/>
      <c r="I18"/>
    </row>
    <row r="19" spans="2:9" s="1" customFormat="1">
      <c r="B19" s="62"/>
      <c r="C19"/>
      <c r="D19"/>
      <c r="E19"/>
      <c r="F19"/>
      <c r="G19"/>
      <c r="H19"/>
      <c r="I19"/>
    </row>
    <row r="20" spans="2:9" s="1" customFormat="1">
      <c r="B20" s="64"/>
      <c r="C20"/>
      <c r="D20"/>
      <c r="E20"/>
      <c r="F20"/>
      <c r="G20"/>
      <c r="H20"/>
      <c r="I20"/>
    </row>
    <row r="21" spans="2:9" s="1" customFormat="1">
      <c r="B21" s="63"/>
      <c r="C21"/>
      <c r="D21"/>
      <c r="E21"/>
      <c r="F21"/>
      <c r="G21"/>
      <c r="H21"/>
      <c r="I21"/>
    </row>
    <row r="22" spans="2:9" s="1" customFormat="1">
      <c r="B22" s="64"/>
      <c r="C22"/>
      <c r="D22"/>
      <c r="E22"/>
      <c r="F22"/>
      <c r="G22"/>
      <c r="H22"/>
      <c r="I22"/>
    </row>
    <row r="23" spans="2:9" s="1" customFormat="1">
      <c r="B23" s="63"/>
      <c r="C23"/>
      <c r="D23"/>
      <c r="E23"/>
      <c r="F23"/>
      <c r="G23"/>
      <c r="H23"/>
      <c r="I23"/>
    </row>
    <row r="24" spans="2:9" s="1" customFormat="1">
      <c r="B24" s="63"/>
      <c r="C24"/>
      <c r="D24"/>
      <c r="E24"/>
      <c r="F24"/>
      <c r="G24"/>
      <c r="H24"/>
      <c r="I24"/>
    </row>
    <row r="25" spans="2:9" s="1" customFormat="1">
      <c r="B25" s="63"/>
      <c r="C25"/>
      <c r="D25"/>
      <c r="E25"/>
      <c r="F25"/>
      <c r="G25"/>
      <c r="H25"/>
      <c r="I25"/>
    </row>
    <row r="26" spans="2:9" s="1" customFormat="1">
      <c r="B26" s="63"/>
      <c r="C26"/>
      <c r="D26"/>
      <c r="E26"/>
      <c r="F26"/>
      <c r="G26"/>
      <c r="H26"/>
      <c r="I26"/>
    </row>
    <row r="27" spans="2:9" s="1" customFormat="1">
      <c r="B27" s="63"/>
      <c r="C27"/>
      <c r="D27"/>
      <c r="E27"/>
      <c r="F27"/>
      <c r="G27"/>
      <c r="H27"/>
      <c r="I27"/>
    </row>
    <row r="28" spans="2:9" s="1" customFormat="1">
      <c r="B28" s="64"/>
      <c r="C28"/>
      <c r="D28"/>
      <c r="E28"/>
      <c r="F28"/>
      <c r="G28"/>
      <c r="H28"/>
      <c r="I28"/>
    </row>
    <row r="29" spans="2:9" s="1" customFormat="1">
      <c r="B29" s="64"/>
      <c r="C29"/>
      <c r="D29"/>
      <c r="E29"/>
      <c r="F29"/>
      <c r="G29"/>
      <c r="H29"/>
      <c r="I29"/>
    </row>
    <row r="30" spans="2:9" s="1" customFormat="1">
      <c r="B30" s="64"/>
      <c r="C30"/>
      <c r="D30"/>
      <c r="E30"/>
      <c r="F30"/>
      <c r="G30"/>
      <c r="H30"/>
      <c r="I30"/>
    </row>
    <row r="31" spans="2:9" s="1" customFormat="1">
      <c r="B31" s="64"/>
      <c r="C31"/>
      <c r="D31"/>
      <c r="E31"/>
      <c r="F31"/>
      <c r="G31"/>
      <c r="H31"/>
      <c r="I31"/>
    </row>
    <row r="32" spans="2:9" s="1" customFormat="1">
      <c r="B32" s="64"/>
      <c r="C32"/>
      <c r="D32"/>
      <c r="E32"/>
      <c r="F32"/>
      <c r="G32"/>
      <c r="H32"/>
      <c r="I32"/>
    </row>
    <row r="33" spans="2:9" s="1" customFormat="1">
      <c r="B33" s="64"/>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2021-05-19T11:47:41Z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vt:lpwstr>
  </property>
  <property fmtid="{D5CDD505-2E9C-101B-9397-08002B2CF9AE}" pid="3" name="DLPManualFileClassificationLastModifiedBy">
    <vt:lpwstr>BOG0\ekamegrelishvili</vt:lpwstr>
  </property>
  <property fmtid="{D5CDD505-2E9C-101B-9397-08002B2CF9AE}" pid="4" name="DLPManualFileClassificationLastModificationDate">
    <vt:lpwstr>1620147893</vt:lpwstr>
  </property>
  <property fmtid="{D5CDD505-2E9C-101B-9397-08002B2CF9AE}" pid="5" name="DLPManualFileClassificationVersion">
    <vt:lpwstr>11.6.0.76</vt:lpwstr>
  </property>
</Properties>
</file>