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U15" i="86" l="1"/>
  <c r="T15" i="86"/>
  <c r="S15" i="86"/>
  <c r="R15" i="86"/>
  <c r="Q15" i="86"/>
  <c r="P15" i="86"/>
  <c r="O15" i="86"/>
  <c r="N15" i="86"/>
  <c r="M15" i="86"/>
  <c r="L15" i="86"/>
  <c r="K15" i="86"/>
  <c r="J15" i="86"/>
  <c r="I15" i="86"/>
  <c r="H15" i="86"/>
  <c r="G15" i="86"/>
  <c r="F15" i="86"/>
  <c r="E15" i="86"/>
  <c r="D15" i="86"/>
  <c r="C15" i="86"/>
  <c r="C37" i="80"/>
  <c r="D37" i="80"/>
  <c r="E37" i="80"/>
  <c r="F37" i="80"/>
  <c r="C23" i="80" l="1"/>
  <c r="I16" i="82" l="1"/>
  <c r="H16" i="82" l="1"/>
  <c r="H22" i="82" l="1"/>
  <c r="D23" i="82" l="1"/>
  <c r="G21" i="82" l="1"/>
  <c r="G33" i="83" l="1"/>
  <c r="F33" i="80" l="1"/>
  <c r="E33" i="80"/>
  <c r="D33" i="80"/>
  <c r="C33" i="80"/>
  <c r="E33" i="83"/>
  <c r="E21" i="82"/>
  <c r="G8" i="80" l="1"/>
  <c r="F8" i="80"/>
  <c r="E8" i="80"/>
  <c r="D8" i="80"/>
  <c r="C8" i="80"/>
  <c r="C10" i="85" l="1"/>
  <c r="C19" i="85" s="1"/>
  <c r="G21" i="80" l="1"/>
  <c r="I20" i="82" l="1"/>
  <c r="C14" i="87" l="1"/>
  <c r="C19" i="87"/>
  <c r="C11" i="87"/>
  <c r="C15" i="87"/>
  <c r="C20" i="87"/>
  <c r="C12" i="87"/>
  <c r="C17" i="87"/>
  <c r="C21" i="87"/>
  <c r="C8" i="87"/>
  <c r="C10" i="87"/>
  <c r="C9" i="87"/>
  <c r="C13" i="87"/>
  <c r="C18" i="87"/>
  <c r="C22" i="87"/>
  <c r="F21" i="82" l="1"/>
  <c r="C21" i="82"/>
  <c r="C21" i="81" l="1"/>
  <c r="H17" i="81" l="1"/>
  <c r="C22" i="74"/>
  <c r="C22" i="35"/>
  <c r="D11" i="77"/>
  <c r="C23" i="72"/>
  <c r="B2" i="52"/>
  <c r="C15" i="71" l="1"/>
  <c r="B2" i="71" l="1"/>
  <c r="C20" i="72" l="1"/>
  <c r="C19" i="72"/>
  <c r="C18" i="72"/>
  <c r="C17" i="72"/>
  <c r="C16" i="72"/>
  <c r="C15" i="72"/>
  <c r="C14" i="72"/>
  <c r="C13" i="72"/>
  <c r="C12" i="72"/>
  <c r="C11" i="72"/>
  <c r="C10" i="72"/>
  <c r="C9" i="72"/>
  <c r="C8" i="72"/>
  <c r="D13" i="77"/>
  <c r="D12" i="77"/>
  <c r="F21" i="74"/>
  <c r="F18" i="74"/>
  <c r="F17" i="74"/>
  <c r="F16" i="74"/>
  <c r="F15" i="74"/>
  <c r="F14" i="74"/>
  <c r="C43" i="6"/>
  <c r="C42" i="6"/>
  <c r="C40" i="6"/>
  <c r="C39" i="6"/>
  <c r="C36" i="6"/>
  <c r="C35" i="6"/>
  <c r="C34" i="6"/>
  <c r="C33" i="6"/>
  <c r="C20" i="6"/>
  <c r="C30" i="79" l="1"/>
  <c r="C26" i="79"/>
  <c r="C18" i="79"/>
  <c r="C8" i="79"/>
  <c r="C36" i="79" s="1"/>
  <c r="N20" i="37"/>
  <c r="N19" i="37"/>
  <c r="E19" i="37"/>
  <c r="N18" i="37"/>
  <c r="E18" i="37"/>
  <c r="N17" i="37"/>
  <c r="E17" i="37"/>
  <c r="N16" i="37"/>
  <c r="C14" i="37"/>
  <c r="I14" i="37"/>
  <c r="H14" i="37"/>
  <c r="G14" i="37"/>
  <c r="N15" i="37"/>
  <c r="E15" i="37"/>
  <c r="M14" i="37"/>
  <c r="L14" i="37"/>
  <c r="K14" i="37"/>
  <c r="J14" i="37"/>
  <c r="N13" i="37"/>
  <c r="N12" i="37"/>
  <c r="E12" i="37"/>
  <c r="N11" i="37"/>
  <c r="E11" i="37"/>
  <c r="N10" i="37"/>
  <c r="E10" i="37"/>
  <c r="G7" i="37"/>
  <c r="N9" i="37"/>
  <c r="E9" i="37"/>
  <c r="L7" i="37"/>
  <c r="K7" i="37"/>
  <c r="K21" i="37" s="1"/>
  <c r="J7" i="37"/>
  <c r="J21" i="37" s="1"/>
  <c r="I7" i="37"/>
  <c r="N8" i="37"/>
  <c r="C7" i="37"/>
  <c r="M7" i="37"/>
  <c r="M21" i="37" s="1"/>
  <c r="H7" i="37"/>
  <c r="H21" i="37" s="1"/>
  <c r="F7" i="37"/>
  <c r="G20" i="74"/>
  <c r="G19" i="74"/>
  <c r="G13" i="74"/>
  <c r="G12" i="74"/>
  <c r="G10" i="74"/>
  <c r="G9" i="74"/>
  <c r="S21" i="35"/>
  <c r="S20" i="35"/>
  <c r="S19" i="35"/>
  <c r="S18" i="35"/>
  <c r="S17" i="35"/>
  <c r="S16" i="35"/>
  <c r="S15" i="35"/>
  <c r="S14" i="35"/>
  <c r="S13" i="35"/>
  <c r="S12" i="35"/>
  <c r="S11" i="35"/>
  <c r="F11" i="74" s="1"/>
  <c r="S10" i="35"/>
  <c r="S9" i="35"/>
  <c r="S8" i="35"/>
  <c r="F8" i="74" s="1"/>
  <c r="C39" i="69"/>
  <c r="C26" i="69"/>
  <c r="C24" i="69"/>
  <c r="C22" i="69"/>
  <c r="B2" i="69"/>
  <c r="C47" i="28"/>
  <c r="C43" i="28"/>
  <c r="C35" i="28"/>
  <c r="C31" i="28"/>
  <c r="C30" i="28" s="1"/>
  <c r="C41" i="28" s="1"/>
  <c r="C12" i="28"/>
  <c r="D15" i="72"/>
  <c r="D61" i="53"/>
  <c r="C61" i="53"/>
  <c r="D53" i="53"/>
  <c r="C53" i="53"/>
  <c r="D34" i="53"/>
  <c r="D45" i="53" s="1"/>
  <c r="C34" i="53"/>
  <c r="C45" i="53" s="1"/>
  <c r="D30" i="53"/>
  <c r="C30" i="53"/>
  <c r="D9" i="53"/>
  <c r="C9" i="53"/>
  <c r="C40" i="62"/>
  <c r="D31" i="62"/>
  <c r="D41" i="62" s="1"/>
  <c r="C31" i="62"/>
  <c r="D14" i="62"/>
  <c r="C14" i="62"/>
  <c r="C48" i="6"/>
  <c r="C44" i="6"/>
  <c r="C23" i="6"/>
  <c r="C22" i="6"/>
  <c r="C21" i="6"/>
  <c r="C52" i="28" l="1"/>
  <c r="G21" i="37"/>
  <c r="N7" i="37"/>
  <c r="L21" i="37"/>
  <c r="N14" i="37"/>
  <c r="N21" i="37" s="1"/>
  <c r="C38" i="79"/>
  <c r="E14" i="37"/>
  <c r="E21" i="37" s="1"/>
  <c r="I21" i="37"/>
  <c r="C21" i="37"/>
  <c r="E16" i="37"/>
  <c r="E8" i="37"/>
  <c r="E7" i="37" s="1"/>
  <c r="F14" i="37"/>
  <c r="F21" i="37" s="1"/>
  <c r="C54" i="53"/>
  <c r="D54" i="53"/>
  <c r="C22" i="53"/>
  <c r="C31" i="53" s="1"/>
  <c r="C56" i="53" s="1"/>
  <c r="C63" i="53" s="1"/>
  <c r="C65" i="53" s="1"/>
  <c r="C67" i="53" s="1"/>
  <c r="D22" i="53"/>
  <c r="D31" i="53" s="1"/>
  <c r="D56" i="53" s="1"/>
  <c r="D63" i="53" s="1"/>
  <c r="D65" i="53" s="1"/>
  <c r="D67" i="53" s="1"/>
  <c r="C20" i="62"/>
  <c r="C41" i="62"/>
  <c r="D20" i="62"/>
  <c r="C18" i="6"/>
  <c r="C19" i="6"/>
  <c r="D22" i="81" l="1"/>
  <c r="E22" i="81"/>
  <c r="F22" i="81"/>
  <c r="G22" i="81"/>
  <c r="C22" i="81"/>
  <c r="B3" i="89" l="1"/>
  <c r="B3" i="88"/>
  <c r="B3" i="87"/>
  <c r="B3" i="86"/>
  <c r="B3" i="85"/>
  <c r="B3" i="84"/>
  <c r="B3" i="83"/>
  <c r="B3" i="82"/>
  <c r="B3" i="81"/>
  <c r="D19" i="84" l="1"/>
  <c r="C19"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I19" i="82"/>
  <c r="I18" i="82"/>
  <c r="I17" i="82"/>
  <c r="I15" i="82"/>
  <c r="I14" i="82"/>
  <c r="I13" i="82"/>
  <c r="I11" i="82"/>
  <c r="I9" i="82"/>
  <c r="I8" i="82"/>
  <c r="H21" i="81"/>
  <c r="H20" i="81"/>
  <c r="H19" i="81"/>
  <c r="H18" i="81"/>
  <c r="H16" i="81"/>
  <c r="H15" i="81"/>
  <c r="H14" i="81"/>
  <c r="L14" i="81" s="1"/>
  <c r="H13" i="81"/>
  <c r="H12" i="81"/>
  <c r="H11" i="81"/>
  <c r="H10" i="81"/>
  <c r="H9" i="81"/>
  <c r="H8" i="81"/>
  <c r="H22" i="81" l="1"/>
  <c r="I34" i="83"/>
  <c r="B2" i="80"/>
  <c r="I7" i="82" l="1"/>
  <c r="D21" i="82"/>
  <c r="I21" i="82" s="1"/>
  <c r="G37" i="80"/>
  <c r="B2" i="79"/>
  <c r="B2" i="37"/>
  <c r="B2" i="36"/>
  <c r="B2" i="74"/>
  <c r="B2" i="64"/>
  <c r="B2" i="35"/>
  <c r="B2" i="77"/>
  <c r="B2" i="28"/>
  <c r="B2" i="73"/>
  <c r="B2" i="72"/>
  <c r="B2" i="75"/>
  <c r="B2" i="53"/>
  <c r="B2" i="62"/>
  <c r="C5" i="6" l="1"/>
  <c r="G5" i="6"/>
  <c r="F5" i="6"/>
  <c r="E5" i="6"/>
  <c r="D5" i="6"/>
  <c r="G5" i="71"/>
  <c r="F5" i="71"/>
  <c r="E5" i="71"/>
  <c r="D5" i="71"/>
  <c r="C5" i="71"/>
  <c r="C6" i="71" l="1"/>
  <c r="C13" i="71" s="1"/>
  <c r="C21" i="77" l="1"/>
  <c r="D16" i="77"/>
  <c r="D17" i="77"/>
  <c r="D15" i="77"/>
  <c r="D8" i="77"/>
  <c r="D9" i="77"/>
  <c r="D7" i="77"/>
  <c r="C20" i="77"/>
  <c r="C19" i="77"/>
  <c r="D21" i="77" l="1"/>
  <c r="D19" i="77"/>
  <c r="D20" i="77"/>
  <c r="S22" i="35" l="1"/>
  <c r="D21" i="72" l="1"/>
  <c r="D22" i="35" l="1"/>
  <c r="E22" i="35"/>
  <c r="F22" i="35"/>
  <c r="G22" i="35"/>
  <c r="H22" i="35"/>
  <c r="I22" i="35"/>
  <c r="J22" i="35"/>
  <c r="K22" i="35"/>
  <c r="L22" i="35"/>
  <c r="M22" i="35"/>
  <c r="N22" i="35"/>
  <c r="O22" i="35"/>
  <c r="P22" i="35"/>
  <c r="Q22" i="35"/>
  <c r="R22" i="35"/>
  <c r="V7" i="64" l="1"/>
  <c r="H9" i="74"/>
  <c r="H10" i="74"/>
  <c r="H12" i="74"/>
  <c r="H13" i="74"/>
  <c r="H19" i="74"/>
  <c r="H20"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22" i="53" l="1"/>
  <c r="E41" i="62" l="1"/>
  <c r="E31" i="62"/>
  <c r="D22" i="74"/>
  <c r="E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C29" i="69" s="1"/>
  <c r="E24" i="62"/>
  <c r="C30" i="69" s="1"/>
  <c r="E25" i="62"/>
  <c r="C31" i="69" s="1"/>
  <c r="E26" i="62"/>
  <c r="C32" i="69" s="1"/>
  <c r="E27" i="62"/>
  <c r="C33" i="69" s="1"/>
  <c r="E28" i="62"/>
  <c r="C34" i="69" s="1"/>
  <c r="E29" i="62"/>
  <c r="C35" i="69" s="1"/>
  <c r="E30" i="62"/>
  <c r="E22" i="62"/>
  <c r="C28" i="69" s="1"/>
  <c r="E8" i="62"/>
  <c r="C7" i="69" s="1"/>
  <c r="E9" i="62"/>
  <c r="C8" i="69" s="1"/>
  <c r="E10" i="62"/>
  <c r="C9" i="69" s="1"/>
  <c r="E11" i="62"/>
  <c r="C10" i="69" s="1"/>
  <c r="E12" i="62"/>
  <c r="C12" i="69" s="1"/>
  <c r="E13" i="62"/>
  <c r="C13" i="69" s="1"/>
  <c r="E14" i="62"/>
  <c r="E15" i="62"/>
  <c r="C17" i="69" s="1"/>
  <c r="E16" i="62"/>
  <c r="C18" i="69" s="1"/>
  <c r="E17" i="62"/>
  <c r="C19" i="69" s="1"/>
  <c r="E18" i="62"/>
  <c r="C23" i="69" s="1"/>
  <c r="E19" i="62"/>
  <c r="C25" i="69" s="1"/>
  <c r="E20" i="62"/>
  <c r="E7" i="62"/>
  <c r="C6" i="69" s="1"/>
  <c r="C44" i="69" l="1"/>
  <c r="C8" i="28"/>
  <c r="C16" i="69"/>
  <c r="C27" i="69" s="1"/>
  <c r="C40" i="69"/>
  <c r="C41" i="69"/>
  <c r="C7" i="28"/>
  <c r="C6" i="28" s="1"/>
  <c r="C28" i="28" l="1"/>
  <c r="C48" i="69"/>
  <c r="H17" i="74" l="1"/>
  <c r="H15" i="74"/>
  <c r="G11" i="74"/>
  <c r="H11" i="74" s="1"/>
  <c r="H14" i="74"/>
  <c r="H16" i="74"/>
  <c r="H18" i="74"/>
  <c r="G21" i="74"/>
  <c r="H21" i="74" s="1"/>
  <c r="G8" i="74" l="1"/>
  <c r="F22" i="74"/>
  <c r="G22" i="74" l="1"/>
  <c r="H8" i="74"/>
  <c r="H22" i="74" l="1"/>
  <c r="E9" i="72" l="1"/>
  <c r="E10" i="72"/>
  <c r="E11" i="72"/>
  <c r="E15" i="72"/>
  <c r="E16" i="72"/>
  <c r="E17" i="72"/>
  <c r="E18" i="72"/>
  <c r="E19" i="72"/>
  <c r="E20" i="72"/>
  <c r="E14" i="72" l="1"/>
  <c r="E13" i="72"/>
  <c r="E12" i="72"/>
  <c r="E8" i="72" l="1"/>
  <c r="E21" i="72" s="1"/>
  <c r="C21" i="72"/>
  <c r="C5" i="73" l="1"/>
  <c r="C8" i="73" s="1"/>
  <c r="C13" i="73" s="1"/>
  <c r="I12" i="82" l="1"/>
  <c r="I10" i="82" l="1"/>
  <c r="G39" i="80" l="1"/>
</calcChain>
</file>

<file path=xl/sharedStrings.xml><?xml version="1.0" encoding="utf-8"?>
<sst xmlns="http://schemas.openxmlformats.org/spreadsheetml/2006/main" count="1527" uniqueCount="1007">
  <si>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</si>
  <si>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</si>
  <si>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</si>
  <si>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</si>
  <si>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</si>
  <si>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</si>
  <si>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</si>
  <si>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</si>
  <si>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</si>
  <si>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</si>
  <si>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</si>
  <si>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</si>
  <si>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</si>
  <si>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</si>
  <si>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</si>
  <si>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</si>
  <si>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</si>
  <si>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</si>
  <si>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</si>
  <si>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</si>
  <si>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</si>
  <si>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</si>
  <si>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</si>
  <si>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</si>
  <si>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</si>
  <si>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</si>
  <si>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</si>
  <si>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</si>
  <si>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</si>
  <si>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</si>
  <si>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</si>
  <si>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</si>
  <si>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</si>
  <si>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</si>
  <si>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</si>
  <si>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</si>
  <si>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</si>
  <si>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</si>
  <si>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</si>
  <si>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</si>
  <si>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</si>
  <si>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</si>
  <si>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</si>
  <si>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</si>
  <si>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</si>
  <si>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</si>
  <si>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</si>
  <si>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</si>
  <si>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</si>
  <si>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</si>
  <si>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</si>
  <si>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</si>
  <si>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</si>
  <si>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</si>
  <si>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</si>
  <si>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</si>
  <si>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</si>
  <si>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</si>
  <si>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</si>
  <si>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</si>
  <si>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</si>
  <si>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</si>
  <si>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</si>
  <si>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</si>
  <si>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</si>
  <si>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</si>
  <si>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</si>
  <si>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</si>
  <si>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</si>
  <si>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</si>
  <si>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</si>
  <si>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</si>
  <si>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</si>
  <si>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</si>
  <si>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</si>
  <si>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</si>
  <si>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</si>
  <si>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</si>
  <si>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</si>
  <si>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</si>
  <si>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</si>
  <si>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</si>
  <si>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</si>
  <si>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</si>
  <si>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</si>
  <si>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</si>
  <si>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</si>
  <si>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</si>
  <si>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</si>
  <si>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</si>
  <si>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</si>
  <si>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</si>
  <si>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</si>
  <si>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</si>
  <si>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</si>
  <si>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</si>
  <si>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</si>
  <si>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</si>
  <si>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</si>
  <si>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</si>
  <si>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</si>
  <si>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</si>
  <si>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</si>
  <si>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</si>
  <si>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</si>
  <si>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</si>
  <si>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</si>
  <si>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</si>
  <si>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</si>
  <si>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</si>
  <si>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</si>
  <si>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</si>
  <si>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</si>
  <si>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</si>
  <si>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</si>
  <si>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</si>
  <si>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</si>
  <si>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</si>
  <si>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</si>
  <si>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</si>
  <si>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</si>
  <si>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</si>
  <si>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</si>
  <si>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</si>
  <si>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</si>
  <si>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</si>
  <si>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</si>
  <si>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</si>
  <si>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</si>
  <si>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</si>
  <si>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</si>
  <si>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</si>
  <si>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</si>
  <si>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</si>
  <si>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</si>
  <si>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</si>
  <si>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</si>
  <si>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</si>
  <si>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</si>
  <si>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</si>
  <si>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</si>
  <si>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</si>
  <si>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</si>
  <si>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</si>
  <si>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</si>
  <si>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</si>
  <si>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</si>
  <si>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</si>
  <si>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</si>
  <si>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</si>
  <si>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</si>
  <si>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</si>
  <si>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</si>
  <si>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</si>
  <si>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</si>
  <si>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</si>
  <si>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</si>
  <si>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</si>
  <si>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</si>
  <si>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</si>
  <si>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</si>
  <si>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</si>
  <si>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</si>
  <si>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</si>
  <si>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</si>
  <si>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</si>
  <si>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</si>
  <si>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</si>
  <si>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</si>
  <si>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</si>
  <si>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</si>
  <si>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</si>
  <si>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</si>
  <si>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</si>
  <si>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</si>
  <si>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</si>
  <si>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</si>
  <si>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</si>
  <si>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</si>
  <si>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</si>
  <si>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</si>
  <si>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</si>
  <si>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</si>
  <si>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</si>
  <si>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</si>
  <si>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</si>
  <si>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</si>
  <si>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</si>
  <si>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</si>
  <si>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</si>
  <si>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</si>
  <si>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</si>
  <si>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</si>
  <si>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</si>
  <si>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</si>
  <si>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</si>
  <si>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</si>
  <si>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</si>
  <si>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</si>
  <si>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</si>
  <si>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</si>
  <si>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</si>
  <si>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</si>
  <si>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</si>
  <si>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</si>
  <si>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</si>
  <si>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</si>
  <si>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</si>
  <si>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</si>
  <si>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</si>
  <si>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</si>
  <si>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</si>
  <si>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</si>
  <si>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</si>
  <si>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</si>
  <si>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</si>
  <si>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</si>
  <si>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</si>
  <si>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</si>
  <si>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</si>
  <si>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</si>
  <si>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</si>
  <si>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</si>
  <si>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</si>
  <si>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</si>
  <si>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</si>
  <si>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</si>
  <si>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</si>
  <si>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</si>
  <si>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</si>
  <si>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</si>
  <si>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</si>
  <si>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</si>
  <si>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</si>
  <si>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</si>
  <si>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</si>
  <si>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</si>
  <si>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</si>
  <si>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</si>
  <si>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</si>
  <si>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</si>
  <si>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</si>
  <si>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</si>
  <si>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</si>
  <si>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</si>
  <si>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</si>
  <si>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</si>
  <si>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</si>
  <si>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</si>
  <si>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</si>
  <si>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</si>
  <si>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</si>
  <si>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</si>
  <si>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</si>
  <si>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</si>
  <si>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</si>
  <si>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</si>
  <si>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</si>
  <si>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</si>
  <si>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</si>
  <si>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</si>
  <si>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</si>
  <si>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</si>
  <si>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</si>
  <si>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</si>
  <si>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</si>
  <si>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</si>
  <si>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</si>
  <si>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</si>
  <si>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</si>
  <si>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</si>
  <si>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</si>
  <si>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</si>
  <si>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</si>
  <si>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</si>
  <si>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</si>
  <si>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</si>
  <si>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</si>
  <si>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</si>
  <si>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</si>
  <si>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</si>
  <si>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</si>
  <si>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</si>
  <si>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</si>
  <si>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</si>
  <si>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</si>
  <si>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</si>
  <si>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</si>
  <si>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</si>
  <si>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</si>
  <si>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</si>
  <si>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</si>
  <si>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</si>
  <si>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</si>
  <si>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</si>
  <si>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</si>
  <si>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</si>
  <si>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</si>
  <si>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</si>
  <si>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</si>
  <si>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</si>
  <si>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</si>
  <si>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</si>
  <si>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</si>
  <si>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</si>
  <si>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</si>
  <si>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</si>
  <si>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</si>
  <si>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</si>
  <si>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</si>
  <si>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</si>
  <si>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</si>
  <si>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</si>
  <si>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</si>
  <si>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</si>
  <si>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</si>
  <si>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</si>
  <si>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</si>
  <si>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</si>
  <si>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</si>
  <si>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</si>
  <si>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</si>
  <si>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</si>
  <si>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</si>
  <si>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</si>
  <si>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</si>
  <si>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</si>
  <si>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</si>
  <si>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</si>
  <si>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</si>
  <si>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</si>
  <si>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</si>
  <si>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</si>
  <si>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</si>
  <si>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</si>
  <si>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</si>
  <si>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</si>
  <si>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</si>
  <si>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</si>
  <si>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</si>
  <si>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</si>
  <si>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</si>
  <si>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</si>
  <si>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</si>
  <si>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</si>
  <si>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</si>
  <si>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</si>
  <si>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</si>
  <si>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</si>
  <si>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</si>
  <si>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</si>
  <si>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</si>
  <si>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</si>
  <si>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</si>
  <si>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</si>
  <si>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</si>
  <si>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</si>
  <si>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</si>
  <si>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</si>
  <si>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</si>
  <si>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</si>
  <si>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</si>
  <si>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</si>
  <si>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</si>
  <si>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</si>
  <si>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</si>
  <si>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</si>
  <si>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</si>
  <si>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</si>
  <si>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</si>
  <si>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</si>
  <si>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</si>
  <si>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</si>
  <si>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</si>
  <si>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</si>
  <si>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</si>
  <si>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</si>
  <si>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</si>
  <si>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</si>
  <si>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</si>
  <si>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</si>
  <si>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</si>
  <si>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</si>
  <si>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</si>
  <si>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</si>
  <si>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</si>
  <si>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</si>
  <si>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</si>
  <si>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</si>
  <si>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</si>
  <si>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</si>
  <si>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</si>
  <si>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</si>
  <si>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</si>
  <si>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</si>
  <si>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</si>
  <si>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</si>
  <si>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</si>
  <si>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</si>
  <si>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</si>
  <si>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</si>
  <si>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</si>
  <si>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</si>
  <si>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</si>
  <si>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</si>
  <si>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</si>
  <si>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</si>
  <si>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</si>
  <si>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</si>
  <si>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</si>
  <si>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</si>
  <si>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</si>
  <si>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</si>
  <si>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</si>
  <si>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</si>
  <si>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</si>
  <si>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</si>
  <si>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</si>
  <si>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</si>
  <si>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</si>
  <si>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</si>
  <si>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</si>
  <si>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</si>
  <si>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</si>
  <si>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</si>
  <si>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</si>
  <si>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</si>
  <si>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</si>
  <si>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</si>
  <si>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</si>
  <si>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</si>
  <si>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</si>
  <si>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</si>
  <si>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</si>
  <si>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</si>
  <si>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</si>
  <si>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</si>
  <si>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</si>
  <si>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</si>
  <si>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</si>
  <si>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</si>
  <si>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</si>
  <si>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</si>
  <si>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</si>
  <si>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</si>
  <si>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</si>
  <si>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</si>
  <si>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</si>
  <si>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</si>
  <si>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</si>
  <si>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</si>
  <si>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</si>
  <si>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</si>
  <si>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</si>
  <si>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</si>
  <si>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</si>
  <si>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</si>
  <si>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</si>
  <si>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</si>
  <si>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</si>
  <si>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</si>
  <si>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</si>
  <si>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</si>
  <si>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</si>
  <si>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</si>
  <si>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</si>
  <si>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</si>
  <si>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</si>
  <si>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</si>
  <si>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</si>
  <si>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</si>
  <si>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</si>
  <si>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</si>
  <si>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</si>
  <si>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</si>
  <si>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</si>
  <si>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</si>
  <si>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</si>
  <si>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</si>
  <si>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</si>
  <si>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</si>
  <si>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</si>
  <si>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</si>
  <si>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</si>
  <si>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</si>
  <si>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</si>
  <si>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</si>
  <si>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</si>
  <si>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</si>
  <si>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</si>
  <si>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</si>
  <si>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</si>
  <si>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</si>
  <si>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</si>
  <si>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</si>
  <si>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</si>
  <si>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</si>
  <si>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</si>
  <si>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</si>
  <si>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</si>
  <si>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</si>
  <si>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</si>
  <si>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</si>
  <si>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</si>
  <si>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</si>
  <si>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</si>
  <si>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</si>
  <si>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</si>
  <si>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</si>
  <si>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</si>
  <si>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</si>
  <si>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</si>
  <si>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</si>
  <si>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</si>
  <si>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</si>
  <si>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</si>
  <si>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</si>
  <si>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</si>
  <si>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</si>
  <si>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</si>
  <si>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</si>
  <si>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</si>
  <si>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</si>
  <si>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</si>
  <si>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</si>
  <si>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</si>
  <si>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</si>
  <si>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</si>
  <si>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</si>
  <si>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</si>
  <si>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</si>
  <si>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</si>
  <si>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</si>
  <si>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</si>
  <si>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</si>
  <si>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</si>
  <si>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</si>
  <si>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</si>
  <si>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</si>
  <si>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</si>
  <si>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</si>
  <si>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</si>
  <si>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</si>
  <si>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</si>
  <si>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</si>
  <si>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</si>
  <si>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</si>
  <si>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</si>
  <si>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</si>
  <si>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</si>
  <si>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</si>
  <si>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</si>
  <si>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</si>
  <si>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</si>
  <si>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</si>
  <si>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</si>
  <si>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</si>
  <si>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</si>
  <si>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</si>
  <si>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</si>
  <si>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</si>
  <si>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</si>
  <si>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</si>
  <si>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</si>
  <si>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</si>
  <si>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</si>
  <si>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</si>
  <si>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</si>
  <si>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</si>
  <si>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</si>
  <si>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</si>
  <si>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</si>
  <si>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</si>
  <si>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</si>
  <si>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</si>
  <si>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</si>
  <si>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</si>
  <si>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</si>
  <si>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</si>
  <si>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</si>
  <si>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</si>
  <si>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</si>
  <si>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</si>
  <si>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</si>
  <si>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</si>
  <si>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</si>
  <si>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</si>
  <si>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</si>
  <si>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</si>
  <si>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</si>
  <si>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</si>
  <si>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</si>
  <si>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</si>
  <si>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</si>
  <si>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</si>
  <si>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</si>
  <si>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</si>
  <si>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</si>
  <si>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</si>
  <si>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</si>
  <si>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</si>
  <si>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</si>
  <si>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</si>
  <si>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</si>
  <si>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</si>
  <si>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</si>
  <si>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</si>
  <si>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</si>
  <si>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</si>
  <si>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</si>
  <si>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</si>
  <si>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</si>
  <si>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</si>
  <si>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</si>
  <si>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</si>
  <si>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</si>
  <si>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</si>
  <si>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</si>
  <si>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</si>
  <si>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</si>
  <si>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</si>
  <si>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</si>
  <si>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</si>
  <si>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</si>
  <si>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</si>
  <si>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</si>
  <si>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</si>
  <si>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</si>
  <si>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</si>
  <si>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</si>
  <si>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</si>
  <si>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</si>
  <si>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</si>
  <si>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</si>
  <si>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</si>
  <si>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</si>
  <si>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</si>
  <si>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</si>
  <si>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</si>
  <si>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</si>
  <si>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</si>
  <si>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</si>
  <si>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</si>
  <si>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</si>
  <si>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</si>
  <si>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</si>
  <si>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</si>
  <si>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</si>
  <si>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</si>
  <si>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</si>
  <si>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</si>
  <si>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</si>
  <si>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</si>
  <si>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</si>
  <si>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</si>
  <si>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</si>
  <si>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</si>
  <si>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</si>
  <si>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</si>
  <si>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</si>
  <si>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</si>
  <si>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</si>
  <si>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</si>
  <si>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</si>
  <si>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</si>
  <si>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</si>
  <si>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</si>
  <si>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</si>
  <si>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</si>
  <si>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</si>
  <si>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</si>
  <si>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</si>
  <si>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</si>
  <si>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</si>
  <si>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</si>
  <si>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</si>
  <si>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</si>
  <si>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</si>
  <si>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</si>
  <si>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</si>
  <si>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</si>
  <si>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</si>
  <si>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</si>
  <si>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</si>
  <si>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</si>
  <si>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</si>
  <si>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</si>
  <si>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</si>
  <si>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</si>
  <si>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</si>
  <si>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</si>
  <si>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</si>
  <si>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</si>
  <si>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</si>
  <si>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</si>
  <si>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</si>
  <si>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</si>
  <si>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</si>
  <si>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</si>
  <si>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</si>
  <si>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</si>
  <si>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</si>
  <si>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</si>
  <si>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</si>
  <si>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</si>
  <si>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</si>
  <si>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</si>
  <si>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</si>
  <si>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</si>
  <si>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</si>
  <si>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</si>
  <si>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</si>
  <si>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</si>
  <si>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</si>
  <si>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</si>
  <si>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</si>
  <si>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</si>
  <si>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</si>
  <si>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</si>
  <si>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</si>
  <si>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</si>
  <si>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</si>
  <si>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</si>
  <si>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</si>
  <si>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</si>
  <si>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</si>
  <si>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</si>
  <si>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</si>
  <si>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</si>
  <si>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</si>
  <si>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</si>
  <si>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</si>
  <si>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</si>
  <si>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</si>
  <si>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</si>
  <si>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</si>
  <si>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</si>
  <si>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</si>
  <si>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</si>
  <si>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</si>
  <si>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</si>
  <si>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</si>
  <si>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</si>
  <si>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</si>
  <si>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</si>
  <si>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</si>
  <si>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</si>
  <si>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</si>
  <si>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</si>
  <si>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</si>
  <si>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</si>
  <si>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</si>
  <si>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</si>
  <si>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</si>
  <si>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</si>
  <si>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</si>
  <si>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</si>
  <si>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</si>
  <si>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</si>
  <si>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</si>
  <si>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</si>
  <si>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</si>
  <si>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</si>
  <si>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</si>
  <si>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</si>
  <si>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</si>
  <si>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</si>
  <si>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</si>
  <si>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</si>
  <si>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</si>
  <si>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</si>
  <si>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</si>
  <si>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</si>
  <si>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</si>
  <si>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</si>
  <si>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</si>
  <si>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</si>
  <si>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</si>
  <si>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</si>
  <si>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</si>
  <si>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</si>
  <si>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</si>
  <si>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</si>
  <si>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</si>
  <si>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</si>
  <si>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</si>
  <si>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</si>
  <si>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</si>
  <si>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</si>
  <si>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</si>
  <si>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</si>
  <si>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</si>
  <si>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</si>
  <si>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</si>
  <si>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</si>
  <si>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</si>
  <si>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</si>
  <si>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</si>
  <si>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</si>
  <si>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</si>
  <si>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</si>
  <si>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</si>
  <si>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</si>
  <si>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</si>
  <si>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</si>
  <si>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</si>
  <si>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</si>
  <si>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</si>
  <si>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</si>
  <si>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</si>
  <si>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</si>
  <si>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</si>
  <si>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</si>
  <si>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</si>
  <si>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</si>
  <si>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</si>
  <si>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</si>
  <si>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</si>
  <si>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</si>
  <si>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</si>
  <si>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</si>
  <si>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</si>
  <si>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</si>
  <si>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</si>
  <si>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</si>
  <si>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</si>
  <si>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</si>
  <si>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</si>
  <si>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</si>
  <si>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</si>
  <si>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</si>
  <si>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</si>
  <si>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</si>
  <si>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</si>
  <si>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</si>
  <si>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</si>
  <si>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</si>
  <si>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</si>
  <si>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</si>
  <si>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</si>
  <si>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</si>
  <si>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</si>
  <si>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</si>
  <si>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</si>
  <si>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</si>
  <si>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</si>
  <si>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</si>
  <si>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</si>
  <si>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</si>
  <si>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</si>
  <si>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</si>
  <si>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</si>
  <si>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</si>
  <si>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</si>
  <si>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</si>
  <si>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</si>
  <si>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</si>
  <si>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</si>
  <si>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</si>
  <si>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</si>
  <si>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</si>
  <si>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</si>
  <si>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</si>
  <si>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</si>
  <si>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</si>
  <si>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</si>
  <si>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</si>
  <si>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</si>
  <si>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</si>
  <si>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</si>
  <si>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</si>
  <si>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</si>
  <si>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</si>
  <si>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</si>
  <si>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</si>
  <si>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</si>
  <si>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</si>
  <si>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</si>
  <si>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</si>
  <si>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</si>
  <si>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</si>
  <si>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</si>
  <si>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</si>
  <si>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</si>
  <si>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</si>
  <si>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</si>
  <si>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</si>
  <si>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</si>
  <si>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</si>
  <si>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</si>
  <si>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</si>
  <si>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</si>
  <si>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</si>
  <si>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</si>
  <si>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</si>
  <si>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</si>
  <si>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</si>
  <si>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</si>
  <si>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</si>
  <si>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</si>
  <si>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</si>
  <si>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</si>
  <si>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</si>
  <si>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</si>
  <si>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</si>
  <si>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</si>
  <si>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</si>
  <si>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</si>
  <si>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</si>
  <si>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</si>
  <si>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</si>
  <si>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</si>
  <si>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</si>
  <si>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</si>
  <si>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</si>
  <si>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</si>
  <si>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</si>
  <si>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</si>
  <si>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</si>
  <si>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</si>
  <si>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</si>
  <si>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</si>
  <si>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</si>
  <si>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</si>
  <si>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</si>
  <si>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</si>
  <si>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</si>
  <si>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</si>
  <si>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</si>
  <si>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</si>
  <si>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</si>
  <si>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</si>
  <si>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</si>
  <si>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</si>
  <si>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</si>
  <si>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</si>
  <si>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</si>
  <si>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</si>
  <si>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</si>
  <si>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</si>
  <si>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</si>
  <si>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</si>
  <si>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</si>
  <si>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</si>
  <si>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</si>
  <si>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</si>
  <si>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</si>
  <si>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</si>
  <si>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</si>
  <si>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</si>
  <si>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</si>
  <si>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</si>
  <si>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</si>
  <si>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</si>
  <si>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</si>
  <si>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</si>
  <si>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</si>
  <si>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</si>
  <si>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</si>
  <si>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</si>
  <si>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</si>
  <si>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</si>
  <si>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</si>
  <si>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</si>
  <si>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ცხრილი 9 (Capital), N39</t>
  </si>
  <si>
    <t>ცხრილი 9 (Capital), N17</t>
  </si>
  <si>
    <t>ცხრილი 9 (Capital), N13</t>
  </si>
  <si>
    <t>ცხრილი 9 (Capital), N18</t>
  </si>
  <si>
    <t>ცხრილი 9 (Capital), N15</t>
  </si>
  <si>
    <t>“</t>
  </si>
  <si>
    <t>\</t>
  </si>
  <si>
    <t>ნილ ჯანინი</t>
  </si>
  <si>
    <t>თავმჯდომარე</t>
  </si>
  <si>
    <t>თამაზ გიორგაძე</t>
  </si>
  <si>
    <t>დამოუკიდებელი წევრი</t>
  </si>
  <si>
    <t>ალასდაირ ბრიჩი</t>
  </si>
  <si>
    <t>არადამოუკიდებელი წევრი</t>
  </si>
  <si>
    <t>ჰანნა ლოიკაინენი</t>
  </si>
  <si>
    <t>ჯონათან მუირი</t>
  </si>
  <si>
    <t>სესილ დაერ ქუილენ</t>
  </si>
  <si>
    <t>ვერონიკ მაკქეროლ</t>
  </si>
  <si>
    <t>არჩილ გაჩეჩილაძე</t>
  </si>
  <si>
    <t>გენერალური დირექტორი</t>
  </si>
  <si>
    <t>ლევან ყულიჯანიშვილი</t>
  </si>
  <si>
    <t>გენერალური დირექტორის მოადგილე/საოპერაციო მიმართულება</t>
  </si>
  <si>
    <t>მიხეილ გომართელი</t>
  </si>
  <si>
    <t>გენერალური დირექტორის მოადგილე/საცალო საბანკო ბიზნესი</t>
  </si>
  <si>
    <t>გიორგი ჭილაძე</t>
  </si>
  <si>
    <t>გენერალური დირექტორის მოადგილე/საკრედიტო რისკები</t>
  </si>
  <si>
    <t>ვახტანგ ბობოხიძე</t>
  </si>
  <si>
    <t>გენერალური დირექტორის მოადგილე/ინფორმაციული ტექნოლოგიები</t>
  </si>
  <si>
    <t>სულხან გვალია</t>
  </si>
  <si>
    <t>გენერალური დირექტორის მოადგილე/ფინანსები</t>
  </si>
  <si>
    <t>ეთერ ირემაძე</t>
  </si>
  <si>
    <t>გენერალური დირექტორის მოადგილე/საოპერაციო მიმართულება/SOLO ბიზნეს მიმართულება</t>
  </si>
  <si>
    <t>ზურაბ ქოქოსაძე</t>
  </si>
  <si>
    <t>გენერალური დირექტორის მოადგილე/კორპორაციული საბანკო მომსახურების მიმართულება</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</si>
  <si>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</si>
  <si>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</si>
  <si>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</si>
  <si>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</si>
  <si>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</si>
  <si>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Fidelity Investments</t>
  </si>
  <si>
    <t>სს ”საქართველოს ბანკი”</t>
  </si>
  <si>
    <t>არჩილ  გაჩეჩილაძე</t>
  </si>
  <si>
    <t>www.bog.ge</t>
  </si>
  <si>
    <t>მარიამ მეღვინეთუხუცესი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</si>
</sst>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 numFmtId="195" formatCode="#,##0.000000000"/>
  </numFmts>
  <fonts count="13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10"/>
      <name val="Times New Roman"/>
      <family val="1"/>
    </font>
    <font>
      <sz val="12"/>
      <color theme="1"/>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FF"/>
        <bgColor rgb="FF000000"/>
      </patternFill>
    </fill>
    <fill>
      <patternFill patternType="solid">
        <fgColor rgb="FFFFC000"/>
        <bgColor indexed="64"/>
      </patternFill>
    </fill>
  </fills>
  <borders count="15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73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9"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9"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0" fontId="69"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7"/>
    <xf numFmtId="169" fontId="26" fillId="0" borderId="47"/>
    <xf numFmtId="168"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6" fillId="0" borderId="0"/>
    <xf numFmtId="0" fontId="7"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7"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7"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7" fillId="0" borderId="0"/>
    <xf numFmtId="0" fontId="76" fillId="0" borderId="0"/>
    <xf numFmtId="168" fontId="7" fillId="0" borderId="0"/>
    <xf numFmtId="0" fontId="76" fillId="0" borderId="0"/>
    <xf numFmtId="168" fontId="7"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7"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6"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9"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9"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9"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25" fillId="0" borderId="51"/>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8" applyNumberFormat="0" applyFill="0" applyAlignment="0" applyProtection="0"/>
    <xf numFmtId="168" fontId="94" fillId="0" borderId="108" applyNumberFormat="0" applyFill="0" applyAlignment="0" applyProtection="0"/>
    <xf numFmtId="169" fontId="94" fillId="0" borderId="108" applyNumberFormat="0" applyFill="0" applyAlignment="0" applyProtection="0"/>
    <xf numFmtId="168" fontId="94" fillId="0" borderId="108" applyNumberFormat="0" applyFill="0" applyAlignment="0" applyProtection="0"/>
    <xf numFmtId="168" fontId="94" fillId="0" borderId="108" applyNumberFormat="0" applyFill="0" applyAlignment="0" applyProtection="0"/>
    <xf numFmtId="169" fontId="94" fillId="0" borderId="108" applyNumberFormat="0" applyFill="0" applyAlignment="0" applyProtection="0"/>
    <xf numFmtId="168" fontId="94" fillId="0" borderId="108" applyNumberFormat="0" applyFill="0" applyAlignment="0" applyProtection="0"/>
    <xf numFmtId="168" fontId="94" fillId="0" borderId="108" applyNumberFormat="0" applyFill="0" applyAlignment="0" applyProtection="0"/>
    <xf numFmtId="169" fontId="94" fillId="0" borderId="108" applyNumberFormat="0" applyFill="0" applyAlignment="0" applyProtection="0"/>
    <xf numFmtId="168" fontId="94" fillId="0" borderId="108" applyNumberFormat="0" applyFill="0" applyAlignment="0" applyProtection="0"/>
    <xf numFmtId="168" fontId="94" fillId="0" borderId="108" applyNumberFormat="0" applyFill="0" applyAlignment="0" applyProtection="0"/>
    <xf numFmtId="169" fontId="94" fillId="0" borderId="108" applyNumberFormat="0" applyFill="0" applyAlignment="0" applyProtection="0"/>
    <xf numFmtId="168" fontId="94"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169" fontId="94"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168" fontId="94"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168" fontId="94"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0" fontId="47" fillId="0" borderId="108" applyNumberFormat="0" applyFill="0" applyAlignment="0" applyProtection="0"/>
    <xf numFmtId="188" fontId="2" fillId="70" borderId="103" applyFont="0">
      <alignment horizontal="right" vertical="center"/>
    </xf>
    <xf numFmtId="3" fontId="2" fillId="70" borderId="103" applyFont="0">
      <alignment horizontal="right" vertical="center"/>
    </xf>
    <xf numFmtId="0" fontId="83" fillId="64" borderId="107" applyNumberFormat="0" applyAlignment="0" applyProtection="0"/>
    <xf numFmtId="168" fontId="85" fillId="64" borderId="107" applyNumberFormat="0" applyAlignment="0" applyProtection="0"/>
    <xf numFmtId="169" fontId="85" fillId="64" borderId="107" applyNumberFormat="0" applyAlignment="0" applyProtection="0"/>
    <xf numFmtId="168" fontId="85" fillId="64" borderId="107" applyNumberFormat="0" applyAlignment="0" applyProtection="0"/>
    <xf numFmtId="168" fontId="85" fillId="64" borderId="107" applyNumberFormat="0" applyAlignment="0" applyProtection="0"/>
    <xf numFmtId="169" fontId="85" fillId="64" borderId="107" applyNumberFormat="0" applyAlignment="0" applyProtection="0"/>
    <xf numFmtId="168" fontId="85" fillId="64" borderId="107" applyNumberFormat="0" applyAlignment="0" applyProtection="0"/>
    <xf numFmtId="168" fontId="85" fillId="64" borderId="107" applyNumberFormat="0" applyAlignment="0" applyProtection="0"/>
    <xf numFmtId="169" fontId="85" fillId="64" borderId="107" applyNumberFormat="0" applyAlignment="0" applyProtection="0"/>
    <xf numFmtId="168" fontId="85" fillId="64" borderId="107" applyNumberFormat="0" applyAlignment="0" applyProtection="0"/>
    <xf numFmtId="168" fontId="85" fillId="64" borderId="107" applyNumberFormat="0" applyAlignment="0" applyProtection="0"/>
    <xf numFmtId="169" fontId="85" fillId="64" borderId="107" applyNumberFormat="0" applyAlignment="0" applyProtection="0"/>
    <xf numFmtId="168" fontId="85"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169" fontId="85"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168" fontId="85"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168" fontId="85"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0" fontId="83" fillId="64" borderId="107" applyNumberFormat="0" applyAlignment="0" applyProtection="0"/>
    <xf numFmtId="3" fontId="2" fillId="75" borderId="103" applyFont="0">
      <alignment horizontal="right" vertical="center"/>
      <protection locked="0"/>
    </xf>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 fillId="74" borderId="106" applyNumberFormat="0" applyFont="0" applyAlignment="0" applyProtection="0"/>
    <xf numFmtId="0" fontId="27"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0" fontId="27" fillId="74" borderId="106" applyNumberFormat="0" applyFont="0" applyAlignment="0" applyProtection="0"/>
    <xf numFmtId="3" fontId="2" fillId="72" borderId="103" applyFont="0">
      <alignment horizontal="right" vertical="center"/>
      <protection locked="0"/>
    </xf>
    <xf numFmtId="0" fontId="66" fillId="43" borderId="105" applyNumberFormat="0" applyAlignment="0" applyProtection="0"/>
    <xf numFmtId="168" fontId="68" fillId="43" borderId="105" applyNumberFormat="0" applyAlignment="0" applyProtection="0"/>
    <xf numFmtId="169" fontId="68" fillId="43" borderId="105" applyNumberFormat="0" applyAlignment="0" applyProtection="0"/>
    <xf numFmtId="168" fontId="68" fillId="43" borderId="105" applyNumberFormat="0" applyAlignment="0" applyProtection="0"/>
    <xf numFmtId="168" fontId="68" fillId="43" borderId="105" applyNumberFormat="0" applyAlignment="0" applyProtection="0"/>
    <xf numFmtId="169" fontId="68" fillId="43" borderId="105" applyNumberFormat="0" applyAlignment="0" applyProtection="0"/>
    <xf numFmtId="168" fontId="68" fillId="43" borderId="105" applyNumberFormat="0" applyAlignment="0" applyProtection="0"/>
    <xf numFmtId="168" fontId="68" fillId="43" borderId="105" applyNumberFormat="0" applyAlignment="0" applyProtection="0"/>
    <xf numFmtId="169" fontId="68" fillId="43" borderId="105" applyNumberFormat="0" applyAlignment="0" applyProtection="0"/>
    <xf numFmtId="168" fontId="68" fillId="43" borderId="105" applyNumberFormat="0" applyAlignment="0" applyProtection="0"/>
    <xf numFmtId="168" fontId="68" fillId="43" borderId="105" applyNumberFormat="0" applyAlignment="0" applyProtection="0"/>
    <xf numFmtId="169" fontId="68" fillId="43" borderId="105" applyNumberFormat="0" applyAlignment="0" applyProtection="0"/>
    <xf numFmtId="168" fontId="68"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169" fontId="68"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168" fontId="68"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168" fontId="68"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66" fillId="43" borderId="105"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2" fillId="70" borderId="104" applyFont="0" applyBorder="0">
      <alignment horizontal="center" wrapText="1"/>
    </xf>
    <xf numFmtId="168" fontId="54" fillId="0" borderId="101">
      <alignment horizontal="left" vertical="center"/>
    </xf>
    <xf numFmtId="0" fontId="54" fillId="0" borderId="101">
      <alignment horizontal="left" vertical="center"/>
    </xf>
    <xf numFmtId="0" fontId="54" fillId="0" borderId="101">
      <alignment horizontal="left" vertical="center"/>
    </xf>
    <xf numFmtId="0" fontId="2" fillId="69" borderId="103" applyNumberFormat="0" applyFont="0" applyBorder="0" applyProtection="0">
      <alignment horizontal="center" vertical="center"/>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6" fillId="0" borderId="103" applyNumberFormat="0" applyAlignment="0">
      <alignment horizontal="right"/>
      <protection locked="0"/>
    </xf>
    <xf numFmtId="0" fontId="38" fillId="64" borderId="105" applyNumberFormat="0" applyAlignment="0" applyProtection="0"/>
    <xf numFmtId="168" fontId="40" fillId="64" borderId="105" applyNumberFormat="0" applyAlignment="0" applyProtection="0"/>
    <xf numFmtId="169" fontId="40" fillId="64" borderId="105" applyNumberFormat="0" applyAlignment="0" applyProtection="0"/>
    <xf numFmtId="168" fontId="40" fillId="64" borderId="105" applyNumberFormat="0" applyAlignment="0" applyProtection="0"/>
    <xf numFmtId="168" fontId="40" fillId="64" borderId="105" applyNumberFormat="0" applyAlignment="0" applyProtection="0"/>
    <xf numFmtId="169" fontId="40" fillId="64" borderId="105" applyNumberFormat="0" applyAlignment="0" applyProtection="0"/>
    <xf numFmtId="168" fontId="40" fillId="64" borderId="105" applyNumberFormat="0" applyAlignment="0" applyProtection="0"/>
    <xf numFmtId="168" fontId="40" fillId="64" borderId="105" applyNumberFormat="0" applyAlignment="0" applyProtection="0"/>
    <xf numFmtId="169" fontId="40" fillId="64" borderId="105" applyNumberFormat="0" applyAlignment="0" applyProtection="0"/>
    <xf numFmtId="168" fontId="40" fillId="64" borderId="105" applyNumberFormat="0" applyAlignment="0" applyProtection="0"/>
    <xf numFmtId="168" fontId="40" fillId="64" borderId="105" applyNumberFormat="0" applyAlignment="0" applyProtection="0"/>
    <xf numFmtId="169" fontId="40" fillId="64" borderId="105" applyNumberFormat="0" applyAlignment="0" applyProtection="0"/>
    <xf numFmtId="168" fontId="40"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169" fontId="40"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168" fontId="40"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168" fontId="40"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38" fillId="64" borderId="105"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168" fontId="40"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168" fontId="40"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169" fontId="40"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0" fontId="38" fillId="64"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8" fontId="68"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8" fontId="68"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9" fontId="68"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0" fontId="66" fillId="43" borderId="141" applyNumberForma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168" fontId="85"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168" fontId="85"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169" fontId="85"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0" fontId="83" fillId="64" borderId="143" applyNumberFormat="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168" fontId="94"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168" fontId="94"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169" fontId="94"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0" fontId="47" fillId="0" borderId="144" applyNumberFormat="0" applyFill="0" applyAlignment="0" applyProtection="0"/>
    <xf numFmtId="0" fontId="47" fillId="0" borderId="150" applyNumberFormat="0" applyFill="0" applyAlignment="0" applyProtection="0"/>
    <xf numFmtId="168" fontId="94" fillId="0" borderId="150" applyNumberFormat="0" applyFill="0" applyAlignment="0" applyProtection="0"/>
    <xf numFmtId="169" fontId="94" fillId="0" borderId="150" applyNumberFormat="0" applyFill="0" applyAlignment="0" applyProtection="0"/>
    <xf numFmtId="168" fontId="94" fillId="0" borderId="150" applyNumberFormat="0" applyFill="0" applyAlignment="0" applyProtection="0"/>
    <xf numFmtId="168" fontId="94" fillId="0" borderId="150" applyNumberFormat="0" applyFill="0" applyAlignment="0" applyProtection="0"/>
    <xf numFmtId="169" fontId="94" fillId="0" borderId="150" applyNumberFormat="0" applyFill="0" applyAlignment="0" applyProtection="0"/>
    <xf numFmtId="168" fontId="94" fillId="0" borderId="150" applyNumberFormat="0" applyFill="0" applyAlignment="0" applyProtection="0"/>
    <xf numFmtId="168" fontId="94" fillId="0" borderId="150" applyNumberFormat="0" applyFill="0" applyAlignment="0" applyProtection="0"/>
    <xf numFmtId="169" fontId="94" fillId="0" borderId="150" applyNumberFormat="0" applyFill="0" applyAlignment="0" applyProtection="0"/>
    <xf numFmtId="168" fontId="94" fillId="0" borderId="150" applyNumberFormat="0" applyFill="0" applyAlignment="0" applyProtection="0"/>
    <xf numFmtId="168" fontId="94" fillId="0" borderId="150" applyNumberFormat="0" applyFill="0" applyAlignment="0" applyProtection="0"/>
    <xf numFmtId="169" fontId="94" fillId="0" borderId="150" applyNumberFormat="0" applyFill="0" applyAlignment="0" applyProtection="0"/>
    <xf numFmtId="168" fontId="94"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169" fontId="94"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168" fontId="94"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168" fontId="94"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47" fillId="0" borderId="150" applyNumberFormat="0" applyFill="0" applyAlignment="0" applyProtection="0"/>
    <xf numFmtId="0" fontId="83" fillId="64" borderId="149" applyNumberFormat="0" applyAlignment="0" applyProtection="0"/>
    <xf numFmtId="168" fontId="85" fillId="64" borderId="149" applyNumberFormat="0" applyAlignment="0" applyProtection="0"/>
    <xf numFmtId="169" fontId="85" fillId="64" borderId="149" applyNumberFormat="0" applyAlignment="0" applyProtection="0"/>
    <xf numFmtId="168" fontId="85" fillId="64" borderId="149" applyNumberFormat="0" applyAlignment="0" applyProtection="0"/>
    <xf numFmtId="168" fontId="85" fillId="64" borderId="149" applyNumberFormat="0" applyAlignment="0" applyProtection="0"/>
    <xf numFmtId="169" fontId="85" fillId="64" borderId="149" applyNumberFormat="0" applyAlignment="0" applyProtection="0"/>
    <xf numFmtId="168" fontId="85" fillId="64" borderId="149" applyNumberFormat="0" applyAlignment="0" applyProtection="0"/>
    <xf numFmtId="168" fontId="85" fillId="64" borderId="149" applyNumberFormat="0" applyAlignment="0" applyProtection="0"/>
    <xf numFmtId="169" fontId="85" fillId="64" borderId="149" applyNumberFormat="0" applyAlignment="0" applyProtection="0"/>
    <xf numFmtId="168" fontId="85" fillId="64" borderId="149" applyNumberFormat="0" applyAlignment="0" applyProtection="0"/>
    <xf numFmtId="168" fontId="85" fillId="64" borderId="149" applyNumberFormat="0" applyAlignment="0" applyProtection="0"/>
    <xf numFmtId="169" fontId="85" fillId="64" borderId="149" applyNumberFormat="0" applyAlignment="0" applyProtection="0"/>
    <xf numFmtId="168" fontId="85"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169" fontId="85"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168" fontId="85"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168" fontId="85"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83" fillId="64" borderId="149" applyNumberForma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 fillId="74" borderId="148" applyNumberFormat="0" applyFont="0" applyAlignment="0" applyProtection="0"/>
    <xf numFmtId="0" fontId="27"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27" fillId="74" borderId="148" applyNumberFormat="0" applyFont="0" applyAlignment="0" applyProtection="0"/>
    <xf numFmtId="0" fontId="66" fillId="43" borderId="147" applyNumberFormat="0" applyAlignment="0" applyProtection="0"/>
    <xf numFmtId="168" fontId="68" fillId="43" borderId="147" applyNumberFormat="0" applyAlignment="0" applyProtection="0"/>
    <xf numFmtId="169" fontId="68" fillId="43" borderId="147" applyNumberFormat="0" applyAlignment="0" applyProtection="0"/>
    <xf numFmtId="168" fontId="68" fillId="43" borderId="147" applyNumberFormat="0" applyAlignment="0" applyProtection="0"/>
    <xf numFmtId="168" fontId="68" fillId="43" borderId="147" applyNumberFormat="0" applyAlignment="0" applyProtection="0"/>
    <xf numFmtId="169" fontId="68" fillId="43" borderId="147" applyNumberFormat="0" applyAlignment="0" applyProtection="0"/>
    <xf numFmtId="168" fontId="68" fillId="43" borderId="147" applyNumberFormat="0" applyAlignment="0" applyProtection="0"/>
    <xf numFmtId="168" fontId="68" fillId="43" borderId="147" applyNumberFormat="0" applyAlignment="0" applyProtection="0"/>
    <xf numFmtId="169" fontId="68" fillId="43" borderId="147" applyNumberFormat="0" applyAlignment="0" applyProtection="0"/>
    <xf numFmtId="168" fontId="68" fillId="43" borderId="147" applyNumberFormat="0" applyAlignment="0" applyProtection="0"/>
    <xf numFmtId="168" fontId="68" fillId="43" borderId="147" applyNumberFormat="0" applyAlignment="0" applyProtection="0"/>
    <xf numFmtId="169" fontId="68" fillId="43" borderId="147" applyNumberFormat="0" applyAlignment="0" applyProtection="0"/>
    <xf numFmtId="168" fontId="68"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169" fontId="68"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168" fontId="68"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168" fontId="68"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0" fontId="66" fillId="43" borderId="147" applyNumberFormat="0" applyAlignment="0" applyProtection="0"/>
    <xf numFmtId="168" fontId="54" fillId="0" borderId="146">
      <alignment horizontal="left" vertical="center"/>
    </xf>
    <xf numFmtId="0" fontId="54" fillId="0" borderId="146">
      <alignment horizontal="left" vertical="center"/>
    </xf>
    <xf numFmtId="0" fontId="54" fillId="0" borderId="146">
      <alignment horizontal="left" vertical="center"/>
    </xf>
    <xf numFmtId="0" fontId="38" fillId="64" borderId="147" applyNumberFormat="0" applyAlignment="0" applyProtection="0"/>
    <xf numFmtId="168" fontId="40" fillId="64" borderId="147" applyNumberFormat="0" applyAlignment="0" applyProtection="0"/>
    <xf numFmtId="169" fontId="40" fillId="64" borderId="147" applyNumberFormat="0" applyAlignment="0" applyProtection="0"/>
    <xf numFmtId="168" fontId="40" fillId="64" borderId="147" applyNumberFormat="0" applyAlignment="0" applyProtection="0"/>
    <xf numFmtId="168" fontId="40" fillId="64" borderId="147" applyNumberFormat="0" applyAlignment="0" applyProtection="0"/>
    <xf numFmtId="169" fontId="40" fillId="64" borderId="147" applyNumberFormat="0" applyAlignment="0" applyProtection="0"/>
    <xf numFmtId="168" fontId="40" fillId="64" borderId="147" applyNumberFormat="0" applyAlignment="0" applyProtection="0"/>
    <xf numFmtId="168" fontId="40" fillId="64" borderId="147" applyNumberFormat="0" applyAlignment="0" applyProtection="0"/>
    <xf numFmtId="169" fontId="40" fillId="64" borderId="147" applyNumberFormat="0" applyAlignment="0" applyProtection="0"/>
    <xf numFmtId="168" fontId="40" fillId="64" borderId="147" applyNumberFormat="0" applyAlignment="0" applyProtection="0"/>
    <xf numFmtId="168" fontId="40" fillId="64" borderId="147" applyNumberFormat="0" applyAlignment="0" applyProtection="0"/>
    <xf numFmtId="169" fontId="40" fillId="64" borderId="147" applyNumberFormat="0" applyAlignment="0" applyProtection="0"/>
    <xf numFmtId="168" fontId="40"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169" fontId="40"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168" fontId="40"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168" fontId="40"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8" fillId="64" borderId="147" applyNumberFormat="0" applyAlignment="0" applyProtection="0"/>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2" fillId="69" borderId="151" applyNumberFormat="0" applyFont="0" applyBorder="0" applyProtection="0">
      <alignment horizontal="center" vertical="center"/>
    </xf>
    <xf numFmtId="0" fontId="62" fillId="70" borderId="152" applyFont="0" applyBorder="0">
      <alignment horizontal="center" wrapText="1"/>
    </xf>
    <xf numFmtId="3" fontId="2" fillId="71" borderId="151" applyFont="0" applyProtection="0">
      <alignment horizontal="right" vertical="center"/>
    </xf>
    <xf numFmtId="9" fontId="2" fillId="71" borderId="151" applyFont="0" applyProtection="0">
      <alignment horizontal="right" vertical="center"/>
    </xf>
    <xf numFmtId="0" fontId="2" fillId="71" borderId="152" applyNumberFormat="0" applyFont="0" applyBorder="0" applyProtection="0">
      <alignment horizontal="left" vertical="center"/>
    </xf>
    <xf numFmtId="3" fontId="2" fillId="72" borderId="151" applyFont="0">
      <alignment horizontal="right" vertical="center"/>
      <protection locked="0"/>
    </xf>
    <xf numFmtId="3" fontId="2" fillId="75" borderId="151" applyFont="0">
      <alignment horizontal="right" vertical="center"/>
      <protection locked="0"/>
    </xf>
    <xf numFmtId="3" fontId="2" fillId="70" borderId="151" applyFont="0">
      <alignment horizontal="right" vertical="center"/>
    </xf>
    <xf numFmtId="188" fontId="2" fillId="70" borderId="151" applyFont="0">
      <alignment horizontal="right" vertical="center"/>
    </xf>
    <xf numFmtId="0" fontId="47" fillId="0" borderId="157" applyNumberFormat="0" applyFill="0" applyAlignment="0" applyProtection="0"/>
    <xf numFmtId="168" fontId="94" fillId="0" borderId="157" applyNumberFormat="0" applyFill="0" applyAlignment="0" applyProtection="0"/>
    <xf numFmtId="169" fontId="94" fillId="0" borderId="157" applyNumberFormat="0" applyFill="0" applyAlignment="0" applyProtection="0"/>
    <xf numFmtId="168" fontId="94" fillId="0" borderId="157" applyNumberFormat="0" applyFill="0" applyAlignment="0" applyProtection="0"/>
    <xf numFmtId="168" fontId="94" fillId="0" borderId="157" applyNumberFormat="0" applyFill="0" applyAlignment="0" applyProtection="0"/>
    <xf numFmtId="169" fontId="94" fillId="0" borderId="157" applyNumberFormat="0" applyFill="0" applyAlignment="0" applyProtection="0"/>
    <xf numFmtId="168" fontId="94" fillId="0" borderId="157" applyNumberFormat="0" applyFill="0" applyAlignment="0" applyProtection="0"/>
    <xf numFmtId="168" fontId="94" fillId="0" borderId="157" applyNumberFormat="0" applyFill="0" applyAlignment="0" applyProtection="0"/>
    <xf numFmtId="169" fontId="94" fillId="0" borderId="157" applyNumberFormat="0" applyFill="0" applyAlignment="0" applyProtection="0"/>
    <xf numFmtId="168" fontId="94" fillId="0" borderId="157" applyNumberFormat="0" applyFill="0" applyAlignment="0" applyProtection="0"/>
    <xf numFmtId="168" fontId="94" fillId="0" borderId="157" applyNumberFormat="0" applyFill="0" applyAlignment="0" applyProtection="0"/>
    <xf numFmtId="169" fontId="94" fillId="0" borderId="157" applyNumberFormat="0" applyFill="0" applyAlignment="0" applyProtection="0"/>
    <xf numFmtId="168" fontId="94"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169" fontId="94"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168" fontId="94"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168" fontId="94"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0" fontId="47" fillId="0" borderId="157" applyNumberFormat="0" applyFill="0" applyAlignment="0" applyProtection="0"/>
    <xf numFmtId="188" fontId="2" fillId="70" borderId="151" applyFont="0">
      <alignment horizontal="right" vertical="center"/>
    </xf>
    <xf numFmtId="3" fontId="2" fillId="70" borderId="151" applyFont="0">
      <alignment horizontal="right" vertical="center"/>
    </xf>
    <xf numFmtId="0" fontId="83" fillId="64" borderId="156" applyNumberFormat="0" applyAlignment="0" applyProtection="0"/>
    <xf numFmtId="168" fontId="85" fillId="64" borderId="156" applyNumberFormat="0" applyAlignment="0" applyProtection="0"/>
    <xf numFmtId="169" fontId="85" fillId="64" borderId="156" applyNumberFormat="0" applyAlignment="0" applyProtection="0"/>
    <xf numFmtId="168" fontId="85" fillId="64" borderId="156" applyNumberFormat="0" applyAlignment="0" applyProtection="0"/>
    <xf numFmtId="168" fontId="85" fillId="64" borderId="156" applyNumberFormat="0" applyAlignment="0" applyProtection="0"/>
    <xf numFmtId="169" fontId="85" fillId="64" borderId="156" applyNumberFormat="0" applyAlignment="0" applyProtection="0"/>
    <xf numFmtId="168" fontId="85" fillId="64" borderId="156" applyNumberFormat="0" applyAlignment="0" applyProtection="0"/>
    <xf numFmtId="168" fontId="85" fillId="64" borderId="156" applyNumberFormat="0" applyAlignment="0" applyProtection="0"/>
    <xf numFmtId="169" fontId="85" fillId="64" borderId="156" applyNumberFormat="0" applyAlignment="0" applyProtection="0"/>
    <xf numFmtId="168" fontId="85" fillId="64" borderId="156" applyNumberFormat="0" applyAlignment="0" applyProtection="0"/>
    <xf numFmtId="168" fontId="85" fillId="64" borderId="156" applyNumberFormat="0" applyAlignment="0" applyProtection="0"/>
    <xf numFmtId="169" fontId="85" fillId="64" borderId="156" applyNumberFormat="0" applyAlignment="0" applyProtection="0"/>
    <xf numFmtId="168" fontId="85"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169" fontId="85"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168" fontId="85"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168" fontId="85"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0" fontId="83" fillId="64" borderId="156" applyNumberFormat="0" applyAlignment="0" applyProtection="0"/>
    <xf numFmtId="3" fontId="2" fillId="75" borderId="151" applyFont="0">
      <alignment horizontal="right" vertical="center"/>
      <protection locked="0"/>
    </xf>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 fillId="74" borderId="155" applyNumberFormat="0" applyFont="0" applyAlignment="0" applyProtection="0"/>
    <xf numFmtId="0" fontId="27"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0" fontId="27" fillId="74" borderId="155" applyNumberFormat="0" applyFont="0" applyAlignment="0" applyProtection="0"/>
    <xf numFmtId="3" fontId="2" fillId="72" borderId="151" applyFont="0">
      <alignment horizontal="right" vertical="center"/>
      <protection locked="0"/>
    </xf>
    <xf numFmtId="0" fontId="66" fillId="43" borderId="154" applyNumberFormat="0" applyAlignment="0" applyProtection="0"/>
    <xf numFmtId="168" fontId="68" fillId="43" borderId="154" applyNumberFormat="0" applyAlignment="0" applyProtection="0"/>
    <xf numFmtId="169" fontId="68" fillId="43" borderId="154" applyNumberFormat="0" applyAlignment="0" applyProtection="0"/>
    <xf numFmtId="168" fontId="68" fillId="43" borderId="154" applyNumberFormat="0" applyAlignment="0" applyProtection="0"/>
    <xf numFmtId="168" fontId="68" fillId="43" borderId="154" applyNumberFormat="0" applyAlignment="0" applyProtection="0"/>
    <xf numFmtId="169" fontId="68" fillId="43" borderId="154" applyNumberFormat="0" applyAlignment="0" applyProtection="0"/>
    <xf numFmtId="168" fontId="68" fillId="43" borderId="154" applyNumberFormat="0" applyAlignment="0" applyProtection="0"/>
    <xf numFmtId="168" fontId="68" fillId="43" borderId="154" applyNumberFormat="0" applyAlignment="0" applyProtection="0"/>
    <xf numFmtId="169" fontId="68" fillId="43" borderId="154" applyNumberFormat="0" applyAlignment="0" applyProtection="0"/>
    <xf numFmtId="168" fontId="68" fillId="43" borderId="154" applyNumberFormat="0" applyAlignment="0" applyProtection="0"/>
    <xf numFmtId="168" fontId="68" fillId="43" borderId="154" applyNumberFormat="0" applyAlignment="0" applyProtection="0"/>
    <xf numFmtId="169" fontId="68" fillId="43" borderId="154" applyNumberFormat="0" applyAlignment="0" applyProtection="0"/>
    <xf numFmtId="168" fontId="68"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169" fontId="68"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168" fontId="68"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168" fontId="68"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66" fillId="43" borderId="154" applyNumberFormat="0" applyAlignment="0" applyProtection="0"/>
    <xf numFmtId="0" fontId="2" fillId="71" borderId="152" applyNumberFormat="0" applyFont="0" applyBorder="0" applyProtection="0">
      <alignment horizontal="left" vertical="center"/>
    </xf>
    <xf numFmtId="9" fontId="2" fillId="71" borderId="151" applyFont="0" applyProtection="0">
      <alignment horizontal="right" vertical="center"/>
    </xf>
    <xf numFmtId="3" fontId="2" fillId="71" borderId="151" applyFont="0" applyProtection="0">
      <alignment horizontal="right" vertical="center"/>
    </xf>
    <xf numFmtId="0" fontId="62" fillId="70" borderId="152" applyFont="0" applyBorder="0">
      <alignment horizontal="center" wrapText="1"/>
    </xf>
    <xf numFmtId="168" fontId="54" fillId="0" borderId="153">
      <alignment horizontal="left" vertical="center"/>
    </xf>
    <xf numFmtId="0" fontId="54" fillId="0" borderId="153">
      <alignment horizontal="left" vertical="center"/>
    </xf>
    <xf numFmtId="0" fontId="54" fillId="0" borderId="153">
      <alignment horizontal="left" vertical="center"/>
    </xf>
    <xf numFmtId="0" fontId="2" fillId="69" borderId="151" applyNumberFormat="0" applyFont="0" applyBorder="0" applyProtection="0">
      <alignment horizontal="center" vertical="center"/>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6" fillId="0" borderId="151" applyNumberFormat="0" applyAlignment="0">
      <alignment horizontal="right"/>
      <protection locked="0"/>
    </xf>
    <xf numFmtId="0" fontId="38" fillId="64" borderId="154" applyNumberFormat="0" applyAlignment="0" applyProtection="0"/>
    <xf numFmtId="168" fontId="40" fillId="64" borderId="154" applyNumberFormat="0" applyAlignment="0" applyProtection="0"/>
    <xf numFmtId="169" fontId="40" fillId="64" borderId="154" applyNumberFormat="0" applyAlignment="0" applyProtection="0"/>
    <xf numFmtId="168" fontId="40" fillId="64" borderId="154" applyNumberFormat="0" applyAlignment="0" applyProtection="0"/>
    <xf numFmtId="168" fontId="40" fillId="64" borderId="154" applyNumberFormat="0" applyAlignment="0" applyProtection="0"/>
    <xf numFmtId="169" fontId="40" fillId="64" borderId="154" applyNumberFormat="0" applyAlignment="0" applyProtection="0"/>
    <xf numFmtId="168" fontId="40" fillId="64" borderId="154" applyNumberFormat="0" applyAlignment="0" applyProtection="0"/>
    <xf numFmtId="168" fontId="40" fillId="64" borderId="154" applyNumberFormat="0" applyAlignment="0" applyProtection="0"/>
    <xf numFmtId="169" fontId="40" fillId="64" borderId="154" applyNumberFormat="0" applyAlignment="0" applyProtection="0"/>
    <xf numFmtId="168" fontId="40" fillId="64" borderId="154" applyNumberFormat="0" applyAlignment="0" applyProtection="0"/>
    <xf numFmtId="168" fontId="40" fillId="64" borderId="154" applyNumberFormat="0" applyAlignment="0" applyProtection="0"/>
    <xf numFmtId="169" fontId="40" fillId="64" borderId="154" applyNumberFormat="0" applyAlignment="0" applyProtection="0"/>
    <xf numFmtId="168" fontId="40"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169" fontId="40"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168" fontId="40"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168" fontId="40"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xf numFmtId="0" fontId="38" fillId="64" borderId="154" applyNumberFormat="0" applyAlignment="0" applyProtection="0"/>
  </cellStyleXfs>
  <cellXfs count="909">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0" fontId="4" fillId="0" borderId="3"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6"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7" fillId="0" borderId="0" xfId="0" applyFont="1" applyAlignment="1">
      <alignment vertical="center"/>
    </xf>
    <xf numFmtId="0" fontId="8"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22" xfId="0" applyFont="1" applyBorder="1"/>
    <xf numFmtId="0" fontId="23" fillId="0" borderId="3" xfId="0" applyFont="1" applyBorder="1"/>
    <xf numFmtId="0" fontId="22"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4" fillId="0" borderId="56" xfId="0" applyFont="1" applyBorder="1"/>
    <xf numFmtId="0" fontId="20" fillId="0" borderId="25" xfId="0" applyFont="1" applyBorder="1" applyAlignment="1">
      <alignment horizontal="center" vertical="center" wrapText="1"/>
    </xf>
    <xf numFmtId="0" fontId="4" fillId="0" borderId="57"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167" fontId="23" fillId="0" borderId="63" xfId="0" applyNumberFormat="1" applyFont="1" applyBorder="1" applyAlignment="1">
      <alignment horizontal="center"/>
    </xf>
    <xf numFmtId="167" fontId="23" fillId="0" borderId="65" xfId="0" applyNumberFormat="1" applyFont="1" applyBorder="1" applyAlignment="1">
      <alignment horizontal="center"/>
    </xf>
    <xf numFmtId="167" fontId="22" fillId="36" borderId="58" xfId="0" applyNumberFormat="1" applyFont="1" applyFill="1" applyBorder="1" applyAlignment="1">
      <alignment horizontal="center"/>
    </xf>
    <xf numFmtId="167" fontId="23" fillId="0" borderId="62" xfId="0" applyNumberFormat="1" applyFont="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167" fontId="22"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0"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8" fillId="0" borderId="0" xfId="0" applyFont="1" applyFill="1" applyAlignment="1">
      <alignment horizontal="center"/>
    </xf>
    <xf numFmtId="0" fontId="16" fillId="0" borderId="0" xfId="0" applyFont="1" applyFill="1" applyAlignment="1">
      <alignment horizontal="center"/>
    </xf>
    <xf numFmtId="0" fontId="4" fillId="0" borderId="25"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80"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8"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6" fillId="77" borderId="63"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10" xfId="0" applyNumberFormat="1" applyFont="1" applyFill="1" applyBorder="1" applyAlignment="1" applyProtection="1">
      <alignment horizontal="right"/>
    </xf>
    <xf numFmtId="193" fontId="8" fillId="0" borderId="3" xfId="0" applyNumberFormat="1" applyFont="1" applyFill="1" applyBorder="1" applyAlignment="1" applyProtection="1">
      <alignment horizontal="right"/>
    </xf>
    <xf numFmtId="193" fontId="8" fillId="36" borderId="23" xfId="0"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0" borderId="10" xfId="0" applyNumberFormat="1" applyFont="1" applyFill="1" applyBorder="1" applyAlignment="1" applyProtection="1">
      <alignment horizontal="right"/>
      <protection locked="0"/>
    </xf>
    <xf numFmtId="193" fontId="8" fillId="0" borderId="3" xfId="0" applyNumberFormat="1" applyFont="1" applyFill="1" applyBorder="1" applyAlignment="1" applyProtection="1">
      <alignment horizontal="right"/>
      <protection locked="0"/>
    </xf>
    <xf numFmtId="193" fontId="8" fillId="0" borderId="23" xfId="0"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8"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6" fillId="36" borderId="27" xfId="2" applyNumberFormat="1" applyFont="1" applyFill="1" applyBorder="1" applyAlignment="1" applyProtection="1">
      <alignment vertical="top" wrapText="1"/>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0" xfId="0" applyNumberFormat="1" applyFont="1" applyFill="1" applyBorder="1" applyAlignment="1">
      <alignment vertical="center"/>
    </xf>
    <xf numFmtId="193" fontId="23" fillId="36" borderId="14" xfId="0" applyNumberFormat="1" applyFont="1" applyFill="1" applyBorder="1" applyAlignment="1">
      <alignment vertical="center"/>
    </xf>
    <xf numFmtId="193" fontId="4" fillId="36" borderId="26" xfId="0" applyNumberFormat="1" applyFont="1" applyFill="1" applyBorder="1"/>
    <xf numFmtId="193" fontId="4" fillId="36" borderId="53"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4"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6" fillId="37" borderId="0" xfId="20" applyBorder="1"/>
    <xf numFmtId="0" fontId="4" fillId="0" borderId="7" xfId="0" applyFont="1" applyFill="1" applyBorder="1" applyAlignment="1">
      <alignment vertical="center"/>
    </xf>
    <xf numFmtId="0" fontId="4" fillId="0" borderId="103" xfId="0" applyFont="1" applyFill="1" applyBorder="1" applyAlignment="1">
      <alignment vertical="center"/>
    </xf>
    <xf numFmtId="0" fontId="5" fillId="0" borderId="103" xfId="0" applyFont="1" applyFill="1" applyBorder="1" applyAlignment="1">
      <alignment vertical="center"/>
    </xf>
    <xf numFmtId="0" fontId="4" fillId="0" borderId="20" xfId="0" applyFont="1" applyFill="1" applyBorder="1" applyAlignment="1">
      <alignment vertical="center"/>
    </xf>
    <xf numFmtId="0" fontId="4" fillId="0" borderId="98"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169" fontId="26" fillId="37" borderId="113"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101" xfId="0" applyFont="1" applyFill="1" applyBorder="1" applyAlignment="1">
      <alignment vertical="center"/>
    </xf>
    <xf numFmtId="0" fontId="13" fillId="3" borderId="114" xfId="0" applyFont="1" applyFill="1" applyBorder="1" applyAlignment="1">
      <alignment horizontal="left"/>
    </xf>
    <xf numFmtId="0" fontId="13" fillId="3" borderId="115" xfId="0" applyFont="1" applyFill="1" applyBorder="1" applyAlignment="1">
      <alignment horizontal="left"/>
    </xf>
    <xf numFmtId="0" fontId="4" fillId="0" borderId="0" xfId="0" applyFont="1"/>
    <xf numFmtId="0" fontId="4" fillId="0" borderId="0" xfId="0" applyFont="1" applyFill="1"/>
    <xf numFmtId="0" fontId="106" fillId="0" borderId="90" xfId="0" applyFont="1" applyFill="1" applyBorder="1" applyAlignment="1">
      <alignment horizontal="right" vertical="center"/>
    </xf>
    <xf numFmtId="0" fontId="5" fillId="3" borderId="117" xfId="0" applyFont="1" applyFill="1" applyBorder="1" applyAlignment="1">
      <alignment vertical="center"/>
    </xf>
    <xf numFmtId="0" fontId="4" fillId="0" borderId="118" xfId="0" applyFont="1" applyFill="1" applyBorder="1" applyAlignment="1">
      <alignment horizontal="center" vertical="center"/>
    </xf>
    <xf numFmtId="0" fontId="5"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18" xfId="0" applyBorder="1"/>
    <xf numFmtId="0" fontId="0" fillId="0" borderId="118" xfId="0" applyBorder="1" applyAlignment="1">
      <alignment horizontal="center"/>
    </xf>
    <xf numFmtId="0" fontId="4" fillId="0" borderId="102" xfId="0" applyFont="1" applyBorder="1" applyAlignment="1">
      <alignment vertical="center" wrapText="1"/>
    </xf>
    <xf numFmtId="0" fontId="13" fillId="0" borderId="102" xfId="0" applyFont="1" applyBorder="1" applyAlignment="1">
      <alignment vertical="center" wrapText="1"/>
    </xf>
    <xf numFmtId="0" fontId="0" fillId="0" borderId="25" xfId="0" applyBorder="1"/>
    <xf numFmtId="0" fontId="5" fillId="36" borderId="119"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118" xfId="0" applyFont="1" applyFill="1" applyBorder="1" applyAlignment="1">
      <alignment horizontal="left" vertical="center" wrapText="1"/>
    </xf>
    <xf numFmtId="0" fontId="5" fillId="36" borderId="103" xfId="0" applyFont="1" applyFill="1" applyBorder="1" applyAlignment="1">
      <alignment horizontal="left" vertical="center" wrapText="1"/>
    </xf>
    <xf numFmtId="0" fontId="4" fillId="0" borderId="118"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09" fillId="0" borderId="118" xfId="0" applyFont="1" applyFill="1" applyBorder="1" applyAlignment="1">
      <alignment horizontal="right" vertical="center" wrapText="1"/>
    </xf>
    <xf numFmtId="0" fontId="109" fillId="0" borderId="103"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0" fillId="0" borderId="118" xfId="0" applyFont="1" applyBorder="1" applyAlignment="1">
      <alignment horizontal="center" vertical="center" wrapText="1"/>
    </xf>
    <xf numFmtId="3" fontId="21" fillId="36" borderId="103" xfId="0" applyNumberFormat="1" applyFont="1" applyFill="1" applyBorder="1" applyAlignment="1">
      <alignment vertical="center" wrapText="1"/>
    </xf>
    <xf numFmtId="3" fontId="21" fillId="36" borderId="116" xfId="0" applyNumberFormat="1" applyFont="1" applyFill="1" applyBorder="1" applyAlignment="1">
      <alignment vertical="center" wrapText="1"/>
    </xf>
    <xf numFmtId="14" fontId="6" fillId="3" borderId="103" xfId="8" quotePrefix="1" applyNumberFormat="1" applyFont="1" applyFill="1" applyBorder="1" applyAlignment="1" applyProtection="1">
      <alignment horizontal="left" vertical="center" wrapText="1" indent="2"/>
      <protection locked="0"/>
    </xf>
    <xf numFmtId="3" fontId="21" fillId="0" borderId="103" xfId="0" applyNumberFormat="1" applyFont="1" applyBorder="1" applyAlignment="1">
      <alignment vertical="center" wrapText="1"/>
    </xf>
    <xf numFmtId="14" fontId="6" fillId="3" borderId="103" xfId="8" quotePrefix="1" applyNumberFormat="1" applyFont="1" applyFill="1" applyBorder="1" applyAlignment="1" applyProtection="1">
      <alignment horizontal="left" vertical="center" wrapText="1" indent="3"/>
      <protection locked="0"/>
    </xf>
    <xf numFmtId="3" fontId="21" fillId="0" borderId="103" xfId="0" applyNumberFormat="1" applyFont="1" applyFill="1" applyBorder="1" applyAlignment="1">
      <alignment vertical="center" wrapText="1"/>
    </xf>
    <xf numFmtId="0" fontId="10" fillId="0" borderId="103" xfId="17" applyFill="1" applyBorder="1" applyAlignment="1" applyProtection="1"/>
    <xf numFmtId="49" fontId="109" fillId="0" borderId="118" xfId="0" applyNumberFormat="1" applyFont="1" applyFill="1" applyBorder="1" applyAlignment="1">
      <alignment horizontal="right" vertical="center" wrapText="1"/>
    </xf>
    <xf numFmtId="0" fontId="6" fillId="3" borderId="103" xfId="20960" applyFont="1" applyFill="1" applyBorder="1" applyAlignment="1" applyProtection="1"/>
    <xf numFmtId="0" fontId="103" fillId="0" borderId="103" xfId="20960" applyFont="1" applyFill="1" applyBorder="1" applyAlignment="1" applyProtection="1">
      <alignment horizontal="center" vertical="center"/>
    </xf>
    <xf numFmtId="0" fontId="4" fillId="0" borderId="103" xfId="0" applyFont="1" applyBorder="1"/>
    <xf numFmtId="0" fontId="10" fillId="0" borderId="103" xfId="17" applyFill="1" applyBorder="1" applyAlignment="1" applyProtection="1">
      <alignment horizontal="left" vertical="center" wrapText="1"/>
    </xf>
    <xf numFmtId="49" fontId="109" fillId="0" borderId="103" xfId="0" applyNumberFormat="1" applyFont="1" applyFill="1" applyBorder="1" applyAlignment="1">
      <alignment horizontal="right" vertical="center" wrapText="1"/>
    </xf>
    <xf numFmtId="0" fontId="10" fillId="0" borderId="103" xfId="17" applyFill="1" applyBorder="1" applyAlignment="1" applyProtection="1">
      <alignment horizontal="left" vertical="center"/>
    </xf>
    <xf numFmtId="0" fontId="10" fillId="0" borderId="103" xfId="17" applyBorder="1" applyAlignment="1" applyProtection="1"/>
    <xf numFmtId="0" fontId="4" fillId="0" borderId="103" xfId="0" applyFont="1" applyFill="1" applyBorder="1"/>
    <xf numFmtId="0" fontId="20" fillId="0" borderId="118" xfId="0" applyFont="1" applyFill="1" applyBorder="1" applyAlignment="1">
      <alignment horizontal="center" vertical="center" wrapText="1"/>
    </xf>
    <xf numFmtId="0" fontId="112" fillId="79" borderId="104" xfId="21412" applyFont="1" applyFill="1" applyBorder="1" applyAlignment="1" applyProtection="1">
      <alignment vertical="center" wrapText="1"/>
      <protection locked="0"/>
    </xf>
    <xf numFmtId="0" fontId="113" fillId="70" borderId="98" xfId="21412" applyFont="1" applyFill="1" applyBorder="1" applyAlignment="1" applyProtection="1">
      <alignment horizontal="center" vertical="center"/>
      <protection locked="0"/>
    </xf>
    <xf numFmtId="0" fontId="112" fillId="80" borderId="103" xfId="21412" applyFont="1" applyFill="1" applyBorder="1" applyAlignment="1" applyProtection="1">
      <alignment horizontal="center" vertical="center"/>
      <protection locked="0"/>
    </xf>
    <xf numFmtId="0" fontId="112" fillId="79" borderId="104" xfId="21412" applyFont="1" applyFill="1" applyBorder="1" applyAlignment="1" applyProtection="1">
      <alignment vertical="center"/>
      <protection locked="0"/>
    </xf>
    <xf numFmtId="0" fontId="114" fillId="70" borderId="98" xfId="21412" applyFont="1" applyFill="1" applyBorder="1" applyAlignment="1" applyProtection="1">
      <alignment horizontal="center" vertical="center"/>
      <protection locked="0"/>
    </xf>
    <xf numFmtId="0" fontId="114" fillId="3" borderId="98" xfId="21412" applyFont="1" applyFill="1" applyBorder="1" applyAlignment="1" applyProtection="1">
      <alignment horizontal="center" vertical="center"/>
      <protection locked="0"/>
    </xf>
    <xf numFmtId="0" fontId="114" fillId="0" borderId="98" xfId="21412" applyFont="1" applyFill="1" applyBorder="1" applyAlignment="1" applyProtection="1">
      <alignment horizontal="center" vertical="center"/>
      <protection locked="0"/>
    </xf>
    <xf numFmtId="0" fontId="115" fillId="80" borderId="103" xfId="21412" applyFont="1" applyFill="1" applyBorder="1" applyAlignment="1" applyProtection="1">
      <alignment horizontal="center" vertical="center"/>
      <protection locked="0"/>
    </xf>
    <xf numFmtId="0" fontId="112" fillId="79" borderId="104" xfId="21412" applyFont="1" applyFill="1" applyBorder="1" applyAlignment="1" applyProtection="1">
      <alignment horizontal="center" vertical="center"/>
      <protection locked="0"/>
    </xf>
    <xf numFmtId="0" fontId="62" fillId="79" borderId="104" xfId="21412" applyFont="1" applyFill="1" applyBorder="1" applyAlignment="1" applyProtection="1">
      <alignment vertical="center"/>
      <protection locked="0"/>
    </xf>
    <xf numFmtId="0" fontId="114" fillId="70" borderId="103" xfId="21412" applyFont="1" applyFill="1" applyBorder="1" applyAlignment="1" applyProtection="1">
      <alignment horizontal="center" vertical="center"/>
      <protection locked="0"/>
    </xf>
    <xf numFmtId="0" fontId="36" fillId="70" borderId="103" xfId="21412" applyFont="1" applyFill="1" applyBorder="1" applyAlignment="1" applyProtection="1">
      <alignment horizontal="center" vertical="center"/>
      <protection locked="0"/>
    </xf>
    <xf numFmtId="0" fontId="62" fillId="79" borderId="102" xfId="21412" applyFont="1" applyFill="1" applyBorder="1" applyAlignment="1" applyProtection="1">
      <alignment vertical="center"/>
      <protection locked="0"/>
    </xf>
    <xf numFmtId="0" fontId="113" fillId="0" borderId="102" xfId="21412" applyFont="1" applyFill="1" applyBorder="1" applyAlignment="1" applyProtection="1">
      <alignment horizontal="left" vertical="center" wrapText="1"/>
      <protection locked="0"/>
    </xf>
    <xf numFmtId="164" fontId="113" fillId="0" borderId="103" xfId="948" applyNumberFormat="1" applyFont="1" applyFill="1" applyBorder="1" applyAlignment="1" applyProtection="1">
      <alignment horizontal="right" vertical="center"/>
      <protection locked="0"/>
    </xf>
    <xf numFmtId="0" fontId="112" fillId="80" borderId="102" xfId="21412" applyFont="1" applyFill="1" applyBorder="1" applyAlignment="1" applyProtection="1">
      <alignment vertical="top" wrapText="1"/>
      <protection locked="0"/>
    </xf>
    <xf numFmtId="164" fontId="113" fillId="80" borderId="103" xfId="948" applyNumberFormat="1" applyFont="1" applyFill="1" applyBorder="1" applyAlignment="1" applyProtection="1">
      <alignment horizontal="right" vertical="center"/>
    </xf>
    <xf numFmtId="164" fontId="62" fillId="79" borderId="102" xfId="948" applyNumberFormat="1" applyFont="1" applyFill="1" applyBorder="1" applyAlignment="1" applyProtection="1">
      <alignment horizontal="right" vertical="center"/>
      <protection locked="0"/>
    </xf>
    <xf numFmtId="0" fontId="113" fillId="70" borderId="102" xfId="21412" applyFont="1" applyFill="1" applyBorder="1" applyAlignment="1" applyProtection="1">
      <alignment vertical="center" wrapText="1"/>
      <protection locked="0"/>
    </xf>
    <xf numFmtId="0" fontId="113" fillId="70" borderId="102" xfId="21412" applyFont="1" applyFill="1" applyBorder="1" applyAlignment="1" applyProtection="1">
      <alignment horizontal="left" vertical="center" wrapText="1"/>
      <protection locked="0"/>
    </xf>
    <xf numFmtId="0" fontId="113" fillId="0" borderId="102" xfId="21412" applyFont="1" applyFill="1" applyBorder="1" applyAlignment="1" applyProtection="1">
      <alignment vertical="center" wrapText="1"/>
      <protection locked="0"/>
    </xf>
    <xf numFmtId="0" fontId="113" fillId="3" borderId="102" xfId="21412" applyFont="1" applyFill="1" applyBorder="1" applyAlignment="1" applyProtection="1">
      <alignment horizontal="left" vertical="center" wrapText="1"/>
      <protection locked="0"/>
    </xf>
    <xf numFmtId="0" fontId="112" fillId="80" borderId="102" xfId="21412" applyFont="1" applyFill="1" applyBorder="1" applyAlignment="1" applyProtection="1">
      <alignment vertical="center" wrapText="1"/>
      <protection locked="0"/>
    </xf>
    <xf numFmtId="164" fontId="112" fillId="79" borderId="102" xfId="948" applyNumberFormat="1" applyFont="1" applyFill="1" applyBorder="1" applyAlignment="1" applyProtection="1">
      <alignment horizontal="right" vertical="center"/>
      <protection locked="0"/>
    </xf>
    <xf numFmtId="164" fontId="113" fillId="3" borderId="103" xfId="948" applyNumberFormat="1" applyFont="1" applyFill="1" applyBorder="1" applyAlignment="1" applyProtection="1">
      <alignment horizontal="right" vertical="center"/>
      <protection locked="0"/>
    </xf>
    <xf numFmtId="10" fontId="6"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5" fillId="36" borderId="103" xfId="0" applyNumberFormat="1" applyFont="1" applyFill="1" applyBorder="1" applyAlignment="1">
      <alignment horizontal="left" vertical="center" wrapText="1"/>
    </xf>
    <xf numFmtId="10" fontId="109" fillId="0" borderId="103" xfId="20961" applyNumberFormat="1" applyFont="1" applyFill="1" applyBorder="1" applyAlignment="1">
      <alignment horizontal="left" vertical="center" wrapText="1"/>
    </xf>
    <xf numFmtId="10" fontId="5" fillId="36" borderId="103" xfId="20961" applyNumberFormat="1" applyFont="1" applyFill="1" applyBorder="1" applyAlignment="1">
      <alignment horizontal="left" vertical="center" wrapText="1"/>
    </xf>
    <xf numFmtId="10" fontId="5" fillId="36" borderId="103" xfId="0" applyNumberFormat="1" applyFont="1" applyFill="1" applyBorder="1" applyAlignment="1">
      <alignment horizontal="center" vertical="center" wrapText="1"/>
    </xf>
    <xf numFmtId="10" fontId="111" fillId="0" borderId="26" xfId="20961" applyNumberFormat="1" applyFont="1" applyFill="1" applyBorder="1" applyAlignment="1" applyProtection="1">
      <alignment horizontal="left" vertical="center"/>
    </xf>
    <xf numFmtId="43" fontId="6" fillId="0" borderId="0" xfId="7" applyFont="1"/>
    <xf numFmtId="0" fontId="107" fillId="0" borderId="0" xfId="0" applyFont="1" applyAlignment="1">
      <alignment wrapText="1"/>
    </xf>
    <xf numFmtId="0" fontId="8" fillId="0" borderId="118" xfId="0" applyFont="1" applyBorder="1" applyAlignment="1">
      <alignment horizontal="right" vertical="center" wrapText="1"/>
    </xf>
    <xf numFmtId="0" fontId="8" fillId="0" borderId="118" xfId="0" applyFont="1" applyFill="1" applyBorder="1" applyAlignment="1">
      <alignment horizontal="right" vertical="center" wrapText="1"/>
    </xf>
    <xf numFmtId="0" fontId="6" fillId="0" borderId="103" xfId="0" applyFont="1" applyFill="1" applyBorder="1" applyAlignment="1">
      <alignment vertical="center" wrapText="1"/>
    </xf>
    <xf numFmtId="0" fontId="4" fillId="0" borderId="103" xfId="0" applyFont="1" applyBorder="1" applyAlignment="1">
      <alignment vertical="center" wrapText="1"/>
    </xf>
    <xf numFmtId="0" fontId="4" fillId="0" borderId="103" xfId="0" applyFont="1" applyFill="1" applyBorder="1" applyAlignment="1">
      <alignment horizontal="left" vertical="center" wrapText="1" indent="2"/>
    </xf>
    <xf numFmtId="0" fontId="4" fillId="0" borderId="103" xfId="0" applyFont="1" applyFill="1" applyBorder="1" applyAlignment="1">
      <alignment vertical="center" wrapText="1"/>
    </xf>
    <xf numFmtId="0" fontId="5" fillId="0" borderId="26" xfId="0" applyFont="1" applyBorder="1" applyAlignment="1">
      <alignment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18"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5" fillId="0" borderId="103" xfId="0" applyFont="1" applyFill="1" applyBorder="1" applyAlignment="1">
      <alignment horizontal="left" vertical="center" wrapText="1"/>
    </xf>
    <xf numFmtId="193" fontId="6" fillId="0" borderId="103" xfId="0" applyNumberFormat="1" applyFont="1" applyFill="1" applyBorder="1" applyAlignment="1" applyProtection="1">
      <alignment vertical="center" wrapText="1"/>
      <protection locked="0"/>
    </xf>
    <xf numFmtId="193" fontId="6" fillId="0" borderId="103" xfId="0" applyNumberFormat="1" applyFont="1" applyFill="1" applyBorder="1" applyAlignment="1" applyProtection="1">
      <alignment horizontal="right" vertical="center" wrapText="1"/>
      <protection locked="0"/>
    </xf>
    <xf numFmtId="0" fontId="6" fillId="0" borderId="103" xfId="0" applyFont="1" applyBorder="1" applyAlignment="1">
      <alignment vertical="center" wrapText="1"/>
    </xf>
    <xf numFmtId="0" fontId="8" fillId="2" borderId="118" xfId="0" applyFont="1" applyFill="1" applyBorder="1" applyAlignment="1">
      <alignment horizontal="right" vertical="center"/>
    </xf>
    <xf numFmtId="0" fontId="8" fillId="2" borderId="103" xfId="0" applyFont="1" applyFill="1" applyBorder="1" applyAlignment="1">
      <alignment vertical="center"/>
    </xf>
    <xf numFmtId="193" fontId="8" fillId="2" borderId="103" xfId="0" applyNumberFormat="1" applyFont="1" applyFill="1" applyBorder="1" applyAlignment="1" applyProtection="1">
      <alignment vertical="center"/>
      <protection locked="0"/>
    </xf>
    <xf numFmtId="0" fontId="14" fillId="0" borderId="118" xfId="0" applyFont="1" applyFill="1" applyBorder="1" applyAlignment="1">
      <alignment horizontal="center" vertical="center" wrapText="1"/>
    </xf>
    <xf numFmtId="14" fontId="4" fillId="0" borderId="0" xfId="0" applyNumberFormat="1" applyFont="1"/>
    <xf numFmtId="10" fontId="4" fillId="0" borderId="103" xfId="20961" applyNumberFormat="1" applyFont="1" applyFill="1" applyBorder="1" applyAlignment="1" applyProtection="1">
      <alignment horizontal="right" vertical="center" wrapText="1"/>
      <protection locked="0"/>
    </xf>
    <xf numFmtId="0" fontId="5" fillId="0" borderId="0" xfId="0" applyFont="1" applyAlignment="1">
      <alignment horizontal="center" wrapText="1"/>
    </xf>
    <xf numFmtId="0" fontId="4" fillId="3" borderId="56" xfId="0" applyFont="1" applyFill="1" applyBorder="1"/>
    <xf numFmtId="0" fontId="4" fillId="3" borderId="121" xfId="0" applyFont="1" applyFill="1" applyBorder="1" applyAlignment="1">
      <alignment wrapText="1"/>
    </xf>
    <xf numFmtId="0" fontId="4" fillId="3" borderId="122" xfId="0" applyFont="1" applyFill="1" applyBorder="1"/>
    <xf numFmtId="0" fontId="5" fillId="3" borderId="11" xfId="0" applyFont="1" applyFill="1" applyBorder="1" applyAlignment="1">
      <alignment horizontal="center" wrapText="1"/>
    </xf>
    <xf numFmtId="0" fontId="4" fillId="0" borderId="103" xfId="0" applyFont="1" applyFill="1" applyBorder="1" applyAlignment="1">
      <alignment horizontal="center"/>
    </xf>
    <xf numFmtId="0" fontId="4" fillId="0" borderId="103" xfId="0" applyFont="1" applyBorder="1" applyAlignment="1">
      <alignment horizontal="center"/>
    </xf>
    <xf numFmtId="0" fontId="4" fillId="3" borderId="67"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6" xfId="0" applyFont="1" applyFill="1" applyBorder="1" applyAlignment="1">
      <alignment horizontal="center" vertical="center" wrapText="1"/>
    </xf>
    <xf numFmtId="0" fontId="4" fillId="0" borderId="118" xfId="0" applyFont="1" applyBorder="1"/>
    <xf numFmtId="0" fontId="4" fillId="0" borderId="103" xfId="0" applyFont="1" applyBorder="1" applyAlignment="1">
      <alignment wrapText="1"/>
    </xf>
    <xf numFmtId="164" fontId="4" fillId="0" borderId="103" xfId="7" applyNumberFormat="1" applyFont="1" applyBorder="1"/>
    <xf numFmtId="164" fontId="4" fillId="0" borderId="116" xfId="7" applyNumberFormat="1" applyFont="1" applyBorder="1"/>
    <xf numFmtId="0" fontId="13" fillId="0" borderId="103" xfId="0" applyFont="1" applyBorder="1" applyAlignment="1">
      <alignment horizontal="left" wrapText="1" indent="2"/>
    </xf>
    <xf numFmtId="169" fontId="26" fillId="37" borderId="103" xfId="20" applyBorder="1"/>
    <xf numFmtId="164" fontId="4" fillId="0" borderId="103" xfId="7" applyNumberFormat="1" applyFont="1" applyBorder="1" applyAlignment="1">
      <alignment vertical="center"/>
    </xf>
    <xf numFmtId="0" fontId="5" fillId="0" borderId="118" xfId="0" applyFont="1" applyBorder="1"/>
    <xf numFmtId="0" fontId="5" fillId="0" borderId="103" xfId="0" applyFont="1" applyBorder="1" applyAlignment="1">
      <alignment wrapText="1"/>
    </xf>
    <xf numFmtId="164" fontId="5" fillId="0" borderId="116" xfId="7" applyNumberFormat="1" applyFont="1" applyBorder="1"/>
    <xf numFmtId="0" fontId="3" fillId="3" borderId="6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6" xfId="7" applyNumberFormat="1" applyFont="1" applyFill="1" applyBorder="1"/>
    <xf numFmtId="164" fontId="4" fillId="0" borderId="103" xfId="7" applyNumberFormat="1" applyFont="1" applyFill="1" applyBorder="1"/>
    <xf numFmtId="164" fontId="4" fillId="0" borderId="103" xfId="7" applyNumberFormat="1" applyFont="1" applyFill="1" applyBorder="1" applyAlignment="1">
      <alignment vertical="center"/>
    </xf>
    <xf numFmtId="0" fontId="13" fillId="0" borderId="103" xfId="0" applyFont="1" applyBorder="1" applyAlignment="1">
      <alignment horizontal="left" wrapText="1" indent="4"/>
    </xf>
    <xf numFmtId="0" fontId="4" fillId="3" borderId="0" xfId="0" applyFont="1" applyFill="1" applyBorder="1" applyAlignment="1">
      <alignment wrapText="1"/>
    </xf>
    <xf numFmtId="0" fontId="4" fillId="3" borderId="96" xfId="0" applyFont="1" applyFill="1" applyBorder="1"/>
    <xf numFmtId="0" fontId="5" fillId="0" borderId="25" xfId="0" applyFont="1" applyBorder="1"/>
    <xf numFmtId="0" fontId="5" fillId="0" borderId="26" xfId="0" applyFont="1" applyBorder="1" applyAlignment="1">
      <alignment wrapText="1"/>
    </xf>
    <xf numFmtId="169" fontId="26" fillId="37" borderId="119" xfId="20" applyBorder="1"/>
    <xf numFmtId="10" fontId="5" fillId="0" borderId="27" xfId="20961" applyNumberFormat="1" applyFont="1" applyBorder="1"/>
    <xf numFmtId="0" fontId="8" fillId="2" borderId="110" xfId="0" applyFont="1" applyFill="1" applyBorder="1" applyAlignment="1">
      <alignment horizontal="right" vertical="center"/>
    </xf>
    <xf numFmtId="0" fontId="8" fillId="2" borderId="98" xfId="0" applyFont="1" applyFill="1" applyBorder="1" applyAlignment="1">
      <alignment vertical="center"/>
    </xf>
    <xf numFmtId="0" fontId="8" fillId="0" borderId="103" xfId="0" applyFont="1" applyFill="1" applyBorder="1" applyAlignment="1">
      <alignment horizontal="left" vertical="center" wrapText="1"/>
    </xf>
    <xf numFmtId="0" fontId="5" fillId="3" borderId="0" xfId="0" applyFont="1" applyFill="1" applyBorder="1" applyAlignment="1">
      <alignment horizontal="center"/>
    </xf>
    <xf numFmtId="0" fontId="106" fillId="0" borderId="90" xfId="0" applyFont="1" applyFill="1" applyBorder="1" applyAlignment="1">
      <alignment horizontal="left" vertical="center"/>
    </xf>
    <xf numFmtId="0" fontId="106" fillId="0" borderId="88" xfId="0" applyFont="1" applyFill="1" applyBorder="1" applyAlignment="1">
      <alignment vertical="center" wrapText="1"/>
    </xf>
    <xf numFmtId="0" fontId="106" fillId="0" borderId="88"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20" fillId="0" borderId="103" xfId="0" applyFont="1" applyBorder="1" applyAlignment="1">
      <alignment horizontal="center" vertical="center" wrapText="1"/>
    </xf>
    <xf numFmtId="49" fontId="121" fillId="3" borderId="103" xfId="5" applyNumberFormat="1" applyFont="1" applyFill="1" applyBorder="1" applyAlignment="1" applyProtection="1">
      <alignment horizontal="right" vertical="center"/>
      <protection locked="0"/>
    </xf>
    <xf numFmtId="0" fontId="121" fillId="3" borderId="103" xfId="13" applyFont="1" applyFill="1" applyBorder="1" applyAlignment="1" applyProtection="1">
      <alignment horizontal="left" vertical="center" wrapText="1"/>
      <protection locked="0"/>
    </xf>
    <xf numFmtId="0" fontId="120" fillId="0" borderId="103" xfId="0" applyFont="1" applyBorder="1"/>
    <xf numFmtId="0" fontId="121" fillId="0" borderId="103" xfId="13" applyFont="1" applyFill="1" applyBorder="1" applyAlignment="1" applyProtection="1">
      <alignment horizontal="left" vertical="center" wrapText="1"/>
      <protection locked="0"/>
    </xf>
    <xf numFmtId="49" fontId="121" fillId="0" borderId="103" xfId="5" applyNumberFormat="1" applyFont="1" applyFill="1" applyBorder="1" applyAlignment="1" applyProtection="1">
      <alignment horizontal="right" vertical="center"/>
      <protection locked="0"/>
    </xf>
    <xf numFmtId="49" fontId="122" fillId="0" borderId="103" xfId="5" applyNumberFormat="1" applyFont="1" applyFill="1" applyBorder="1" applyAlignment="1" applyProtection="1">
      <alignment horizontal="right" vertical="center"/>
      <protection locked="0"/>
    </xf>
    <xf numFmtId="0" fontId="117" fillId="0" borderId="0" xfId="0" applyFont="1" applyAlignment="1">
      <alignment wrapText="1"/>
    </xf>
    <xf numFmtId="0" fontId="117" fillId="0" borderId="103" xfId="0" applyFont="1" applyBorder="1" applyAlignment="1">
      <alignment horizontal="center" vertical="center"/>
    </xf>
    <xf numFmtId="0" fontId="117" fillId="0" borderId="103" xfId="0" applyFont="1" applyBorder="1" applyAlignment="1">
      <alignment horizontal="center" vertical="center" wrapText="1"/>
    </xf>
    <xf numFmtId="49" fontId="121" fillId="3" borderId="103" xfId="5" applyNumberFormat="1" applyFont="1" applyFill="1" applyBorder="1" applyAlignment="1" applyProtection="1">
      <alignment horizontal="right" vertical="center" wrapText="1"/>
      <protection locked="0"/>
    </xf>
    <xf numFmtId="0" fontId="117" fillId="0" borderId="103" xfId="0" applyFont="1" applyBorder="1"/>
    <xf numFmtId="0" fontId="117" fillId="0" borderId="103" xfId="0" applyFont="1" applyFill="1" applyBorder="1"/>
    <xf numFmtId="166" fontId="116" fillId="36" borderId="103" xfId="21413" applyFont="1" applyFill="1" applyBorder="1"/>
    <xf numFmtId="49" fontId="121" fillId="0" borderId="103" xfId="5" applyNumberFormat="1" applyFont="1" applyFill="1" applyBorder="1" applyAlignment="1" applyProtection="1">
      <alignment horizontal="right" vertical="center" wrapText="1"/>
      <protection locked="0"/>
    </xf>
    <xf numFmtId="49" fontId="122" fillId="0" borderId="103" xfId="5" applyNumberFormat="1" applyFont="1" applyFill="1" applyBorder="1" applyAlignment="1" applyProtection="1">
      <alignment horizontal="right" vertical="center" wrapText="1"/>
      <protection locked="0"/>
    </xf>
    <xf numFmtId="0" fontId="120" fillId="0" borderId="0" xfId="0" applyFont="1"/>
    <xf numFmtId="0" fontId="117" fillId="0" borderId="103" xfId="0" applyFont="1" applyBorder="1" applyAlignment="1">
      <alignment wrapText="1"/>
    </xf>
    <xf numFmtId="0" fontId="117" fillId="0" borderId="103" xfId="0" applyFont="1" applyBorder="1" applyAlignment="1">
      <alignment horizontal="left" indent="8"/>
    </xf>
    <xf numFmtId="0" fontId="117" fillId="0" borderId="0" xfId="0" applyFont="1" applyFill="1"/>
    <xf numFmtId="0" fontId="116" fillId="0" borderId="103" xfId="0" applyNumberFormat="1" applyFont="1" applyFill="1" applyBorder="1" applyAlignment="1">
      <alignment horizontal="left" vertical="center" wrapText="1"/>
    </xf>
    <xf numFmtId="0" fontId="117" fillId="0" borderId="0" xfId="0" applyFont="1" applyBorder="1"/>
    <xf numFmtId="0" fontId="120" fillId="0" borderId="103" xfId="0" applyFont="1" applyFill="1" applyBorder="1"/>
    <xf numFmtId="0" fontId="117" fillId="0" borderId="0" xfId="0" applyFont="1" applyBorder="1" applyAlignment="1">
      <alignment horizontal="left"/>
    </xf>
    <xf numFmtId="0" fontId="120" fillId="0" borderId="0" xfId="0" applyFont="1" applyBorder="1"/>
    <xf numFmtId="0" fontId="117" fillId="0" borderId="0" xfId="0" applyFont="1" applyFill="1" applyBorder="1"/>
    <xf numFmtId="0" fontId="119" fillId="0" borderId="103" xfId="0" applyFont="1" applyFill="1" applyBorder="1" applyAlignment="1">
      <alignment horizontal="left" indent="1"/>
    </xf>
    <xf numFmtId="0" fontId="119" fillId="0" borderId="103" xfId="0" applyFont="1" applyFill="1" applyBorder="1" applyAlignment="1">
      <alignment horizontal="left" wrapText="1" indent="1"/>
    </xf>
    <xf numFmtId="0" fontId="116" fillId="0" borderId="103" xfId="0" applyFont="1" applyFill="1" applyBorder="1" applyAlignment="1">
      <alignment horizontal="left" indent="1"/>
    </xf>
    <xf numFmtId="0" fontId="116" fillId="0" borderId="103" xfId="0" applyNumberFormat="1" applyFont="1" applyFill="1" applyBorder="1" applyAlignment="1">
      <alignment horizontal="left" indent="1"/>
    </xf>
    <xf numFmtId="0" fontId="116" fillId="0" borderId="103" xfId="0" applyFont="1" applyFill="1" applyBorder="1" applyAlignment="1">
      <alignment horizontal="left" wrapText="1" indent="2"/>
    </xf>
    <xf numFmtId="0" fontId="119" fillId="0" borderId="103" xfId="0" applyFont="1" applyFill="1" applyBorder="1" applyAlignment="1">
      <alignment horizontal="left" vertical="center" indent="1"/>
    </xf>
    <xf numFmtId="0" fontId="117" fillId="82" borderId="103" xfId="0" applyFont="1" applyFill="1" applyBorder="1"/>
    <xf numFmtId="0" fontId="117" fillId="0" borderId="103" xfId="0" applyFont="1" applyFill="1" applyBorder="1" applyAlignment="1">
      <alignment horizontal="left" wrapText="1"/>
    </xf>
    <xf numFmtId="0" fontId="117" fillId="0" borderId="103" xfId="0" applyFont="1" applyFill="1" applyBorder="1" applyAlignment="1">
      <alignment horizontal="left" wrapText="1" indent="2"/>
    </xf>
    <xf numFmtId="0" fontId="120" fillId="0" borderId="7" xfId="0" applyFont="1" applyBorder="1"/>
    <xf numFmtId="0" fontId="120" fillId="82" borderId="103" xfId="0" applyFont="1" applyFill="1" applyBorder="1"/>
    <xf numFmtId="0" fontId="117" fillId="0" borderId="0" xfId="0" applyFont="1" applyBorder="1" applyAlignment="1">
      <alignment horizontal="center" vertical="center"/>
    </xf>
    <xf numFmtId="0" fontId="117" fillId="0" borderId="0" xfId="0" applyFont="1" applyBorder="1" applyAlignment="1">
      <alignment horizontal="center" vertical="center" wrapText="1"/>
    </xf>
    <xf numFmtId="0" fontId="117" fillId="0" borderId="103" xfId="0" applyFont="1" applyBorder="1" applyAlignment="1">
      <alignment horizontal="center"/>
    </xf>
    <xf numFmtId="0" fontId="117" fillId="0" borderId="103" xfId="0" applyFont="1" applyBorder="1" applyAlignment="1">
      <alignment horizontal="left" indent="1"/>
    </xf>
    <xf numFmtId="0" fontId="117" fillId="0" borderId="7" xfId="0" applyFont="1" applyBorder="1"/>
    <xf numFmtId="0" fontId="117" fillId="0" borderId="103" xfId="0" applyFont="1" applyBorder="1" applyAlignment="1">
      <alignment horizontal="left" indent="2"/>
    </xf>
    <xf numFmtId="49" fontId="117" fillId="0" borderId="103" xfId="0" applyNumberFormat="1" applyFont="1" applyBorder="1" applyAlignment="1">
      <alignment horizontal="left" indent="3"/>
    </xf>
    <xf numFmtId="49" fontId="117" fillId="0" borderId="103" xfId="0" applyNumberFormat="1" applyFont="1" applyFill="1" applyBorder="1" applyAlignment="1">
      <alignment horizontal="left" indent="3"/>
    </xf>
    <xf numFmtId="49" fontId="117" fillId="0" borderId="103" xfId="0" applyNumberFormat="1" applyFont="1" applyBorder="1" applyAlignment="1">
      <alignment horizontal="left" indent="1"/>
    </xf>
    <xf numFmtId="49" fontId="117" fillId="0" borderId="103" xfId="0" applyNumberFormat="1" applyFont="1" applyFill="1" applyBorder="1" applyAlignment="1">
      <alignment horizontal="left" indent="1"/>
    </xf>
    <xf numFmtId="0" fontId="117" fillId="0" borderId="103" xfId="0" applyNumberFormat="1" applyFont="1" applyBorder="1" applyAlignment="1">
      <alignment horizontal="left" indent="1"/>
    </xf>
    <xf numFmtId="0" fontId="117" fillId="83" borderId="103" xfId="0" applyFont="1" applyFill="1" applyBorder="1"/>
    <xf numFmtId="49" fontId="117" fillId="0" borderId="103" xfId="0" applyNumberFormat="1" applyFont="1" applyBorder="1" applyAlignment="1">
      <alignment horizontal="left" wrapText="1" indent="2"/>
    </xf>
    <xf numFmtId="49" fontId="117" fillId="0" borderId="103" xfId="0" applyNumberFormat="1" applyFont="1" applyFill="1" applyBorder="1" applyAlignment="1">
      <alignment horizontal="left" vertical="top" wrapText="1" indent="2"/>
    </xf>
    <xf numFmtId="49" fontId="117" fillId="0" borderId="103" xfId="0" applyNumberFormat="1" applyFont="1" applyFill="1" applyBorder="1" applyAlignment="1">
      <alignment horizontal="left" wrapText="1" indent="3"/>
    </xf>
    <xf numFmtId="49" fontId="117" fillId="0" borderId="103" xfId="0" applyNumberFormat="1" applyFont="1" applyFill="1" applyBorder="1" applyAlignment="1">
      <alignment horizontal="left" wrapText="1" indent="2"/>
    </xf>
    <xf numFmtId="0" fontId="117" fillId="0" borderId="103" xfId="0" applyNumberFormat="1" applyFont="1" applyFill="1" applyBorder="1" applyAlignment="1">
      <alignment horizontal="left" wrapText="1" indent="1"/>
    </xf>
    <xf numFmtId="0" fontId="119" fillId="0" borderId="132" xfId="0" applyNumberFormat="1" applyFont="1" applyFill="1" applyBorder="1" applyAlignment="1">
      <alignment horizontal="left" vertical="center" wrapText="1"/>
    </xf>
    <xf numFmtId="0" fontId="117" fillId="0" borderId="98"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9" fillId="0" borderId="103" xfId="0" applyNumberFormat="1" applyFont="1" applyFill="1" applyBorder="1" applyAlignment="1">
      <alignment horizontal="left" vertical="center" wrapText="1"/>
    </xf>
    <xf numFmtId="0" fontId="117" fillId="0" borderId="0" xfId="0" applyFont="1" applyAlignment="1">
      <alignment horizontal="center" vertical="center"/>
    </xf>
    <xf numFmtId="0" fontId="125" fillId="0" borderId="0" xfId="0" applyFont="1"/>
    <xf numFmtId="0" fontId="125" fillId="0" borderId="0" xfId="0" applyFont="1" applyAlignment="1">
      <alignment horizontal="center" vertical="center"/>
    </xf>
    <xf numFmtId="0" fontId="117" fillId="0" borderId="103" xfId="0" applyFont="1" applyFill="1" applyBorder="1" applyAlignment="1">
      <alignment horizontal="left" indent="1"/>
    </xf>
    <xf numFmtId="49" fontId="106" fillId="0" borderId="103" xfId="0" applyNumberFormat="1" applyFont="1" applyFill="1" applyBorder="1" applyAlignment="1">
      <alignment horizontal="right" vertical="center"/>
    </xf>
    <xf numFmtId="0" fontId="106" fillId="3" borderId="103" xfId="5" applyNumberFormat="1" applyFont="1" applyFill="1" applyBorder="1" applyAlignment="1" applyProtection="1">
      <alignment horizontal="right" vertical="center"/>
      <protection locked="0"/>
    </xf>
    <xf numFmtId="0" fontId="106" fillId="0" borderId="103" xfId="0" applyNumberFormat="1" applyFont="1" applyFill="1" applyBorder="1" applyAlignment="1">
      <alignment vertical="center" wrapText="1"/>
    </xf>
    <xf numFmtId="0" fontId="106" fillId="81" borderId="103" xfId="0" applyNumberFormat="1" applyFont="1" applyFill="1" applyBorder="1" applyAlignment="1">
      <alignment horizontal="left" vertical="center" wrapText="1"/>
    </xf>
    <xf numFmtId="0" fontId="126" fillId="0" borderId="103" xfId="0" applyNumberFormat="1" applyFont="1" applyFill="1" applyBorder="1" applyAlignment="1">
      <alignment horizontal="left" vertical="center" wrapText="1"/>
    </xf>
    <xf numFmtId="0" fontId="106" fillId="0" borderId="103" xfId="0" applyNumberFormat="1" applyFont="1" applyFill="1" applyBorder="1" applyAlignment="1">
      <alignment vertical="center"/>
    </xf>
    <xf numFmtId="0" fontId="126" fillId="0" borderId="103" xfId="0" applyNumberFormat="1" applyFont="1" applyFill="1" applyBorder="1" applyAlignment="1">
      <alignment vertical="center" wrapText="1"/>
    </xf>
    <xf numFmtId="2" fontId="106" fillId="3" borderId="103" xfId="5" applyNumberFormat="1" applyFont="1" applyFill="1" applyBorder="1" applyAlignment="1" applyProtection="1">
      <alignment horizontal="right" vertical="center"/>
      <protection locked="0"/>
    </xf>
    <xf numFmtId="0" fontId="106" fillId="0" borderId="103" xfId="0" applyNumberFormat="1" applyFont="1" applyFill="1" applyBorder="1" applyAlignment="1">
      <alignment horizontal="left" vertical="center" wrapText="1"/>
    </xf>
    <xf numFmtId="0" fontId="106" fillId="0" borderId="103" xfId="0" applyNumberFormat="1" applyFont="1" applyFill="1" applyBorder="1" applyAlignment="1">
      <alignment horizontal="right" vertical="center"/>
    </xf>
    <xf numFmtId="0" fontId="127" fillId="0" borderId="0" xfId="0" applyFont="1" applyFill="1" applyBorder="1" applyAlignment="1"/>
    <xf numFmtId="0" fontId="106" fillId="0" borderId="103" xfId="12672" applyFont="1" applyFill="1" applyBorder="1" applyAlignment="1">
      <alignment horizontal="left" vertical="center" wrapText="1"/>
    </xf>
    <xf numFmtId="0" fontId="106" fillId="0" borderId="98" xfId="0" applyNumberFormat="1" applyFont="1" applyFill="1" applyBorder="1" applyAlignment="1">
      <alignment horizontal="left" vertical="top" wrapText="1"/>
    </xf>
    <xf numFmtId="0" fontId="128" fillId="0" borderId="103" xfId="0" applyFont="1" applyBorder="1"/>
    <xf numFmtId="0" fontId="126" fillId="0" borderId="103" xfId="0" applyFont="1" applyBorder="1" applyAlignment="1">
      <alignment horizontal="left" vertical="top" wrapText="1"/>
    </xf>
    <xf numFmtId="0" fontId="126" fillId="0" borderId="103" xfId="0" applyFont="1" applyBorder="1"/>
    <xf numFmtId="0" fontId="126" fillId="0" borderId="103" xfId="0" applyFont="1" applyBorder="1" applyAlignment="1">
      <alignment horizontal="left" wrapText="1" indent="2"/>
    </xf>
    <xf numFmtId="0" fontId="106" fillId="0" borderId="103" xfId="12672" applyFont="1" applyFill="1" applyBorder="1" applyAlignment="1">
      <alignment horizontal="left" vertical="center" wrapText="1" indent="2"/>
    </xf>
    <xf numFmtId="0" fontId="126" fillId="0" borderId="103" xfId="0" applyFont="1" applyBorder="1" applyAlignment="1">
      <alignment horizontal="left" vertical="top" wrapText="1" indent="2"/>
    </xf>
    <xf numFmtId="0" fontId="128" fillId="0" borderId="7" xfId="0" applyFont="1" applyBorder="1"/>
    <xf numFmtId="0" fontId="126" fillId="0" borderId="103" xfId="0" applyFont="1" applyFill="1" applyBorder="1" applyAlignment="1">
      <alignment horizontal="left" wrapText="1" indent="2"/>
    </xf>
    <xf numFmtId="0" fontId="126" fillId="0" borderId="103" xfId="0" applyFont="1" applyBorder="1" applyAlignment="1">
      <alignment horizontal="left" indent="1"/>
    </xf>
    <xf numFmtId="0" fontId="126" fillId="0" borderId="103" xfId="0" applyFont="1" applyBorder="1" applyAlignment="1">
      <alignment horizontal="left" indent="2"/>
    </xf>
    <xf numFmtId="49" fontId="126" fillId="0" borderId="103" xfId="0" applyNumberFormat="1" applyFont="1" applyFill="1" applyBorder="1" applyAlignment="1">
      <alignment horizontal="left" indent="3"/>
    </xf>
    <xf numFmtId="49" fontId="126" fillId="0" borderId="103" xfId="0" applyNumberFormat="1" applyFont="1" applyFill="1" applyBorder="1" applyAlignment="1">
      <alignment horizontal="left" vertical="center" indent="1"/>
    </xf>
    <xf numFmtId="0" fontId="106" fillId="0" borderId="103" xfId="0" applyFont="1" applyFill="1" applyBorder="1" applyAlignment="1">
      <alignment vertical="center" wrapText="1"/>
    </xf>
    <xf numFmtId="49" fontId="126" fillId="0" borderId="103" xfId="0" applyNumberFormat="1" applyFont="1" applyFill="1" applyBorder="1" applyAlignment="1">
      <alignment horizontal="left" vertical="top" wrapText="1" indent="2"/>
    </xf>
    <xf numFmtId="49" fontId="126" fillId="0" borderId="103" xfId="0" applyNumberFormat="1" applyFont="1" applyFill="1" applyBorder="1" applyAlignment="1">
      <alignment horizontal="left" vertical="top" wrapText="1"/>
    </xf>
    <xf numFmtId="49" fontId="126" fillId="0" borderId="103" xfId="0" applyNumberFormat="1" applyFont="1" applyFill="1" applyBorder="1" applyAlignment="1">
      <alignment horizontal="left" wrapText="1" indent="3"/>
    </xf>
    <xf numFmtId="49" fontId="126" fillId="0" borderId="103" xfId="0" applyNumberFormat="1" applyFont="1" applyFill="1" applyBorder="1" applyAlignment="1">
      <alignment horizontal="left" wrapText="1" indent="2"/>
    </xf>
    <xf numFmtId="49" fontId="126" fillId="0" borderId="103" xfId="0" applyNumberFormat="1" applyFont="1" applyFill="1" applyBorder="1" applyAlignment="1">
      <alignment vertical="top" wrapText="1"/>
    </xf>
    <xf numFmtId="0" fontId="10" fillId="0" borderId="103" xfId="17" applyFill="1" applyBorder="1" applyAlignment="1" applyProtection="1">
      <alignment wrapText="1"/>
    </xf>
    <xf numFmtId="49" fontId="126" fillId="0" borderId="103" xfId="0" applyNumberFormat="1" applyFont="1" applyFill="1" applyBorder="1" applyAlignment="1">
      <alignment horizontal="left" vertical="center" wrapText="1" indent="3"/>
    </xf>
    <xf numFmtId="49" fontId="117" fillId="0" borderId="103" xfId="0" applyNumberFormat="1" applyFont="1" applyFill="1" applyBorder="1" applyAlignment="1">
      <alignment horizontal="left" wrapText="1" indent="1"/>
    </xf>
    <xf numFmtId="0" fontId="126" fillId="0" borderId="103" xfId="0" applyFont="1" applyBorder="1" applyAlignment="1">
      <alignment horizontal="left" vertical="center" wrapText="1" indent="2"/>
    </xf>
    <xf numFmtId="0" fontId="106" fillId="0" borderId="103" xfId="0" applyFont="1" applyFill="1" applyBorder="1" applyAlignment="1">
      <alignment horizontal="left" vertical="center" wrapText="1"/>
    </xf>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06" fillId="81" borderId="103" xfId="0" applyFont="1" applyFill="1" applyBorder="1" applyAlignment="1">
      <alignment horizontal="left" vertical="center" wrapText="1"/>
    </xf>
    <xf numFmtId="49" fontId="105" fillId="0" borderId="103" xfId="0" applyNumberFormat="1" applyFont="1" applyFill="1" applyBorder="1" applyAlignment="1">
      <alignment horizontal="right" vertical="center"/>
    </xf>
    <xf numFmtId="0" fontId="106" fillId="0" borderId="103" xfId="0" applyFont="1" applyFill="1" applyBorder="1" applyAlignment="1">
      <alignment horizontal="left" vertical="center" wrapText="1"/>
    </xf>
    <xf numFmtId="0" fontId="117" fillId="0" borderId="0" xfId="0" applyFont="1" applyFill="1" applyBorder="1" applyAlignment="1">
      <alignment horizontal="center" vertical="center" wrapText="1"/>
    </xf>
    <xf numFmtId="0" fontId="106" fillId="0" borderId="102" xfId="0" applyNumberFormat="1" applyFont="1" applyFill="1" applyBorder="1" applyAlignment="1">
      <alignment horizontal="left" vertical="center" wrapText="1"/>
    </xf>
    <xf numFmtId="0" fontId="4" fillId="0" borderId="64" xfId="0" applyFont="1" applyFill="1" applyBorder="1" applyAlignment="1">
      <alignment horizontal="center" vertical="center" wrapText="1"/>
    </xf>
    <xf numFmtId="0" fontId="117" fillId="0" borderId="0" xfId="0" applyFont="1" applyFill="1" applyAlignment="1">
      <alignment horizontal="left" vertical="top" wrapText="1"/>
    </xf>
    <xf numFmtId="0" fontId="123" fillId="0" borderId="103" xfId="13" applyFont="1" applyFill="1" applyBorder="1" applyAlignment="1" applyProtection="1">
      <alignment horizontal="left" vertical="center" wrapText="1"/>
      <protection locked="0"/>
    </xf>
    <xf numFmtId="0" fontId="117" fillId="0" borderId="103" xfId="0"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7" xfId="0" applyFont="1" applyFill="1" applyBorder="1"/>
    <xf numFmtId="49" fontId="117" fillId="0" borderId="103" xfId="0" applyNumberFormat="1" applyFont="1" applyFill="1" applyBorder="1" applyAlignment="1">
      <alignment horizontal="center" vertical="center" wrapText="1"/>
    </xf>
    <xf numFmtId="165" fontId="4" fillId="0" borderId="103" xfId="20961" applyNumberFormat="1" applyFont="1" applyFill="1" applyBorder="1" applyAlignment="1" applyProtection="1">
      <alignment horizontal="right" vertical="center" wrapText="1"/>
      <protection locked="0"/>
    </xf>
    <xf numFmtId="10" fontId="8" fillId="2" borderId="103" xfId="20961" applyNumberFormat="1" applyFont="1" applyFill="1" applyBorder="1" applyAlignment="1" applyProtection="1">
      <alignment vertical="center"/>
      <protection locked="0"/>
    </xf>
    <xf numFmtId="3" fontId="8" fillId="84" borderId="103" xfId="0" applyNumberFormat="1" applyFont="1" applyFill="1" applyBorder="1" applyAlignment="1" applyProtection="1">
      <alignment vertical="center"/>
      <protection locked="0"/>
    </xf>
    <xf numFmtId="10" fontId="8" fillId="84" borderId="103" xfId="0" applyNumberFormat="1" applyFont="1" applyFill="1" applyBorder="1" applyAlignment="1" applyProtection="1">
      <alignment vertical="center"/>
      <protection locked="0"/>
    </xf>
    <xf numFmtId="10" fontId="8" fillId="84" borderId="26" xfId="0" applyNumberFormat="1" applyFont="1" applyFill="1" applyBorder="1" applyAlignment="1" applyProtection="1">
      <alignment vertical="center"/>
      <protection locked="0"/>
    </xf>
    <xf numFmtId="193" fontId="8" fillId="0" borderId="103" xfId="7" applyNumberFormat="1" applyFont="1" applyFill="1" applyBorder="1" applyAlignment="1" applyProtection="1">
      <alignment horizontal="right"/>
    </xf>
    <xf numFmtId="193" fontId="8" fillId="36" borderId="103" xfId="7" applyNumberFormat="1" applyFont="1" applyFill="1" applyBorder="1" applyAlignment="1" applyProtection="1">
      <alignment horizontal="right"/>
    </xf>
    <xf numFmtId="193" fontId="8" fillId="0" borderId="103" xfId="7" applyNumberFormat="1" applyFont="1" applyFill="1" applyBorder="1" applyAlignment="1" applyProtection="1">
      <alignment horizontal="right"/>
      <protection locked="0"/>
    </xf>
    <xf numFmtId="193" fontId="18" fillId="0" borderId="103" xfId="0" applyNumberFormat="1" applyFont="1" applyFill="1" applyBorder="1" applyAlignment="1" applyProtection="1">
      <alignment horizontal="right"/>
      <protection locked="0"/>
    </xf>
    <xf numFmtId="193" fontId="18" fillId="36" borderId="103" xfId="0" applyNumberFormat="1" applyFont="1" applyFill="1" applyBorder="1" applyAlignment="1">
      <alignment horizontal="right"/>
    </xf>
    <xf numFmtId="193" fontId="19" fillId="0" borderId="103" xfId="0" applyNumberFormat="1" applyFont="1" applyFill="1" applyBorder="1" applyAlignment="1">
      <alignment horizontal="center"/>
    </xf>
    <xf numFmtId="193" fontId="18" fillId="36" borderId="103" xfId="0" applyNumberFormat="1" applyFont="1" applyFill="1" applyBorder="1" applyAlignment="1" applyProtection="1">
      <alignment horizontal="right"/>
    </xf>
    <xf numFmtId="193" fontId="18" fillId="0" borderId="103" xfId="0" applyNumberFormat="1" applyFont="1" applyFill="1" applyBorder="1" applyAlignment="1" applyProtection="1">
      <alignment horizontal="right" vertical="center"/>
      <protection locked="0"/>
    </xf>
    <xf numFmtId="193" fontId="4" fillId="0" borderId="103" xfId="0" applyNumberFormat="1" applyFont="1" applyBorder="1" applyAlignment="1">
      <alignment horizontal="center" vertical="center"/>
    </xf>
    <xf numFmtId="193" fontId="4" fillId="0" borderId="116" xfId="0" applyNumberFormat="1" applyFont="1" applyBorder="1" applyAlignment="1">
      <alignment horizontal="center" vertical="center"/>
    </xf>
    <xf numFmtId="3" fontId="0" fillId="0" borderId="116" xfId="0" applyNumberFormat="1" applyBorder="1" applyAlignment="1"/>
    <xf numFmtId="3" fontId="0" fillId="0" borderId="116" xfId="0" applyNumberFormat="1" applyBorder="1" applyAlignment="1">
      <alignment wrapText="1"/>
    </xf>
    <xf numFmtId="193" fontId="0" fillId="36" borderId="116" xfId="0" applyNumberFormat="1" applyFill="1" applyBorder="1" applyAlignment="1">
      <alignment horizontal="center" vertical="center" wrapText="1"/>
    </xf>
    <xf numFmtId="193" fontId="6" fillId="36" borderId="116" xfId="2" applyNumberFormat="1" applyFont="1" applyFill="1" applyBorder="1" applyAlignment="1" applyProtection="1">
      <alignment vertical="top"/>
    </xf>
    <xf numFmtId="193" fontId="6" fillId="3" borderId="116" xfId="2" applyNumberFormat="1" applyFont="1" applyFill="1" applyBorder="1" applyAlignment="1" applyProtection="1">
      <alignment vertical="top"/>
      <protection locked="0"/>
    </xf>
    <xf numFmtId="193" fontId="6" fillId="36" borderId="116" xfId="2" applyNumberFormat="1" applyFont="1" applyFill="1" applyBorder="1" applyAlignment="1" applyProtection="1">
      <alignment vertical="top" wrapText="1"/>
    </xf>
    <xf numFmtId="193" fontId="6" fillId="3" borderId="116" xfId="2" applyNumberFormat="1" applyFont="1" applyFill="1" applyBorder="1" applyAlignment="1" applyProtection="1">
      <alignment vertical="top" wrapText="1"/>
      <protection locked="0"/>
    </xf>
    <xf numFmtId="193" fontId="6" fillId="36" borderId="116" xfId="2" applyNumberFormat="1" applyFont="1" applyFill="1" applyBorder="1" applyAlignment="1" applyProtection="1">
      <alignment vertical="top" wrapText="1"/>
      <protection locked="0"/>
    </xf>
    <xf numFmtId="10" fontId="4" fillId="0" borderId="0" xfId="0" applyNumberFormat="1" applyFont="1" applyFill="1" applyAlignment="1">
      <alignment horizontal="left" vertical="center"/>
    </xf>
    <xf numFmtId="3" fontId="4" fillId="0" borderId="0" xfId="0" applyNumberFormat="1" applyFont="1" applyFill="1" applyAlignment="1">
      <alignment horizontal="left" vertical="center"/>
    </xf>
    <xf numFmtId="0" fontId="8" fillId="0" borderId="0" xfId="0" applyFont="1" applyAlignment="1">
      <alignment horizontal="left"/>
    </xf>
    <xf numFmtId="14" fontId="4" fillId="0" borderId="0" xfId="0" applyNumberFormat="1" applyFont="1" applyAlignment="1">
      <alignment horizontal="left"/>
    </xf>
    <xf numFmtId="0" fontId="9" fillId="0" borderId="0" xfId="11" applyFont="1" applyFill="1" applyBorder="1" applyAlignment="1" applyProtection="1">
      <alignment horizontal="left"/>
    </xf>
    <xf numFmtId="0" fontId="4" fillId="0" borderId="5" xfId="0" applyFont="1" applyFill="1" applyBorder="1" applyAlignment="1">
      <alignment horizontal="left" vertical="center" wrapText="1"/>
    </xf>
    <xf numFmtId="0" fontId="23" fillId="0" borderId="118" xfId="0" applyFont="1" applyBorder="1" applyAlignment="1">
      <alignment horizontal="center"/>
    </xf>
    <xf numFmtId="0" fontId="23" fillId="0" borderId="136" xfId="0" applyFont="1" applyBorder="1" applyAlignment="1">
      <alignment horizontal="left" wrapText="1"/>
    </xf>
    <xf numFmtId="193" fontId="23" fillId="0" borderId="137" xfId="0" applyNumberFormat="1" applyFont="1" applyBorder="1" applyAlignment="1">
      <alignment vertical="center"/>
    </xf>
    <xf numFmtId="167" fontId="23" fillId="0" borderId="138" xfId="0" applyNumberFormat="1" applyFont="1" applyBorder="1" applyAlignment="1">
      <alignment horizontal="center"/>
    </xf>
    <xf numFmtId="0" fontId="23" fillId="0" borderId="12" xfId="0" applyFont="1" applyBorder="1" applyAlignment="1">
      <alignment horizontal="left" wrapText="1"/>
    </xf>
    <xf numFmtId="0" fontId="17" fillId="0" borderId="12" xfId="0" applyFont="1" applyBorder="1" applyAlignment="1">
      <alignment horizontal="left" wrapText="1"/>
    </xf>
    <xf numFmtId="0" fontId="23" fillId="0" borderId="13" xfId="0" applyFont="1" applyBorder="1" applyAlignment="1">
      <alignment horizontal="left" wrapText="1"/>
    </xf>
    <xf numFmtId="0" fontId="23" fillId="0" borderId="139" xfId="0" applyFont="1" applyBorder="1" applyAlignment="1">
      <alignment horizontal="left" wrapText="1"/>
    </xf>
    <xf numFmtId="193" fontId="23" fillId="0" borderId="140" xfId="0" applyNumberFormat="1" applyFont="1" applyBorder="1" applyAlignment="1">
      <alignment vertical="center"/>
    </xf>
    <xf numFmtId="0" fontId="22" fillId="36" borderId="16" xfId="0" applyFont="1" applyFill="1" applyBorder="1" applyAlignment="1">
      <alignment horizontal="left" wrapText="1"/>
    </xf>
    <xf numFmtId="0" fontId="17" fillId="0" borderId="13" xfId="0" applyFont="1" applyBorder="1" applyAlignment="1">
      <alignment horizontal="left" wrapText="1"/>
    </xf>
    <xf numFmtId="0" fontId="17" fillId="0" borderId="139" xfId="0" applyFont="1" applyBorder="1" applyAlignment="1">
      <alignment horizontal="left" wrapText="1"/>
    </xf>
    <xf numFmtId="193" fontId="17" fillId="0" borderId="140" xfId="0" applyNumberFormat="1" applyFont="1" applyBorder="1" applyAlignment="1">
      <alignment vertical="center"/>
    </xf>
    <xf numFmtId="0" fontId="22" fillId="36" borderId="59" xfId="0" applyFont="1" applyFill="1" applyBorder="1" applyAlignment="1">
      <alignment horizontal="left" wrapText="1"/>
    </xf>
    <xf numFmtId="0" fontId="23" fillId="0" borderId="0" xfId="0" applyFont="1" applyAlignment="1">
      <alignment horizontal="left"/>
    </xf>
    <xf numFmtId="193" fontId="4" fillId="0" borderId="103" xfId="0" applyNumberFormat="1" applyFont="1" applyBorder="1" applyAlignment="1"/>
    <xf numFmtId="193" fontId="4" fillId="0" borderId="118" xfId="0" applyNumberFormat="1" applyFont="1" applyBorder="1" applyAlignment="1"/>
    <xf numFmtId="193" fontId="4" fillId="0" borderId="103" xfId="0" applyNumberFormat="1" applyFont="1" applyBorder="1"/>
    <xf numFmtId="193" fontId="4" fillId="0" borderId="103" xfId="0" applyNumberFormat="1" applyFont="1" applyFill="1" applyBorder="1"/>
    <xf numFmtId="193" fontId="4" fillId="0" borderId="104" xfId="0" applyNumberFormat="1" applyFont="1" applyBorder="1"/>
    <xf numFmtId="193" fontId="8" fillId="36" borderId="103" xfId="5" applyNumberFormat="1" applyFont="1" applyFill="1" applyBorder="1" applyProtection="1">
      <protection locked="0"/>
    </xf>
    <xf numFmtId="0" fontId="8" fillId="3" borderId="103" xfId="5" applyFont="1" applyFill="1" applyBorder="1" applyProtection="1">
      <protection locked="0"/>
    </xf>
    <xf numFmtId="193" fontId="8" fillId="36" borderId="103" xfId="1" applyNumberFormat="1" applyFont="1" applyFill="1" applyBorder="1" applyProtection="1">
      <protection locked="0"/>
    </xf>
    <xf numFmtId="3" fontId="8" fillId="36" borderId="116" xfId="5" applyNumberFormat="1" applyFont="1" applyFill="1" applyBorder="1" applyProtection="1">
      <protection locked="0"/>
    </xf>
    <xf numFmtId="193" fontId="8" fillId="3" borderId="103" xfId="5" applyNumberFormat="1" applyFont="1" applyFill="1" applyBorder="1" applyProtection="1">
      <protection locked="0"/>
    </xf>
    <xf numFmtId="165" fontId="8" fillId="3" borderId="103" xfId="8" applyNumberFormat="1" applyFont="1" applyFill="1" applyBorder="1" applyAlignment="1" applyProtection="1">
      <alignment horizontal="right" wrapText="1"/>
      <protection locked="0"/>
    </xf>
    <xf numFmtId="165" fontId="8" fillId="4" borderId="103" xfId="8" applyNumberFormat="1" applyFont="1" applyFill="1" applyBorder="1" applyAlignment="1" applyProtection="1">
      <alignment horizontal="right" wrapText="1"/>
      <protection locked="0"/>
    </xf>
    <xf numFmtId="193" fontId="8" fillId="0" borderId="103" xfId="1" applyNumberFormat="1" applyFont="1" applyFill="1" applyBorder="1" applyProtection="1">
      <protection locked="0"/>
    </xf>
    <xf numFmtId="10" fontId="113" fillId="80" borderId="103" xfId="20961" applyNumberFormat="1" applyFont="1" applyFill="1" applyBorder="1" applyAlignment="1" applyProtection="1">
      <alignment horizontal="right" vertical="center"/>
    </xf>
    <xf numFmtId="0" fontId="5" fillId="0" borderId="0" xfId="0" applyFont="1" applyBorder="1" applyAlignment="1">
      <alignment horizontal="center"/>
    </xf>
    <xf numFmtId="0" fontId="16" fillId="0" borderId="0" xfId="0" applyFont="1" applyFill="1" applyBorder="1" applyAlignment="1">
      <alignment horizontal="center"/>
    </xf>
    <xf numFmtId="0" fontId="4" fillId="0" borderId="19" xfId="0" applyFont="1" applyBorder="1" applyAlignment="1">
      <alignment vertical="center" wrapText="1"/>
    </xf>
    <xf numFmtId="0" fontId="5" fillId="0" borderId="20" xfId="0" applyFont="1" applyBorder="1" applyAlignment="1">
      <alignment vertical="center" wrapText="1"/>
    </xf>
    <xf numFmtId="3" fontId="21" fillId="0" borderId="116" xfId="0" applyNumberFormat="1" applyFont="1" applyBorder="1" applyAlignment="1">
      <alignment vertical="center" wrapText="1"/>
    </xf>
    <xf numFmtId="3" fontId="21" fillId="0" borderId="116" xfId="0" applyNumberFormat="1" applyFont="1" applyFill="1" applyBorder="1" applyAlignment="1">
      <alignment vertical="center" wrapText="1"/>
    </xf>
    <xf numFmtId="3" fontId="117" fillId="0" borderId="103" xfId="0" applyNumberFormat="1" applyFont="1" applyFill="1" applyBorder="1"/>
    <xf numFmtId="3" fontId="117" fillId="0" borderId="103" xfId="0" applyNumberFormat="1" applyFont="1" applyBorder="1"/>
    <xf numFmtId="3" fontId="23" fillId="0" borderId="103" xfId="0" applyNumberFormat="1" applyFont="1" applyBorder="1"/>
    <xf numFmtId="195" fontId="117" fillId="0" borderId="0" xfId="0" applyNumberFormat="1" applyFont="1"/>
    <xf numFmtId="3" fontId="23" fillId="0" borderId="0" xfId="0" applyNumberFormat="1" applyFont="1"/>
    <xf numFmtId="194" fontId="22" fillId="0" borderId="103" xfId="0" applyNumberFormat="1" applyFont="1" applyBorder="1"/>
    <xf numFmtId="4" fontId="120" fillId="0" borderId="103" xfId="0" applyNumberFormat="1" applyFont="1" applyBorder="1"/>
    <xf numFmtId="4" fontId="22" fillId="0" borderId="103" xfId="0" applyNumberFormat="1" applyFont="1" applyBorder="1"/>
    <xf numFmtId="4" fontId="120" fillId="0" borderId="103" xfId="0" applyNumberFormat="1" applyFont="1" applyFill="1" applyBorder="1" applyAlignment="1">
      <alignment horizontal="center" vertical="center" wrapText="1"/>
    </xf>
    <xf numFmtId="4" fontId="120" fillId="0" borderId="103" xfId="0" applyNumberFormat="1" applyFont="1" applyBorder="1" applyAlignment="1">
      <alignment horizontal="center" vertical="center" wrapText="1"/>
    </xf>
    <xf numFmtId="4" fontId="117" fillId="0" borderId="0" xfId="0" applyNumberFormat="1" applyFont="1"/>
    <xf numFmtId="3" fontId="26" fillId="37" borderId="33" xfId="20" applyNumberFormat="1" applyBorder="1"/>
    <xf numFmtId="3" fontId="26" fillId="37" borderId="119" xfId="20" applyNumberFormat="1" applyBorder="1"/>
    <xf numFmtId="3" fontId="26" fillId="37" borderId="72" xfId="20" applyNumberFormat="1" applyBorder="1"/>
    <xf numFmtId="3" fontId="26" fillId="37" borderId="28" xfId="20" applyNumberFormat="1" applyBorder="1"/>
    <xf numFmtId="3" fontId="26" fillId="37" borderId="57" xfId="20" applyNumberFormat="1" applyBorder="1"/>
    <xf numFmtId="3" fontId="4" fillId="3" borderId="0" xfId="0" applyNumberFormat="1" applyFont="1" applyFill="1" applyBorder="1" applyAlignment="1">
      <alignment vertical="center"/>
    </xf>
    <xf numFmtId="3" fontId="4" fillId="0" borderId="27"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104" xfId="0" applyNumberFormat="1" applyFont="1" applyFill="1" applyBorder="1" applyAlignment="1">
      <alignment vertical="center"/>
    </xf>
    <xf numFmtId="3" fontId="4" fillId="0" borderId="103" xfId="0" applyNumberFormat="1" applyFont="1" applyFill="1" applyBorder="1" applyAlignment="1">
      <alignment vertical="center"/>
    </xf>
    <xf numFmtId="3" fontId="4" fillId="0" borderId="68" xfId="0" applyNumberFormat="1" applyFont="1" applyFill="1" applyBorder="1" applyAlignment="1">
      <alignment vertical="center"/>
    </xf>
    <xf numFmtId="3" fontId="4" fillId="0" borderId="55" xfId="0" applyNumberFormat="1" applyFont="1" applyFill="1" applyBorder="1" applyAlignment="1">
      <alignment vertical="center"/>
    </xf>
    <xf numFmtId="3" fontId="26" fillId="37" borderId="0" xfId="20" applyNumberFormat="1" applyBorder="1"/>
    <xf numFmtId="3" fontId="4" fillId="3" borderId="24" xfId="0" applyNumberFormat="1" applyFont="1" applyFill="1" applyBorder="1" applyAlignment="1">
      <alignment vertical="center"/>
    </xf>
    <xf numFmtId="3" fontId="4" fillId="3" borderId="146" xfId="0" applyNumberFormat="1" applyFont="1" applyFill="1" applyBorder="1" applyAlignment="1">
      <alignment vertical="center"/>
    </xf>
    <xf numFmtId="3" fontId="4" fillId="0" borderId="116" xfId="0" applyNumberFormat="1" applyFont="1" applyFill="1" applyBorder="1" applyAlignment="1">
      <alignment horizontal="center" vertical="center" wrapText="1"/>
    </xf>
    <xf numFmtId="3" fontId="4" fillId="0" borderId="103" xfId="0" applyNumberFormat="1" applyFont="1" applyFill="1" applyBorder="1" applyAlignment="1">
      <alignment horizontal="center" vertical="center" wrapText="1"/>
    </xf>
    <xf numFmtId="3" fontId="4" fillId="0" borderId="0" xfId="0" applyNumberFormat="1" applyFont="1" applyFill="1"/>
    <xf numFmtId="3" fontId="4" fillId="36" borderId="27" xfId="0" applyNumberFormat="1" applyFont="1" applyFill="1" applyBorder="1"/>
    <xf numFmtId="3" fontId="4" fillId="36" borderId="26" xfId="0" applyNumberFormat="1" applyFont="1" applyFill="1" applyBorder="1"/>
    <xf numFmtId="3" fontId="4" fillId="0" borderId="116" xfId="0" applyNumberFormat="1" applyFont="1" applyBorder="1" applyAlignment="1"/>
    <xf numFmtId="3" fontId="4" fillId="0" borderId="104" xfId="0" applyNumberFormat="1" applyFont="1" applyBorder="1" applyAlignment="1"/>
    <xf numFmtId="3" fontId="4" fillId="0" borderId="103" xfId="0" applyNumberFormat="1" applyFont="1" applyBorder="1" applyAlignment="1"/>
    <xf numFmtId="3" fontId="107" fillId="0" borderId="3"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20" xfId="0" applyNumberFormat="1" applyFont="1" applyBorder="1" applyAlignment="1">
      <alignment horizontal="center" vertical="center"/>
    </xf>
    <xf numFmtId="4" fontId="6" fillId="0" borderId="27" xfId="1" applyNumberFormat="1" applyFont="1" applyFill="1" applyBorder="1" applyAlignment="1" applyProtection="1">
      <alignment horizontal="right" vertical="center"/>
    </xf>
    <xf numFmtId="4" fontId="5" fillId="36" borderId="116" xfId="0" applyNumberFormat="1" applyFont="1" applyFill="1" applyBorder="1" applyAlignment="1">
      <alignment horizontal="center" vertical="center" wrapText="1"/>
    </xf>
    <xf numFmtId="4" fontId="109" fillId="0" borderId="116" xfId="0" applyNumberFormat="1" applyFont="1" applyFill="1" applyBorder="1" applyAlignment="1">
      <alignment horizontal="right" vertical="center" wrapText="1"/>
    </xf>
    <xf numFmtId="4" fontId="5" fillId="36" borderId="116" xfId="0" applyNumberFormat="1" applyFont="1" applyFill="1" applyBorder="1" applyAlignment="1">
      <alignment horizontal="right" vertical="center" wrapText="1"/>
    </xf>
    <xf numFmtId="4" fontId="4" fillId="0" borderId="116" xfId="0" applyNumberFormat="1" applyFont="1" applyFill="1" applyBorder="1" applyAlignment="1">
      <alignment horizontal="right" vertical="center" wrapText="1"/>
    </xf>
    <xf numFmtId="4" fontId="5" fillId="36" borderId="116" xfId="0" applyNumberFormat="1" applyFont="1" applyFill="1" applyBorder="1" applyAlignment="1">
      <alignment horizontal="left" vertical="center" wrapText="1"/>
    </xf>
    <xf numFmtId="4" fontId="5" fillId="36" borderId="21" xfId="0" applyNumberFormat="1" applyFont="1" applyFill="1" applyBorder="1" applyAlignment="1">
      <alignment horizontal="center" vertical="center" wrapText="1"/>
    </xf>
    <xf numFmtId="4" fontId="8" fillId="0" borderId="0" xfId="11" applyNumberFormat="1" applyFont="1" applyFill="1" applyBorder="1" applyAlignment="1" applyProtection="1"/>
    <xf numFmtId="4" fontId="4" fillId="0" borderId="0" xfId="0" applyNumberFormat="1" applyFont="1"/>
    <xf numFmtId="0" fontId="12" fillId="0" borderId="26" xfId="0" applyFont="1" applyBorder="1" applyAlignment="1">
      <alignment wrapText="1"/>
    </xf>
    <xf numFmtId="0" fontId="131" fillId="0" borderId="116" xfId="0" applyFont="1" applyFill="1" applyBorder="1" applyAlignment="1">
      <alignment horizontal="left" vertical="center" wrapText="1"/>
    </xf>
    <xf numFmtId="0" fontId="102" fillId="0" borderId="116" xfId="0" applyFont="1" applyFill="1" applyBorder="1" applyAlignment="1">
      <alignment horizontal="left" vertical="center" wrapText="1"/>
    </xf>
    <xf numFmtId="0" fontId="9" fillId="0" borderId="20" xfId="0" applyFont="1" applyBorder="1" applyAlignment="1">
      <alignment horizontal="center" wrapText="1"/>
    </xf>
    <xf numFmtId="0" fontId="9" fillId="0" borderId="103" xfId="0" applyFont="1" applyBorder="1" applyAlignment="1">
      <alignment horizontal="center" vertical="center" wrapText="1"/>
    </xf>
    <xf numFmtId="0" fontId="12" fillId="0" borderId="103" xfId="0" applyFont="1" applyFill="1" applyBorder="1" applyAlignment="1">
      <alignment wrapText="1"/>
    </xf>
    <xf numFmtId="193" fontId="0" fillId="0" borderId="0" xfId="0" applyNumberFormat="1" applyFill="1"/>
    <xf numFmtId="3" fontId="4" fillId="0" borderId="116" xfId="0" applyNumberFormat="1" applyFont="1" applyFill="1" applyBorder="1" applyAlignment="1">
      <alignment vertical="center"/>
    </xf>
    <xf numFmtId="3" fontId="4" fillId="0" borderId="28" xfId="0" applyNumberFormat="1" applyFont="1" applyFill="1" applyBorder="1" applyAlignment="1">
      <alignment vertical="center"/>
    </xf>
    <xf numFmtId="0" fontId="0" fillId="0" borderId="0" xfId="0"/>
    <xf numFmtId="167" fontId="0" fillId="0" borderId="0" xfId="0" applyNumberFormat="1"/>
    <xf numFmtId="0" fontId="8" fillId="0" borderId="19" xfId="0" applyFont="1" applyBorder="1"/>
    <xf numFmtId="0" fontId="8" fillId="0" borderId="118" xfId="0" applyFont="1" applyBorder="1" applyAlignment="1">
      <alignment vertical="center"/>
    </xf>
    <xf numFmtId="0" fontId="8" fillId="0" borderId="25" xfId="0" applyFont="1" applyBorder="1"/>
    <xf numFmtId="0" fontId="23" fillId="0" borderId="0" xfId="0" applyFont="1"/>
    <xf numFmtId="0" fontId="102" fillId="0" borderId="103" xfId="0" applyFont="1" applyBorder="1"/>
    <xf numFmtId="0" fontId="8" fillId="0" borderId="0" xfId="0" applyFont="1" applyFill="1" applyAlignment="1">
      <alignment horizontal="center"/>
    </xf>
    <xf numFmtId="0" fontId="16" fillId="0" borderId="0" xfId="0" applyFont="1" applyFill="1" applyAlignment="1">
      <alignment horizontal="center"/>
    </xf>
    <xf numFmtId="193" fontId="8" fillId="0" borderId="26" xfId="0" applyNumberFormat="1" applyFont="1" applyFill="1" applyBorder="1" applyAlignment="1" applyProtection="1">
      <alignment horizontal="right"/>
    </xf>
    <xf numFmtId="193" fontId="4" fillId="36" borderId="26" xfId="0" applyNumberFormat="1" applyFont="1" applyFill="1" applyBorder="1"/>
    <xf numFmtId="10" fontId="6" fillId="0" borderId="103" xfId="20961" applyNumberFormat="1" applyFont="1" applyFill="1" applyBorder="1" applyAlignment="1">
      <alignment horizontal="left" vertical="center" wrapText="1"/>
    </xf>
    <xf numFmtId="0" fontId="4" fillId="0" borderId="116" xfId="0" applyFont="1" applyBorder="1" applyAlignment="1"/>
    <xf numFmtId="0" fontId="4" fillId="0" borderId="27" xfId="0" applyFont="1" applyBorder="1" applyAlignment="1"/>
    <xf numFmtId="0" fontId="8" fillId="0" borderId="116" xfId="0" applyFont="1" applyBorder="1" applyAlignment="1"/>
    <xf numFmtId="0" fontId="8" fillId="0" borderId="116" xfId="0" applyFont="1" applyBorder="1" applyAlignment="1">
      <alignment wrapText="1"/>
    </xf>
    <xf numFmtId="0" fontId="9" fillId="0" borderId="21" xfId="0" applyFont="1" applyBorder="1" applyAlignment="1">
      <alignment horizontal="center"/>
    </xf>
    <xf numFmtId="0" fontId="9" fillId="0" borderId="116" xfId="0" applyFont="1" applyBorder="1" applyAlignment="1">
      <alignment horizontal="center" vertical="center" wrapText="1"/>
    </xf>
    <xf numFmtId="0" fontId="8" fillId="0" borderId="103" xfId="0" applyFont="1" applyFill="1" applyBorder="1" applyAlignment="1">
      <alignment wrapText="1"/>
    </xf>
    <xf numFmtId="0" fontId="8" fillId="0" borderId="103" xfId="0" applyFont="1" applyBorder="1" applyAlignment="1">
      <alignment wrapText="1"/>
    </xf>
    <xf numFmtId="3" fontId="4" fillId="0" borderId="29"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99" xfId="0" applyNumberFormat="1" applyFont="1" applyFill="1" applyBorder="1" applyAlignment="1">
      <alignment vertical="center"/>
    </xf>
    <xf numFmtId="3" fontId="4" fillId="0" borderId="145" xfId="0" applyNumberFormat="1" applyFont="1" applyFill="1" applyBorder="1" applyAlignment="1">
      <alignment vertical="center"/>
    </xf>
    <xf numFmtId="3" fontId="4" fillId="0" borderId="0" xfId="0" applyNumberFormat="1" applyFont="1"/>
    <xf numFmtId="0" fontId="8" fillId="0" borderId="103" xfId="11" applyFont="1" applyFill="1" applyBorder="1" applyAlignment="1" applyProtection="1">
      <alignment horizontal="left"/>
      <protection locked="0"/>
    </xf>
    <xf numFmtId="10" fontId="130" fillId="0" borderId="116" xfId="0" applyNumberFormat="1" applyFont="1" applyBorder="1" applyAlignment="1">
      <alignment horizontal="right" vertical="center"/>
    </xf>
    <xf numFmtId="0" fontId="18" fillId="0" borderId="103" xfId="0" applyFont="1" applyFill="1" applyBorder="1" applyAlignment="1" applyProtection="1">
      <alignment horizontal="left"/>
      <protection locked="0"/>
    </xf>
    <xf numFmtId="0" fontId="8" fillId="0" borderId="103" xfId="0" applyFont="1" applyBorder="1" applyAlignment="1">
      <alignment horizontal="left" vertical="center" wrapText="1"/>
    </xf>
    <xf numFmtId="0" fontId="12" fillId="0" borderId="103" xfId="0" applyFont="1" applyBorder="1" applyAlignment="1">
      <alignment wrapText="1"/>
    </xf>
    <xf numFmtId="3" fontId="117" fillId="0" borderId="0" xfId="0" applyNumberFormat="1" applyFont="1"/>
    <xf numFmtId="3" fontId="117" fillId="0" borderId="103" xfId="0" applyNumberFormat="1" applyFont="1" applyBorder="1" applyAlignment="1">
      <alignment horizontal="center" vertical="center"/>
    </xf>
    <xf numFmtId="3" fontId="117" fillId="0" borderId="98" xfId="0" applyNumberFormat="1" applyFont="1" applyFill="1" applyBorder="1" applyAlignment="1">
      <alignment horizontal="center" vertical="center" wrapText="1"/>
    </xf>
    <xf numFmtId="3" fontId="117" fillId="0" borderId="0" xfId="0" applyNumberFormat="1" applyFont="1" applyFill="1"/>
    <xf numFmtId="3" fontId="120" fillId="0" borderId="103" xfId="0" applyNumberFormat="1" applyFont="1" applyBorder="1"/>
    <xf numFmtId="3" fontId="117" fillId="0" borderId="0" xfId="0" applyNumberFormat="1" applyFont="1" applyBorder="1"/>
    <xf numFmtId="3" fontId="116" fillId="0" borderId="103" xfId="0" applyNumberFormat="1" applyFont="1" applyFill="1" applyBorder="1" applyAlignment="1">
      <alignment horizontal="left" vertical="center" wrapText="1"/>
    </xf>
    <xf numFmtId="3" fontId="120" fillId="0" borderId="7" xfId="0" applyNumberFormat="1" applyFont="1" applyBorder="1"/>
    <xf numFmtId="3" fontId="23" fillId="83" borderId="103" xfId="0" applyNumberFormat="1" applyFont="1" applyFill="1" applyBorder="1"/>
    <xf numFmtId="3" fontId="23" fillId="0" borderId="103" xfId="0" applyNumberFormat="1" applyFont="1" applyFill="1" applyBorder="1"/>
    <xf numFmtId="3" fontId="22" fillId="85" borderId="103" xfId="0" applyNumberFormat="1" applyFont="1" applyFill="1" applyBorder="1"/>
    <xf numFmtId="3" fontId="23" fillId="85" borderId="103" xfId="0" applyNumberFormat="1" applyFont="1" applyFill="1" applyBorder="1"/>
    <xf numFmtId="3" fontId="120" fillId="0" borderId="103" xfId="0" applyNumberFormat="1" applyFont="1" applyFill="1" applyBorder="1" applyAlignment="1">
      <alignment horizontal="center" vertical="center" wrapText="1"/>
    </xf>
    <xf numFmtId="3" fontId="117" fillId="0" borderId="103"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164" fontId="0" fillId="0" borderId="0" xfId="0" applyNumberFormat="1"/>
    <xf numFmtId="38" fontId="117" fillId="0" borderId="0" xfId="0" applyNumberFormat="1" applyFont="1" applyFill="1"/>
    <xf numFmtId="43" fontId="117" fillId="0" borderId="0" xfId="0" applyNumberFormat="1" applyFont="1"/>
    <xf numFmtId="3" fontId="117" fillId="0" borderId="0" xfId="0" applyNumberFormat="1" applyFont="1" applyAlignment="1">
      <alignment wrapText="1"/>
    </xf>
    <xf numFmtId="3" fontId="117" fillId="0" borderId="0" xfId="0" applyNumberFormat="1" applyFont="1" applyFill="1" applyBorder="1" applyAlignment="1">
      <alignment horizontal="center" vertical="center" wrapText="1"/>
    </xf>
    <xf numFmtId="3" fontId="117" fillId="0" borderId="7" xfId="0" applyNumberFormat="1" applyFont="1" applyBorder="1" applyAlignment="1">
      <alignment wrapText="1"/>
    </xf>
    <xf numFmtId="3" fontId="117" fillId="0" borderId="103" xfId="0" applyNumberFormat="1" applyFont="1" applyFill="1" applyBorder="1" applyAlignment="1">
      <alignment horizontal="center" vertical="center" wrapText="1"/>
    </xf>
    <xf numFmtId="0" fontId="0" fillId="0" borderId="0" xfId="0" applyNumberFormat="1"/>
    <xf numFmtId="0" fontId="8" fillId="0" borderId="151" xfId="0" applyFont="1" applyFill="1" applyBorder="1" applyAlignment="1" applyProtection="1">
      <alignment horizontal="center" vertical="center" wrapText="1"/>
    </xf>
    <xf numFmtId="0" fontId="14" fillId="0" borderId="151" xfId="0" applyNumberFormat="1" applyFont="1" applyFill="1" applyBorder="1" applyAlignment="1">
      <alignment vertical="center" wrapText="1"/>
    </xf>
    <xf numFmtId="193" fontId="8" fillId="0" borderId="151" xfId="0" applyNumberFormat="1" applyFont="1" applyFill="1" applyBorder="1" applyAlignment="1" applyProtection="1">
      <alignment horizontal="right"/>
    </xf>
    <xf numFmtId="193" fontId="8" fillId="36" borderId="151" xfId="0" applyNumberFormat="1" applyFont="1" applyFill="1" applyBorder="1" applyAlignment="1" applyProtection="1">
      <alignment horizontal="right"/>
    </xf>
    <xf numFmtId="0" fontId="6" fillId="0" borderId="151" xfId="0" applyNumberFormat="1" applyFont="1" applyFill="1" applyBorder="1" applyAlignment="1">
      <alignment horizontal="left" vertical="center" wrapText="1"/>
    </xf>
    <xf numFmtId="0" fontId="16" fillId="0" borderId="151" xfId="0" applyFont="1" applyFill="1" applyBorder="1" applyAlignment="1" applyProtection="1">
      <alignment horizontal="left" vertical="center" indent="1"/>
      <protection locked="0"/>
    </xf>
    <xf numFmtId="0" fontId="16" fillId="0" borderId="151" xfId="0" applyFont="1" applyFill="1" applyBorder="1" applyAlignment="1" applyProtection="1">
      <alignment horizontal="left" vertical="center"/>
      <protection locked="0"/>
    </xf>
    <xf numFmtId="0" fontId="14" fillId="0" borderId="26" xfId="0" applyNumberFormat="1" applyFont="1" applyFill="1" applyBorder="1" applyAlignment="1">
      <alignment vertical="center" wrapText="1"/>
    </xf>
    <xf numFmtId="193" fontId="8" fillId="36" borderId="26" xfId="0" applyNumberFormat="1" applyFont="1" applyFill="1" applyBorder="1" applyAlignment="1" applyProtection="1">
      <alignment horizontal="right"/>
    </xf>
    <xf numFmtId="165" fontId="4" fillId="0" borderId="112" xfId="20961" applyNumberFormat="1" applyFont="1" applyFill="1" applyBorder="1" applyAlignment="1">
      <alignment vertical="center"/>
    </xf>
    <xf numFmtId="165" fontId="4" fillId="0" borderId="97" xfId="20961" applyNumberFormat="1" applyFont="1" applyFill="1" applyBorder="1" applyAlignment="1">
      <alignment vertical="center"/>
    </xf>
    <xf numFmtId="0" fontId="11" fillId="0" borderId="0" xfId="0" applyFont="1"/>
    <xf numFmtId="43" fontId="120" fillId="0" borderId="0" xfId="0" applyNumberFormat="1" applyFont="1"/>
    <xf numFmtId="164" fontId="120" fillId="0" borderId="103" xfId="7" applyNumberFormat="1" applyFont="1" applyBorder="1"/>
    <xf numFmtId="164" fontId="117" fillId="0" borderId="103" xfId="7" applyNumberFormat="1" applyFont="1" applyBorder="1"/>
    <xf numFmtId="164" fontId="117" fillId="0" borderId="103" xfId="7" applyNumberFormat="1" applyFont="1" applyBorder="1" applyAlignment="1">
      <alignment horizontal="left" indent="1"/>
    </xf>
    <xf numFmtId="164" fontId="4" fillId="0" borderId="0" xfId="0" applyNumberFormat="1" applyFont="1"/>
    <xf numFmtId="3" fontId="0" fillId="0" borderId="116" xfId="0" applyNumberFormat="1" applyFill="1" applyBorder="1" applyAlignment="1">
      <alignment wrapText="1"/>
    </xf>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31" xfId="0" applyFont="1" applyFill="1" applyBorder="1" applyAlignment="1" applyProtection="1">
      <alignment horizontal="center"/>
    </xf>
    <xf numFmtId="0" fontId="5" fillId="0" borderId="19" xfId="0" applyFont="1" applyBorder="1" applyAlignment="1">
      <alignment horizontal="center" vertical="center"/>
    </xf>
    <xf numFmtId="0" fontId="5" fillId="0" borderId="118" xfId="0" applyFont="1" applyBorder="1" applyAlignment="1">
      <alignment horizontal="center" vertical="center"/>
    </xf>
    <xf numFmtId="0" fontId="9" fillId="0" borderId="20" xfId="0" applyFont="1" applyFill="1" applyBorder="1" applyAlignment="1">
      <alignment horizontal="center" vertical="center"/>
    </xf>
    <xf numFmtId="0" fontId="9" fillId="0" borderId="151"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103" xfId="0" applyFont="1" applyBorder="1" applyAlignment="1">
      <alignment wrapText="1"/>
    </xf>
    <xf numFmtId="0" fontId="4" fillId="0" borderId="116" xfId="0" applyFont="1" applyBorder="1" applyAlignment="1"/>
    <xf numFmtId="0" fontId="9" fillId="0" borderId="103"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03" xfId="0" applyFont="1" applyBorder="1" applyAlignment="1">
      <alignment horizontal="left" vertical="center" wrapText="1"/>
    </xf>
    <xf numFmtId="0" fontId="9" fillId="0" borderId="116" xfId="0" applyFont="1" applyBorder="1" applyAlignment="1">
      <alignment horizontal="left"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5" fillId="36" borderId="120"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117" xfId="0" applyFont="1" applyFill="1" applyBorder="1" applyAlignment="1">
      <alignment horizontal="center" vertical="center" wrapText="1"/>
    </xf>
    <xf numFmtId="0" fontId="5" fillId="36" borderId="102" xfId="0" applyFont="1" applyFill="1" applyBorder="1" applyAlignment="1">
      <alignment horizontal="center" vertical="center" wrapText="1"/>
    </xf>
    <xf numFmtId="3" fontId="101" fillId="3" borderId="71" xfId="13" applyNumberFormat="1" applyFont="1" applyFill="1" applyBorder="1" applyAlignment="1" applyProtection="1">
      <alignment horizontal="center" vertical="center" wrapText="1"/>
      <protection locked="0"/>
    </xf>
    <xf numFmtId="3" fontId="101" fillId="3" borderId="68" xfId="13" applyNumberFormat="1" applyFont="1" applyFill="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164" fontId="14" fillId="0" borderId="94" xfId="1" applyNumberFormat="1" applyFont="1" applyFill="1" applyBorder="1" applyAlignment="1" applyProtection="1">
      <alignment horizontal="center" vertical="center" wrapText="1"/>
      <protection locked="0"/>
    </xf>
    <xf numFmtId="164" fontId="14" fillId="0" borderId="9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3" fontId="4" fillId="0" borderId="64" xfId="0" applyNumberFormat="1" applyFont="1" applyFill="1" applyBorder="1" applyAlignment="1">
      <alignment horizontal="center" vertical="center" wrapText="1"/>
    </xf>
    <xf numFmtId="3" fontId="4" fillId="0" borderId="57" xfId="0" applyNumberFormat="1" applyFont="1" applyFill="1" applyBorder="1" applyAlignment="1">
      <alignment horizontal="center" vertical="center" wrapText="1"/>
    </xf>
    <xf numFmtId="3" fontId="4" fillId="0" borderId="109" xfId="0" applyNumberFormat="1" applyFont="1" applyFill="1" applyBorder="1" applyAlignment="1">
      <alignment horizontal="center" vertical="center" wrapText="1"/>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6" xfId="0" applyFont="1" applyBorder="1" applyAlignment="1">
      <alignment horizontal="center" vertical="center" wrapText="1"/>
    </xf>
    <xf numFmtId="0" fontId="119" fillId="0" borderId="123"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0" fontId="119" fillId="0" borderId="126" xfId="0" applyNumberFormat="1" applyFont="1" applyFill="1" applyBorder="1" applyAlignment="1">
      <alignment horizontal="left" vertical="center" wrapText="1"/>
    </xf>
    <xf numFmtId="0" fontId="119" fillId="0" borderId="127" xfId="0" applyNumberFormat="1" applyFont="1" applyFill="1" applyBorder="1" applyAlignment="1">
      <alignment horizontal="left" vertical="center" wrapText="1"/>
    </xf>
    <xf numFmtId="0" fontId="119" fillId="0" borderId="129" xfId="0" applyNumberFormat="1" applyFont="1" applyFill="1" applyBorder="1" applyAlignment="1">
      <alignment horizontal="left" vertical="center" wrapText="1"/>
    </xf>
    <xf numFmtId="0" fontId="119" fillId="0" borderId="130" xfId="0" applyNumberFormat="1" applyFont="1" applyFill="1" applyBorder="1" applyAlignment="1">
      <alignment horizontal="left" vertical="center" wrapText="1"/>
    </xf>
    <xf numFmtId="4" fontId="120" fillId="0" borderId="99" xfId="0" applyNumberFormat="1" applyFont="1" applyFill="1" applyBorder="1" applyAlignment="1">
      <alignment horizontal="center" vertical="center" wrapText="1"/>
    </xf>
    <xf numFmtId="4" fontId="120" fillId="0" borderId="115" xfId="0" applyNumberFormat="1" applyFont="1" applyFill="1" applyBorder="1" applyAlignment="1">
      <alignment horizontal="center" vertical="center" wrapText="1"/>
    </xf>
    <xf numFmtId="4" fontId="120" fillId="0" borderId="125" xfId="0" applyNumberFormat="1" applyFont="1" applyFill="1" applyBorder="1" applyAlignment="1">
      <alignment horizontal="center" vertical="center" wrapText="1"/>
    </xf>
    <xf numFmtId="4" fontId="120" fillId="0" borderId="55" xfId="0" applyNumberFormat="1" applyFont="1" applyFill="1" applyBorder="1" applyAlignment="1">
      <alignment horizontal="center" vertical="center" wrapText="1"/>
    </xf>
    <xf numFmtId="4" fontId="120" fillId="0" borderId="128" xfId="0" applyNumberFormat="1" applyFont="1" applyFill="1" applyBorder="1" applyAlignment="1">
      <alignment horizontal="center" vertical="center" wrapText="1"/>
    </xf>
    <xf numFmtId="4" fontId="120" fillId="0" borderId="11" xfId="0" applyNumberFormat="1" applyFont="1" applyFill="1" applyBorder="1" applyAlignment="1">
      <alignment horizontal="center" vertical="center" wrapText="1"/>
    </xf>
    <xf numFmtId="3" fontId="117" fillId="0" borderId="103" xfId="0" applyNumberFormat="1" applyFont="1" applyBorder="1" applyAlignment="1">
      <alignment horizontal="center" vertical="center" wrapText="1"/>
    </xf>
    <xf numFmtId="3" fontId="117" fillId="0" borderId="98"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0" fontId="124" fillId="0" borderId="103" xfId="0" applyFont="1" applyFill="1" applyBorder="1" applyAlignment="1">
      <alignment horizontal="center" vertical="center"/>
    </xf>
    <xf numFmtId="0" fontId="124" fillId="0" borderId="99" xfId="0" applyFont="1" applyFill="1" applyBorder="1" applyAlignment="1">
      <alignment horizontal="center" vertical="center"/>
    </xf>
    <xf numFmtId="0" fontId="124" fillId="0" borderId="125" xfId="0" applyFont="1" applyFill="1" applyBorder="1" applyAlignment="1">
      <alignment horizontal="center" vertical="center"/>
    </xf>
    <xf numFmtId="0" fontId="124" fillId="0" borderId="55" xfId="0" applyFont="1" applyFill="1" applyBorder="1" applyAlignment="1">
      <alignment horizontal="center" vertical="center"/>
    </xf>
    <xf numFmtId="0" fontId="124" fillId="0" borderId="11" xfId="0" applyFont="1" applyFill="1" applyBorder="1" applyAlignment="1">
      <alignment horizontal="center" vertical="center"/>
    </xf>
    <xf numFmtId="0" fontId="120" fillId="0" borderId="99" xfId="0" applyFont="1" applyFill="1" applyBorder="1" applyAlignment="1">
      <alignment horizontal="center" vertical="center" wrapText="1"/>
    </xf>
    <xf numFmtId="0" fontId="120" fillId="0" borderId="55" xfId="0" applyFont="1" applyFill="1" applyBorder="1" applyAlignment="1">
      <alignment horizontal="center" vertical="center" wrapText="1"/>
    </xf>
    <xf numFmtId="0" fontId="120" fillId="0" borderId="103" xfId="0" applyFont="1" applyFill="1" applyBorder="1" applyAlignment="1">
      <alignment horizontal="center" vertical="center" wrapText="1"/>
    </xf>
    <xf numFmtId="0" fontId="120" fillId="0" borderId="125" xfId="0" applyFont="1" applyFill="1" applyBorder="1" applyAlignment="1">
      <alignment horizontal="center" vertical="center" wrapText="1"/>
    </xf>
    <xf numFmtId="0" fontId="120" fillId="0" borderId="131" xfId="0" applyFont="1" applyFill="1" applyBorder="1" applyAlignment="1">
      <alignment horizontal="center" vertical="center" wrapText="1"/>
    </xf>
    <xf numFmtId="0" fontId="120" fillId="0" borderId="132" xfId="0" applyFont="1" applyFill="1" applyBorder="1" applyAlignment="1">
      <alignment horizontal="center" vertical="center" wrapText="1"/>
    </xf>
    <xf numFmtId="0" fontId="120" fillId="0" borderId="11" xfId="0" applyFont="1" applyFill="1" applyBorder="1" applyAlignment="1">
      <alignment horizontal="center" vertical="center" wrapText="1"/>
    </xf>
    <xf numFmtId="3" fontId="117" fillId="0" borderId="104" xfId="0" applyNumberFormat="1" applyFont="1" applyFill="1" applyBorder="1" applyAlignment="1">
      <alignment horizontal="center" vertical="center" wrapText="1"/>
    </xf>
    <xf numFmtId="3" fontId="117" fillId="0" borderId="101" xfId="0" applyNumberFormat="1" applyFont="1" applyFill="1" applyBorder="1" applyAlignment="1">
      <alignment horizontal="center" vertical="center" wrapText="1"/>
    </xf>
    <xf numFmtId="3" fontId="117" fillId="0" borderId="102" xfId="0" applyNumberFormat="1" applyFont="1" applyFill="1" applyBorder="1" applyAlignment="1">
      <alignment horizontal="center" vertical="center" wrapText="1"/>
    </xf>
    <xf numFmtId="3" fontId="120" fillId="0" borderId="133" xfId="0" applyNumberFormat="1" applyFont="1" applyFill="1" applyBorder="1" applyAlignment="1">
      <alignment horizontal="center" vertical="center" wrapText="1"/>
    </xf>
    <xf numFmtId="3" fontId="120" fillId="0" borderId="7" xfId="0" applyNumberFormat="1" applyFont="1" applyFill="1" applyBorder="1" applyAlignment="1">
      <alignment horizontal="center" vertical="center" wrapText="1"/>
    </xf>
    <xf numFmtId="3" fontId="117" fillId="0" borderId="133" xfId="0" applyNumberFormat="1" applyFont="1" applyFill="1" applyBorder="1" applyAlignment="1">
      <alignment horizontal="center" vertical="center" wrapText="1"/>
    </xf>
    <xf numFmtId="3" fontId="117" fillId="0" borderId="7" xfId="0" applyNumberFormat="1" applyFont="1" applyFill="1" applyBorder="1" applyAlignment="1">
      <alignment horizontal="center" vertical="center" wrapText="1"/>
    </xf>
    <xf numFmtId="3" fontId="117" fillId="0" borderId="131" xfId="0" applyNumberFormat="1" applyFont="1" applyFill="1" applyBorder="1" applyAlignment="1">
      <alignment horizontal="center" vertical="center" wrapText="1"/>
    </xf>
    <xf numFmtId="3" fontId="117" fillId="0" borderId="0" xfId="0" applyNumberFormat="1" applyFont="1" applyFill="1" applyBorder="1" applyAlignment="1">
      <alignment horizontal="center" vertical="center" wrapText="1"/>
    </xf>
    <xf numFmtId="3" fontId="117" fillId="0" borderId="132" xfId="0" applyNumberFormat="1" applyFont="1" applyFill="1" applyBorder="1" applyAlignment="1">
      <alignment horizontal="center" vertical="center" wrapText="1"/>
    </xf>
    <xf numFmtId="3" fontId="117" fillId="0" borderId="11" xfId="0" applyNumberFormat="1" applyFont="1" applyBorder="1" applyAlignment="1">
      <alignment horizontal="center" vertical="center" wrapText="1"/>
    </xf>
    <xf numFmtId="0" fontId="119" fillId="0" borderId="99" xfId="0" applyNumberFormat="1" applyFont="1" applyFill="1" applyBorder="1" applyAlignment="1">
      <alignment horizontal="left" vertical="top" wrapText="1"/>
    </xf>
    <xf numFmtId="0" fontId="119" fillId="0" borderId="125" xfId="0" applyNumberFormat="1" applyFont="1" applyFill="1" applyBorder="1" applyAlignment="1">
      <alignment horizontal="left" vertical="top" wrapText="1"/>
    </xf>
    <xf numFmtId="0" fontId="119" fillId="0" borderId="131" xfId="0" applyNumberFormat="1" applyFont="1" applyFill="1" applyBorder="1" applyAlignment="1">
      <alignment horizontal="left" vertical="top" wrapText="1"/>
    </xf>
    <xf numFmtId="0" fontId="119" fillId="0" borderId="132" xfId="0" applyNumberFormat="1" applyFont="1" applyFill="1" applyBorder="1" applyAlignment="1">
      <alignment horizontal="left" vertical="top" wrapText="1"/>
    </xf>
    <xf numFmtId="0" fontId="119" fillId="0" borderId="55" xfId="0" applyNumberFormat="1" applyFont="1" applyFill="1" applyBorder="1" applyAlignment="1">
      <alignment horizontal="left" vertical="top" wrapText="1"/>
    </xf>
    <xf numFmtId="0" fontId="119" fillId="0" borderId="11" xfId="0" applyNumberFormat="1" applyFont="1" applyFill="1" applyBorder="1" applyAlignment="1">
      <alignment horizontal="left" vertical="top" wrapText="1"/>
    </xf>
    <xf numFmtId="0" fontId="117" fillId="0" borderId="99" xfId="0" applyFont="1" applyFill="1" applyBorder="1" applyAlignment="1">
      <alignment horizontal="center" vertical="center"/>
    </xf>
    <xf numFmtId="0" fontId="117" fillId="0" borderId="115" xfId="0" applyFont="1" applyFill="1" applyBorder="1" applyAlignment="1">
      <alignment horizontal="center" vertical="center"/>
    </xf>
    <xf numFmtId="0" fontId="117" fillId="0" borderId="125" xfId="0" applyFont="1" applyFill="1" applyBorder="1" applyAlignment="1">
      <alignment horizontal="center" vertical="center"/>
    </xf>
    <xf numFmtId="0" fontId="117" fillId="0" borderId="99"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25" xfId="0" applyFont="1" applyFill="1" applyBorder="1" applyAlignment="1">
      <alignment horizontal="center" vertical="center" wrapText="1"/>
    </xf>
    <xf numFmtId="0" fontId="117" fillId="0" borderId="99" xfId="0" applyFont="1" applyBorder="1" applyAlignment="1">
      <alignment horizontal="center" vertical="top" wrapText="1"/>
    </xf>
    <xf numFmtId="0" fontId="117" fillId="0" borderId="115" xfId="0" applyFont="1" applyBorder="1" applyAlignment="1">
      <alignment horizontal="center" vertical="top" wrapText="1"/>
    </xf>
    <xf numFmtId="0" fontId="117" fillId="0" borderId="125" xfId="0" applyFont="1" applyBorder="1" applyAlignment="1">
      <alignment horizontal="center" vertical="top" wrapText="1"/>
    </xf>
    <xf numFmtId="0" fontId="117" fillId="0" borderId="99" xfId="0" applyFont="1" applyFill="1" applyBorder="1" applyAlignment="1">
      <alignment horizontal="center" vertical="top" wrapText="1"/>
    </xf>
    <xf numFmtId="0" fontId="117" fillId="0" borderId="101" xfId="0" applyFont="1" applyFill="1" applyBorder="1" applyAlignment="1">
      <alignment horizontal="center" vertical="top" wrapText="1"/>
    </xf>
    <xf numFmtId="0" fontId="117" fillId="0" borderId="102" xfId="0" applyFont="1" applyFill="1" applyBorder="1" applyAlignment="1">
      <alignment horizontal="center" vertical="top" wrapText="1"/>
    </xf>
    <xf numFmtId="0" fontId="117" fillId="0" borderId="98" xfId="0" applyFont="1" applyBorder="1" applyAlignment="1">
      <alignment horizontal="center" vertical="top" wrapText="1"/>
    </xf>
    <xf numFmtId="0" fontId="117" fillId="0" borderId="7" xfId="0" applyFont="1" applyBorder="1" applyAlignment="1">
      <alignment horizontal="center" vertical="top" wrapText="1"/>
    </xf>
    <xf numFmtId="0" fontId="119" fillId="0" borderId="134" xfId="0" applyNumberFormat="1" applyFont="1" applyFill="1" applyBorder="1" applyAlignment="1">
      <alignment horizontal="left" vertical="top" wrapText="1"/>
    </xf>
    <xf numFmtId="0" fontId="119" fillId="0" borderId="135" xfId="0" applyNumberFormat="1" applyFont="1" applyFill="1" applyBorder="1" applyAlignment="1">
      <alignment horizontal="left" vertical="top" wrapText="1"/>
    </xf>
    <xf numFmtId="0" fontId="106" fillId="0" borderId="104" xfId="0" applyFont="1" applyFill="1" applyBorder="1" applyAlignment="1">
      <alignment horizontal="left" vertical="center" wrapText="1"/>
    </xf>
    <xf numFmtId="0" fontId="106" fillId="0" borderId="102" xfId="0" applyFont="1" applyFill="1" applyBorder="1" applyAlignment="1">
      <alignment horizontal="left" vertical="center" wrapText="1"/>
    </xf>
    <xf numFmtId="0" fontId="106" fillId="0" borderId="104" xfId="0" applyFont="1" applyFill="1" applyBorder="1" applyAlignment="1">
      <alignment horizontal="left"/>
    </xf>
    <xf numFmtId="0" fontId="106" fillId="0" borderId="102" xfId="0" applyFont="1" applyFill="1" applyBorder="1" applyAlignment="1">
      <alignment horizontal="left"/>
    </xf>
    <xf numFmtId="0" fontId="106" fillId="3" borderId="104" xfId="0" applyFont="1" applyFill="1" applyBorder="1" applyAlignment="1">
      <alignment vertical="center" wrapText="1"/>
    </xf>
    <xf numFmtId="0" fontId="106" fillId="3" borderId="102" xfId="0" applyFont="1" applyFill="1" applyBorder="1" applyAlignment="1">
      <alignment vertical="center" wrapText="1"/>
    </xf>
    <xf numFmtId="0" fontId="105" fillId="0" borderId="74" xfId="0" applyFont="1" applyFill="1" applyBorder="1" applyAlignment="1">
      <alignment horizontal="center" vertical="center"/>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xf numFmtId="0" fontId="106" fillId="0" borderId="103" xfId="0" applyFont="1" applyFill="1" applyBorder="1" applyAlignment="1">
      <alignment horizontal="left" vertical="center" wrapText="1"/>
    </xf>
    <xf numFmtId="0" fontId="105" fillId="76" borderId="77" xfId="0" applyFont="1" applyFill="1" applyBorder="1" applyAlignment="1">
      <alignment horizontal="center" vertical="center" wrapText="1"/>
    </xf>
    <xf numFmtId="0" fontId="105" fillId="76" borderId="78" xfId="0" applyFont="1" applyFill="1" applyBorder="1" applyAlignment="1">
      <alignment horizontal="center" vertical="center" wrapText="1"/>
    </xf>
    <xf numFmtId="0" fontId="105" fillId="76" borderId="79" xfId="0" applyFont="1" applyFill="1" applyBorder="1" applyAlignment="1">
      <alignment horizontal="center" vertical="center" wrapText="1"/>
    </xf>
    <xf numFmtId="0" fontId="106" fillId="0" borderId="55"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04" xfId="0" applyFont="1" applyFill="1" applyBorder="1" applyAlignment="1">
      <alignment vertical="center" wrapText="1"/>
    </xf>
    <xf numFmtId="0" fontId="106" fillId="0" borderId="102" xfId="0" applyFont="1" applyFill="1" applyBorder="1" applyAlignment="1">
      <alignment vertical="center" wrapText="1"/>
    </xf>
    <xf numFmtId="0" fontId="106" fillId="3" borderId="81" xfId="0" applyFont="1" applyFill="1" applyBorder="1" applyAlignment="1">
      <alignment horizontal="left" vertical="center" wrapText="1"/>
    </xf>
    <xf numFmtId="0" fontId="106" fillId="3" borderId="82"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55" xfId="0" applyFont="1" applyFill="1" applyBorder="1" applyAlignment="1">
      <alignment vertical="center" wrapText="1"/>
    </xf>
    <xf numFmtId="0" fontId="106" fillId="0" borderId="11" xfId="0" applyFont="1" applyFill="1" applyBorder="1" applyAlignment="1">
      <alignment vertical="center" wrapText="1"/>
    </xf>
    <xf numFmtId="0" fontId="106" fillId="0" borderId="81" xfId="0" applyFont="1" applyFill="1" applyBorder="1" applyAlignment="1">
      <alignment horizontal="left" vertical="center" wrapText="1"/>
    </xf>
    <xf numFmtId="0" fontId="106" fillId="0" borderId="82" xfId="0" applyFont="1" applyFill="1" applyBorder="1" applyAlignment="1">
      <alignment horizontal="left" vertical="center" wrapText="1"/>
    </xf>
    <xf numFmtId="0" fontId="106" fillId="0" borderId="81" xfId="0" applyFont="1" applyFill="1" applyBorder="1" applyAlignment="1">
      <alignment vertical="center" wrapText="1"/>
    </xf>
    <xf numFmtId="0" fontId="106" fillId="0" borderId="82" xfId="0" applyFont="1" applyFill="1" applyBorder="1" applyAlignment="1">
      <alignment vertical="center" wrapText="1"/>
    </xf>
    <xf numFmtId="0" fontId="106" fillId="3" borderId="104" xfId="0" applyFont="1" applyFill="1" applyBorder="1" applyAlignment="1">
      <alignment horizontal="left" vertical="center" wrapText="1"/>
    </xf>
    <xf numFmtId="0" fontId="106" fillId="3" borderId="102" xfId="0" applyFont="1" applyFill="1" applyBorder="1" applyAlignment="1">
      <alignment horizontal="left" vertical="center" wrapText="1"/>
    </xf>
    <xf numFmtId="0" fontId="105" fillId="76" borderId="86"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7" xfId="0" applyFont="1" applyFill="1" applyBorder="1" applyAlignment="1">
      <alignment horizontal="center" vertical="center" wrapText="1"/>
    </xf>
    <xf numFmtId="0" fontId="106" fillId="78" borderId="104" xfId="0" applyFont="1" applyFill="1" applyBorder="1" applyAlignment="1">
      <alignment vertical="center" wrapText="1"/>
    </xf>
    <xf numFmtId="0" fontId="106" fillId="78" borderId="102" xfId="0" applyFont="1" applyFill="1" applyBorder="1" applyAlignment="1">
      <alignment vertical="center" wrapText="1"/>
    </xf>
    <xf numFmtId="0" fontId="105" fillId="76" borderId="91" xfId="0" applyFont="1" applyFill="1" applyBorder="1" applyAlignment="1">
      <alignment horizontal="center" vertical="center"/>
    </xf>
    <xf numFmtId="0" fontId="105" fillId="76" borderId="92" xfId="0" applyFont="1" applyFill="1" applyBorder="1" applyAlignment="1">
      <alignment horizontal="center" vertical="center"/>
    </xf>
    <xf numFmtId="0" fontId="105" fillId="76" borderId="93" xfId="0" applyFont="1" applyFill="1" applyBorder="1" applyAlignment="1">
      <alignment horizontal="center" vertical="center"/>
    </xf>
    <xf numFmtId="0" fontId="105" fillId="76" borderId="103" xfId="0" applyFont="1" applyFill="1" applyBorder="1" applyAlignment="1">
      <alignment horizontal="center" vertical="center" wrapText="1"/>
    </xf>
    <xf numFmtId="0" fontId="105" fillId="0" borderId="103" xfId="0" applyFont="1" applyFill="1" applyBorder="1" applyAlignment="1">
      <alignment horizontal="center" vertical="center"/>
    </xf>
    <xf numFmtId="0" fontId="106" fillId="0" borderId="104" xfId="13" applyFont="1" applyFill="1" applyBorder="1" applyAlignment="1" applyProtection="1">
      <alignment horizontal="left" vertical="top" wrapText="1"/>
      <protection locked="0"/>
    </xf>
    <xf numFmtId="0" fontId="106" fillId="0" borderId="102" xfId="13" applyFont="1" applyFill="1" applyBorder="1" applyAlignment="1" applyProtection="1">
      <alignment horizontal="left" vertical="top" wrapText="1"/>
      <protection locked="0"/>
    </xf>
    <xf numFmtId="0" fontId="106" fillId="3" borderId="104" xfId="13" applyFont="1" applyFill="1" applyBorder="1" applyAlignment="1" applyProtection="1">
      <alignment horizontal="left" vertical="top" wrapText="1"/>
      <protection locked="0"/>
    </xf>
    <xf numFmtId="0" fontId="106" fillId="3" borderId="102" xfId="13" applyFont="1" applyFill="1" applyBorder="1" applyAlignment="1" applyProtection="1">
      <alignment horizontal="left" vertical="top" wrapText="1"/>
      <protection locked="0"/>
    </xf>
    <xf numFmtId="0" fontId="105" fillId="0" borderId="89" xfId="0" applyFont="1" applyFill="1" applyBorder="1" applyAlignment="1">
      <alignment horizontal="center" vertical="center"/>
    </xf>
    <xf numFmtId="0" fontId="106" fillId="81" borderId="104" xfId="0" applyNumberFormat="1" applyFont="1" applyFill="1" applyBorder="1" applyAlignment="1">
      <alignment horizontal="left" vertical="center" wrapText="1"/>
    </xf>
    <xf numFmtId="0" fontId="106" fillId="81" borderId="102" xfId="0" applyNumberFormat="1" applyFont="1" applyFill="1" applyBorder="1" applyAlignment="1">
      <alignment horizontal="left" vertical="center" wrapText="1"/>
    </xf>
    <xf numFmtId="0" fontId="106" fillId="0" borderId="104" xfId="0" applyNumberFormat="1" applyFont="1" applyFill="1" applyBorder="1" applyAlignment="1">
      <alignment horizontal="left" vertical="center" wrapText="1"/>
    </xf>
    <xf numFmtId="0" fontId="106" fillId="0" borderId="102" xfId="0" applyNumberFormat="1" applyFont="1" applyFill="1" applyBorder="1" applyAlignment="1">
      <alignment horizontal="left" vertical="center" wrapText="1"/>
    </xf>
    <xf numFmtId="0" fontId="105" fillId="76" borderId="104" xfId="0" applyFont="1" applyFill="1" applyBorder="1" applyAlignment="1">
      <alignment horizontal="center" vertical="center" wrapText="1"/>
    </xf>
    <xf numFmtId="0" fontId="105" fillId="76" borderId="102" xfId="0" applyFont="1" applyFill="1" applyBorder="1" applyAlignment="1">
      <alignment horizontal="center" vertical="center" wrapText="1"/>
    </xf>
    <xf numFmtId="0" fontId="106" fillId="81" borderId="104" xfId="0" applyNumberFormat="1" applyFont="1" applyFill="1" applyBorder="1" applyAlignment="1">
      <alignment horizontal="left" vertical="top" wrapText="1"/>
    </xf>
    <xf numFmtId="0" fontId="106" fillId="81" borderId="102" xfId="0" applyNumberFormat="1" applyFont="1" applyFill="1" applyBorder="1" applyAlignment="1">
      <alignment horizontal="left" vertical="top" wrapText="1"/>
    </xf>
    <xf numFmtId="0" fontId="106" fillId="0" borderId="98" xfId="12672" applyFont="1" applyFill="1" applyBorder="1" applyAlignment="1">
      <alignment horizontal="left" vertical="center" wrapText="1"/>
    </xf>
    <xf numFmtId="0" fontId="106" fillId="0" borderId="133" xfId="12672" applyFont="1" applyFill="1" applyBorder="1" applyAlignment="1">
      <alignment horizontal="left" vertical="center" wrapText="1"/>
    </xf>
    <xf numFmtId="0" fontId="106" fillId="0" borderId="7" xfId="12672" applyFont="1" applyFill="1" applyBorder="1" applyAlignment="1">
      <alignment horizontal="left" vertical="center" wrapText="1"/>
    </xf>
    <xf numFmtId="0" fontId="106" fillId="0" borderId="103" xfId="0" applyFont="1" applyFill="1" applyBorder="1" applyAlignment="1">
      <alignment horizontal="left" vertical="top" wrapText="1"/>
    </xf>
    <xf numFmtId="0" fontId="106" fillId="0" borderId="103" xfId="0" applyNumberFormat="1" applyFont="1" applyFill="1" applyBorder="1" applyAlignment="1">
      <alignment horizontal="left" vertical="top" wrapText="1"/>
    </xf>
    <xf numFmtId="0" fontId="106" fillId="0" borderId="104" xfId="0" applyFont="1" applyFill="1" applyBorder="1" applyAlignment="1">
      <alignment horizontal="left" vertical="top" wrapText="1"/>
    </xf>
  </cellXfs>
  <cellStyles count="2273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2 3" xfId="22734"/>
    <cellStyle name="Calculation 2 10 2 3" xfId="21415"/>
    <cellStyle name="Calculation 2 10 3" xfId="724"/>
    <cellStyle name="Calculation 2 10 3 2" xfId="21407"/>
    <cellStyle name="Calculation 2 10 3 2 2" xfId="22266"/>
    <cellStyle name="Calculation 2 10 3 2 3" xfId="22733"/>
    <cellStyle name="Calculation 2 10 3 3" xfId="21416"/>
    <cellStyle name="Calculation 2 10 4" xfId="725"/>
    <cellStyle name="Calculation 2 10 4 2" xfId="21406"/>
    <cellStyle name="Calculation 2 10 4 2 2" xfId="22265"/>
    <cellStyle name="Calculation 2 10 4 2 3" xfId="22732"/>
    <cellStyle name="Calculation 2 10 4 3" xfId="21417"/>
    <cellStyle name="Calculation 2 10 5" xfId="726"/>
    <cellStyle name="Calculation 2 10 5 2" xfId="21405"/>
    <cellStyle name="Calculation 2 10 5 2 2" xfId="22264"/>
    <cellStyle name="Calculation 2 10 5 2 3" xfId="22731"/>
    <cellStyle name="Calculation 2 10 5 3" xfId="21418"/>
    <cellStyle name="Calculation 2 11" xfId="727"/>
    <cellStyle name="Calculation 2 11 2" xfId="728"/>
    <cellStyle name="Calculation 2 11 2 2" xfId="21403"/>
    <cellStyle name="Calculation 2 11 2 2 2" xfId="22262"/>
    <cellStyle name="Calculation 2 11 2 2 3" xfId="22729"/>
    <cellStyle name="Calculation 2 11 2 3" xfId="21420"/>
    <cellStyle name="Calculation 2 11 3" xfId="729"/>
    <cellStyle name="Calculation 2 11 3 2" xfId="21402"/>
    <cellStyle name="Calculation 2 11 3 2 2" xfId="22261"/>
    <cellStyle name="Calculation 2 11 3 2 3" xfId="22728"/>
    <cellStyle name="Calculation 2 11 3 3" xfId="21421"/>
    <cellStyle name="Calculation 2 11 4" xfId="730"/>
    <cellStyle name="Calculation 2 11 4 2" xfId="21401"/>
    <cellStyle name="Calculation 2 11 4 2 2" xfId="22260"/>
    <cellStyle name="Calculation 2 11 4 2 3" xfId="22727"/>
    <cellStyle name="Calculation 2 11 4 3" xfId="21422"/>
    <cellStyle name="Calculation 2 11 5" xfId="731"/>
    <cellStyle name="Calculation 2 11 5 2" xfId="21400"/>
    <cellStyle name="Calculation 2 11 5 2 2" xfId="22259"/>
    <cellStyle name="Calculation 2 11 5 2 3" xfId="22726"/>
    <cellStyle name="Calculation 2 11 5 3" xfId="21423"/>
    <cellStyle name="Calculation 2 11 6" xfId="21404"/>
    <cellStyle name="Calculation 2 11 6 2" xfId="22263"/>
    <cellStyle name="Calculation 2 11 6 3" xfId="22730"/>
    <cellStyle name="Calculation 2 11 7" xfId="21419"/>
    <cellStyle name="Calculation 2 12" xfId="732"/>
    <cellStyle name="Calculation 2 12 2" xfId="733"/>
    <cellStyle name="Calculation 2 12 2 2" xfId="21398"/>
    <cellStyle name="Calculation 2 12 2 2 2" xfId="22257"/>
    <cellStyle name="Calculation 2 12 2 2 3" xfId="22724"/>
    <cellStyle name="Calculation 2 12 2 3" xfId="21425"/>
    <cellStyle name="Calculation 2 12 3" xfId="734"/>
    <cellStyle name="Calculation 2 12 3 2" xfId="21397"/>
    <cellStyle name="Calculation 2 12 3 2 2" xfId="22256"/>
    <cellStyle name="Calculation 2 12 3 2 3" xfId="22723"/>
    <cellStyle name="Calculation 2 12 3 3" xfId="21426"/>
    <cellStyle name="Calculation 2 12 4" xfId="735"/>
    <cellStyle name="Calculation 2 12 4 2" xfId="21396"/>
    <cellStyle name="Calculation 2 12 4 2 2" xfId="22255"/>
    <cellStyle name="Calculation 2 12 4 2 3" xfId="22722"/>
    <cellStyle name="Calculation 2 12 4 3" xfId="21427"/>
    <cellStyle name="Calculation 2 12 5" xfId="736"/>
    <cellStyle name="Calculation 2 12 5 2" xfId="21395"/>
    <cellStyle name="Calculation 2 12 5 2 2" xfId="22254"/>
    <cellStyle name="Calculation 2 12 5 2 3" xfId="22721"/>
    <cellStyle name="Calculation 2 12 5 3" xfId="21428"/>
    <cellStyle name="Calculation 2 12 6" xfId="21399"/>
    <cellStyle name="Calculation 2 12 6 2" xfId="22258"/>
    <cellStyle name="Calculation 2 12 6 3" xfId="22725"/>
    <cellStyle name="Calculation 2 12 7" xfId="21424"/>
    <cellStyle name="Calculation 2 13" xfId="737"/>
    <cellStyle name="Calculation 2 13 2" xfId="738"/>
    <cellStyle name="Calculation 2 13 2 2" xfId="21393"/>
    <cellStyle name="Calculation 2 13 2 2 2" xfId="22252"/>
    <cellStyle name="Calculation 2 13 2 2 3" xfId="22719"/>
    <cellStyle name="Calculation 2 13 2 3" xfId="21430"/>
    <cellStyle name="Calculation 2 13 3" xfId="739"/>
    <cellStyle name="Calculation 2 13 3 2" xfId="21392"/>
    <cellStyle name="Calculation 2 13 3 2 2" xfId="22251"/>
    <cellStyle name="Calculation 2 13 3 2 3" xfId="22718"/>
    <cellStyle name="Calculation 2 13 3 3" xfId="21431"/>
    <cellStyle name="Calculation 2 13 4" xfId="740"/>
    <cellStyle name="Calculation 2 13 4 2" xfId="21391"/>
    <cellStyle name="Calculation 2 13 4 2 2" xfId="22250"/>
    <cellStyle name="Calculation 2 13 4 2 3" xfId="22717"/>
    <cellStyle name="Calculation 2 13 4 3" xfId="21432"/>
    <cellStyle name="Calculation 2 13 5" xfId="21394"/>
    <cellStyle name="Calculation 2 13 5 2" xfId="22253"/>
    <cellStyle name="Calculation 2 13 5 3" xfId="22720"/>
    <cellStyle name="Calculation 2 13 6" xfId="21429"/>
    <cellStyle name="Calculation 2 14" xfId="741"/>
    <cellStyle name="Calculation 2 14 2" xfId="21390"/>
    <cellStyle name="Calculation 2 14 2 2" xfId="22249"/>
    <cellStyle name="Calculation 2 14 2 3" xfId="22716"/>
    <cellStyle name="Calculation 2 14 3" xfId="21433"/>
    <cellStyle name="Calculation 2 15" xfId="742"/>
    <cellStyle name="Calculation 2 15 2" xfId="21389"/>
    <cellStyle name="Calculation 2 15 2 2" xfId="22248"/>
    <cellStyle name="Calculation 2 15 2 3" xfId="22715"/>
    <cellStyle name="Calculation 2 15 3" xfId="21434"/>
    <cellStyle name="Calculation 2 16" xfId="743"/>
    <cellStyle name="Calculation 2 16 2" xfId="21388"/>
    <cellStyle name="Calculation 2 16 2 2" xfId="22247"/>
    <cellStyle name="Calculation 2 16 2 3" xfId="22714"/>
    <cellStyle name="Calculation 2 16 3" xfId="21435"/>
    <cellStyle name="Calculation 2 17" xfId="21409"/>
    <cellStyle name="Calculation 2 17 2" xfId="22268"/>
    <cellStyle name="Calculation 2 17 3" xfId="22735"/>
    <cellStyle name="Calculation 2 18" xfId="21414"/>
    <cellStyle name="Calculation 2 2" xfId="744"/>
    <cellStyle name="Calculation 2 2 10" xfId="21387"/>
    <cellStyle name="Calculation 2 2 10 2" xfId="22246"/>
    <cellStyle name="Calculation 2 2 10 3" xfId="22713"/>
    <cellStyle name="Calculation 2 2 11" xfId="21436"/>
    <cellStyle name="Calculation 2 2 2" xfId="745"/>
    <cellStyle name="Calculation 2 2 2 2" xfId="746"/>
    <cellStyle name="Calculation 2 2 2 2 2" xfId="21385"/>
    <cellStyle name="Calculation 2 2 2 2 2 2" xfId="22244"/>
    <cellStyle name="Calculation 2 2 2 2 2 3" xfId="22711"/>
    <cellStyle name="Calculation 2 2 2 2 3" xfId="21438"/>
    <cellStyle name="Calculation 2 2 2 3" xfId="747"/>
    <cellStyle name="Calculation 2 2 2 3 2" xfId="21384"/>
    <cellStyle name="Calculation 2 2 2 3 2 2" xfId="22243"/>
    <cellStyle name="Calculation 2 2 2 3 2 3" xfId="22710"/>
    <cellStyle name="Calculation 2 2 2 3 3" xfId="21439"/>
    <cellStyle name="Calculation 2 2 2 4" xfId="748"/>
    <cellStyle name="Calculation 2 2 2 4 2" xfId="21383"/>
    <cellStyle name="Calculation 2 2 2 4 2 2" xfId="22242"/>
    <cellStyle name="Calculation 2 2 2 4 2 3" xfId="22709"/>
    <cellStyle name="Calculation 2 2 2 4 3" xfId="21440"/>
    <cellStyle name="Calculation 2 2 2 5" xfId="21386"/>
    <cellStyle name="Calculation 2 2 2 5 2" xfId="22245"/>
    <cellStyle name="Calculation 2 2 2 5 3" xfId="22712"/>
    <cellStyle name="Calculation 2 2 2 6" xfId="21437"/>
    <cellStyle name="Calculation 2 2 3" xfId="749"/>
    <cellStyle name="Calculation 2 2 3 2" xfId="750"/>
    <cellStyle name="Calculation 2 2 3 2 2" xfId="21381"/>
    <cellStyle name="Calculation 2 2 3 2 2 2" xfId="22240"/>
    <cellStyle name="Calculation 2 2 3 2 2 3" xfId="22707"/>
    <cellStyle name="Calculation 2 2 3 2 3" xfId="21442"/>
    <cellStyle name="Calculation 2 2 3 3" xfId="751"/>
    <cellStyle name="Calculation 2 2 3 3 2" xfId="21380"/>
    <cellStyle name="Calculation 2 2 3 3 2 2" xfId="22239"/>
    <cellStyle name="Calculation 2 2 3 3 2 3" xfId="22706"/>
    <cellStyle name="Calculation 2 2 3 3 3" xfId="21443"/>
    <cellStyle name="Calculation 2 2 3 4" xfId="752"/>
    <cellStyle name="Calculation 2 2 3 4 2" xfId="21379"/>
    <cellStyle name="Calculation 2 2 3 4 2 2" xfId="22238"/>
    <cellStyle name="Calculation 2 2 3 4 2 3" xfId="22705"/>
    <cellStyle name="Calculation 2 2 3 4 3" xfId="21444"/>
    <cellStyle name="Calculation 2 2 3 5" xfId="21382"/>
    <cellStyle name="Calculation 2 2 3 5 2" xfId="22241"/>
    <cellStyle name="Calculation 2 2 3 5 3" xfId="22708"/>
    <cellStyle name="Calculation 2 2 3 6" xfId="21441"/>
    <cellStyle name="Calculation 2 2 4" xfId="753"/>
    <cellStyle name="Calculation 2 2 4 2" xfId="754"/>
    <cellStyle name="Calculation 2 2 4 2 2" xfId="21377"/>
    <cellStyle name="Calculation 2 2 4 2 2 2" xfId="22236"/>
    <cellStyle name="Calculation 2 2 4 2 2 3" xfId="22703"/>
    <cellStyle name="Calculation 2 2 4 2 3" xfId="21446"/>
    <cellStyle name="Calculation 2 2 4 3" xfId="755"/>
    <cellStyle name="Calculation 2 2 4 3 2" xfId="21376"/>
    <cellStyle name="Calculation 2 2 4 3 2 2" xfId="22235"/>
    <cellStyle name="Calculation 2 2 4 3 2 3" xfId="22702"/>
    <cellStyle name="Calculation 2 2 4 3 3" xfId="21447"/>
    <cellStyle name="Calculation 2 2 4 4" xfId="756"/>
    <cellStyle name="Calculation 2 2 4 4 2" xfId="21375"/>
    <cellStyle name="Calculation 2 2 4 4 2 2" xfId="22234"/>
    <cellStyle name="Calculation 2 2 4 4 2 3" xfId="22701"/>
    <cellStyle name="Calculation 2 2 4 4 3" xfId="21448"/>
    <cellStyle name="Calculation 2 2 4 5" xfId="21378"/>
    <cellStyle name="Calculation 2 2 4 5 2" xfId="22237"/>
    <cellStyle name="Calculation 2 2 4 5 3" xfId="22704"/>
    <cellStyle name="Calculation 2 2 4 6" xfId="21445"/>
    <cellStyle name="Calculation 2 2 5" xfId="757"/>
    <cellStyle name="Calculation 2 2 5 2" xfId="758"/>
    <cellStyle name="Calculation 2 2 5 2 2" xfId="21373"/>
    <cellStyle name="Calculation 2 2 5 2 2 2" xfId="22232"/>
    <cellStyle name="Calculation 2 2 5 2 2 3" xfId="22699"/>
    <cellStyle name="Calculation 2 2 5 2 3" xfId="21450"/>
    <cellStyle name="Calculation 2 2 5 3" xfId="759"/>
    <cellStyle name="Calculation 2 2 5 3 2" xfId="21372"/>
    <cellStyle name="Calculation 2 2 5 3 2 2" xfId="22231"/>
    <cellStyle name="Calculation 2 2 5 3 2 3" xfId="22698"/>
    <cellStyle name="Calculation 2 2 5 3 3" xfId="21451"/>
    <cellStyle name="Calculation 2 2 5 4" xfId="760"/>
    <cellStyle name="Calculation 2 2 5 4 2" xfId="21371"/>
    <cellStyle name="Calculation 2 2 5 4 2 2" xfId="22230"/>
    <cellStyle name="Calculation 2 2 5 4 2 3" xfId="22697"/>
    <cellStyle name="Calculation 2 2 5 4 3" xfId="21452"/>
    <cellStyle name="Calculation 2 2 5 5" xfId="21374"/>
    <cellStyle name="Calculation 2 2 5 5 2" xfId="22233"/>
    <cellStyle name="Calculation 2 2 5 5 3" xfId="22700"/>
    <cellStyle name="Calculation 2 2 5 6" xfId="21449"/>
    <cellStyle name="Calculation 2 2 6" xfId="761"/>
    <cellStyle name="Calculation 2 2 6 2" xfId="21370"/>
    <cellStyle name="Calculation 2 2 6 2 2" xfId="22229"/>
    <cellStyle name="Calculation 2 2 6 2 3" xfId="22696"/>
    <cellStyle name="Calculation 2 2 6 3" xfId="21453"/>
    <cellStyle name="Calculation 2 2 7" xfId="762"/>
    <cellStyle name="Calculation 2 2 7 2" xfId="21369"/>
    <cellStyle name="Calculation 2 2 7 2 2" xfId="22228"/>
    <cellStyle name="Calculation 2 2 7 2 3" xfId="22695"/>
    <cellStyle name="Calculation 2 2 7 3" xfId="21454"/>
    <cellStyle name="Calculation 2 2 8" xfId="763"/>
    <cellStyle name="Calculation 2 2 8 2" xfId="21368"/>
    <cellStyle name="Calculation 2 2 8 2 2" xfId="22227"/>
    <cellStyle name="Calculation 2 2 8 2 3" xfId="22694"/>
    <cellStyle name="Calculation 2 2 8 3" xfId="21455"/>
    <cellStyle name="Calculation 2 2 9" xfId="764"/>
    <cellStyle name="Calculation 2 2 9 2" xfId="21367"/>
    <cellStyle name="Calculation 2 2 9 2 2" xfId="22226"/>
    <cellStyle name="Calculation 2 2 9 2 3" xfId="22693"/>
    <cellStyle name="Calculation 2 2 9 3" xfId="21456"/>
    <cellStyle name="Calculation 2 3" xfId="765"/>
    <cellStyle name="Calculation 2 3 2" xfId="766"/>
    <cellStyle name="Calculation 2 3 2 2" xfId="21366"/>
    <cellStyle name="Calculation 2 3 2 2 2" xfId="22225"/>
    <cellStyle name="Calculation 2 3 2 2 3" xfId="22692"/>
    <cellStyle name="Calculation 2 3 2 3" xfId="21457"/>
    <cellStyle name="Calculation 2 3 3" xfId="767"/>
    <cellStyle name="Calculation 2 3 3 2" xfId="21365"/>
    <cellStyle name="Calculation 2 3 3 2 2" xfId="22224"/>
    <cellStyle name="Calculation 2 3 3 2 3" xfId="22691"/>
    <cellStyle name="Calculation 2 3 3 3" xfId="21458"/>
    <cellStyle name="Calculation 2 3 4" xfId="768"/>
    <cellStyle name="Calculation 2 3 4 2" xfId="21364"/>
    <cellStyle name="Calculation 2 3 4 2 2" xfId="22223"/>
    <cellStyle name="Calculation 2 3 4 2 3" xfId="22690"/>
    <cellStyle name="Calculation 2 3 4 3" xfId="21459"/>
    <cellStyle name="Calculation 2 3 5" xfId="769"/>
    <cellStyle name="Calculation 2 3 5 2" xfId="21363"/>
    <cellStyle name="Calculation 2 3 5 2 2" xfId="22222"/>
    <cellStyle name="Calculation 2 3 5 2 3" xfId="22689"/>
    <cellStyle name="Calculation 2 3 5 3" xfId="21460"/>
    <cellStyle name="Calculation 2 4" xfId="770"/>
    <cellStyle name="Calculation 2 4 2" xfId="771"/>
    <cellStyle name="Calculation 2 4 2 2" xfId="21362"/>
    <cellStyle name="Calculation 2 4 2 2 2" xfId="22221"/>
    <cellStyle name="Calculation 2 4 2 2 3" xfId="22688"/>
    <cellStyle name="Calculation 2 4 2 3" xfId="21461"/>
    <cellStyle name="Calculation 2 4 3" xfId="772"/>
    <cellStyle name="Calculation 2 4 3 2" xfId="21361"/>
    <cellStyle name="Calculation 2 4 3 2 2" xfId="22220"/>
    <cellStyle name="Calculation 2 4 3 2 3" xfId="22687"/>
    <cellStyle name="Calculation 2 4 3 3" xfId="21462"/>
    <cellStyle name="Calculation 2 4 4" xfId="773"/>
    <cellStyle name="Calculation 2 4 4 2" xfId="21360"/>
    <cellStyle name="Calculation 2 4 4 2 2" xfId="22219"/>
    <cellStyle name="Calculation 2 4 4 2 3" xfId="22686"/>
    <cellStyle name="Calculation 2 4 4 3" xfId="21463"/>
    <cellStyle name="Calculation 2 4 5" xfId="774"/>
    <cellStyle name="Calculation 2 4 5 2" xfId="21359"/>
    <cellStyle name="Calculation 2 4 5 2 2" xfId="22218"/>
    <cellStyle name="Calculation 2 4 5 2 3" xfId="22685"/>
    <cellStyle name="Calculation 2 4 5 3" xfId="21464"/>
    <cellStyle name="Calculation 2 5" xfId="775"/>
    <cellStyle name="Calculation 2 5 2" xfId="776"/>
    <cellStyle name="Calculation 2 5 2 2" xfId="21358"/>
    <cellStyle name="Calculation 2 5 2 2 2" xfId="22217"/>
    <cellStyle name="Calculation 2 5 2 2 3" xfId="22684"/>
    <cellStyle name="Calculation 2 5 2 3" xfId="21465"/>
    <cellStyle name="Calculation 2 5 3" xfId="777"/>
    <cellStyle name="Calculation 2 5 3 2" xfId="21357"/>
    <cellStyle name="Calculation 2 5 3 2 2" xfId="22216"/>
    <cellStyle name="Calculation 2 5 3 2 3" xfId="22683"/>
    <cellStyle name="Calculation 2 5 3 3" xfId="21466"/>
    <cellStyle name="Calculation 2 5 4" xfId="778"/>
    <cellStyle name="Calculation 2 5 4 2" xfId="21356"/>
    <cellStyle name="Calculation 2 5 4 2 2" xfId="22215"/>
    <cellStyle name="Calculation 2 5 4 2 3" xfId="22682"/>
    <cellStyle name="Calculation 2 5 4 3" xfId="21467"/>
    <cellStyle name="Calculation 2 5 5" xfId="779"/>
    <cellStyle name="Calculation 2 5 5 2" xfId="21355"/>
    <cellStyle name="Calculation 2 5 5 2 2" xfId="22214"/>
    <cellStyle name="Calculation 2 5 5 2 3" xfId="22681"/>
    <cellStyle name="Calculation 2 5 5 3" xfId="21468"/>
    <cellStyle name="Calculation 2 6" xfId="780"/>
    <cellStyle name="Calculation 2 6 2" xfId="781"/>
    <cellStyle name="Calculation 2 6 2 2" xfId="21354"/>
    <cellStyle name="Calculation 2 6 2 2 2" xfId="22213"/>
    <cellStyle name="Calculation 2 6 2 2 3" xfId="22680"/>
    <cellStyle name="Calculation 2 6 2 3" xfId="21469"/>
    <cellStyle name="Calculation 2 6 3" xfId="782"/>
    <cellStyle name="Calculation 2 6 3 2" xfId="21353"/>
    <cellStyle name="Calculation 2 6 3 2 2" xfId="22212"/>
    <cellStyle name="Calculation 2 6 3 2 3" xfId="22679"/>
    <cellStyle name="Calculation 2 6 3 3" xfId="21470"/>
    <cellStyle name="Calculation 2 6 4" xfId="783"/>
    <cellStyle name="Calculation 2 6 4 2" xfId="21352"/>
    <cellStyle name="Calculation 2 6 4 2 2" xfId="22211"/>
    <cellStyle name="Calculation 2 6 4 2 3" xfId="22678"/>
    <cellStyle name="Calculation 2 6 4 3" xfId="21471"/>
    <cellStyle name="Calculation 2 6 5" xfId="784"/>
    <cellStyle name="Calculation 2 6 5 2" xfId="21351"/>
    <cellStyle name="Calculation 2 6 5 2 2" xfId="22210"/>
    <cellStyle name="Calculation 2 6 5 2 3" xfId="22677"/>
    <cellStyle name="Calculation 2 6 5 3" xfId="21472"/>
    <cellStyle name="Calculation 2 7" xfId="785"/>
    <cellStyle name="Calculation 2 7 2" xfId="786"/>
    <cellStyle name="Calculation 2 7 2 2" xfId="21350"/>
    <cellStyle name="Calculation 2 7 2 2 2" xfId="22209"/>
    <cellStyle name="Calculation 2 7 2 2 3" xfId="22676"/>
    <cellStyle name="Calculation 2 7 2 3" xfId="21473"/>
    <cellStyle name="Calculation 2 7 3" xfId="787"/>
    <cellStyle name="Calculation 2 7 3 2" xfId="21349"/>
    <cellStyle name="Calculation 2 7 3 2 2" xfId="22208"/>
    <cellStyle name="Calculation 2 7 3 2 3" xfId="22675"/>
    <cellStyle name="Calculation 2 7 3 3" xfId="21474"/>
    <cellStyle name="Calculation 2 7 4" xfId="788"/>
    <cellStyle name="Calculation 2 7 4 2" xfId="21348"/>
    <cellStyle name="Calculation 2 7 4 2 2" xfId="22207"/>
    <cellStyle name="Calculation 2 7 4 2 3" xfId="22674"/>
    <cellStyle name="Calculation 2 7 4 3" xfId="21475"/>
    <cellStyle name="Calculation 2 7 5" xfId="789"/>
    <cellStyle name="Calculation 2 7 5 2" xfId="21347"/>
    <cellStyle name="Calculation 2 7 5 2 2" xfId="22206"/>
    <cellStyle name="Calculation 2 7 5 2 3" xfId="22673"/>
    <cellStyle name="Calculation 2 7 5 3" xfId="21476"/>
    <cellStyle name="Calculation 2 8" xfId="790"/>
    <cellStyle name="Calculation 2 8 2" xfId="791"/>
    <cellStyle name="Calculation 2 8 2 2" xfId="21346"/>
    <cellStyle name="Calculation 2 8 2 2 2" xfId="22205"/>
    <cellStyle name="Calculation 2 8 2 2 3" xfId="22672"/>
    <cellStyle name="Calculation 2 8 2 3" xfId="21477"/>
    <cellStyle name="Calculation 2 8 3" xfId="792"/>
    <cellStyle name="Calculation 2 8 3 2" xfId="21345"/>
    <cellStyle name="Calculation 2 8 3 2 2" xfId="22204"/>
    <cellStyle name="Calculation 2 8 3 2 3" xfId="22671"/>
    <cellStyle name="Calculation 2 8 3 3" xfId="21478"/>
    <cellStyle name="Calculation 2 8 4" xfId="793"/>
    <cellStyle name="Calculation 2 8 4 2" xfId="21344"/>
    <cellStyle name="Calculation 2 8 4 2 2" xfId="22203"/>
    <cellStyle name="Calculation 2 8 4 2 3" xfId="22670"/>
    <cellStyle name="Calculation 2 8 4 3" xfId="21479"/>
    <cellStyle name="Calculation 2 8 5" xfId="794"/>
    <cellStyle name="Calculation 2 8 5 2" xfId="21343"/>
    <cellStyle name="Calculation 2 8 5 2 2" xfId="22202"/>
    <cellStyle name="Calculation 2 8 5 2 3" xfId="22669"/>
    <cellStyle name="Calculation 2 8 5 3" xfId="21480"/>
    <cellStyle name="Calculation 2 9" xfId="795"/>
    <cellStyle name="Calculation 2 9 2" xfId="796"/>
    <cellStyle name="Calculation 2 9 2 2" xfId="21342"/>
    <cellStyle name="Calculation 2 9 2 2 2" xfId="22201"/>
    <cellStyle name="Calculation 2 9 2 2 3" xfId="22668"/>
    <cellStyle name="Calculation 2 9 2 3" xfId="21481"/>
    <cellStyle name="Calculation 2 9 3" xfId="797"/>
    <cellStyle name="Calculation 2 9 3 2" xfId="21341"/>
    <cellStyle name="Calculation 2 9 3 2 2" xfId="22200"/>
    <cellStyle name="Calculation 2 9 3 2 3" xfId="22667"/>
    <cellStyle name="Calculation 2 9 3 3" xfId="21482"/>
    <cellStyle name="Calculation 2 9 4" xfId="798"/>
    <cellStyle name="Calculation 2 9 4 2" xfId="21340"/>
    <cellStyle name="Calculation 2 9 4 2 2" xfId="22199"/>
    <cellStyle name="Calculation 2 9 4 2 3" xfId="22666"/>
    <cellStyle name="Calculation 2 9 4 3" xfId="21483"/>
    <cellStyle name="Calculation 2 9 5" xfId="799"/>
    <cellStyle name="Calculation 2 9 5 2" xfId="21339"/>
    <cellStyle name="Calculation 2 9 5 2 2" xfId="22198"/>
    <cellStyle name="Calculation 2 9 5 2 3" xfId="22665"/>
    <cellStyle name="Calculation 2 9 5 3" xfId="21484"/>
    <cellStyle name="Calculation 3" xfId="800"/>
    <cellStyle name="Calculation 3 2" xfId="801"/>
    <cellStyle name="Calculation 3 2 2" xfId="21337"/>
    <cellStyle name="Calculation 3 2 2 2" xfId="22196"/>
    <cellStyle name="Calculation 3 2 2 3" xfId="22663"/>
    <cellStyle name="Calculation 3 2 3" xfId="21486"/>
    <cellStyle name="Calculation 3 3" xfId="802"/>
    <cellStyle name="Calculation 3 3 2" xfId="21336"/>
    <cellStyle name="Calculation 3 3 2 2" xfId="22195"/>
    <cellStyle name="Calculation 3 3 2 3" xfId="22662"/>
    <cellStyle name="Calculation 3 3 3" xfId="21487"/>
    <cellStyle name="Calculation 3 4" xfId="21338"/>
    <cellStyle name="Calculation 3 4 2" xfId="22197"/>
    <cellStyle name="Calculation 3 4 3" xfId="22664"/>
    <cellStyle name="Calculation 3 5" xfId="21485"/>
    <cellStyle name="Calculation 4" xfId="803"/>
    <cellStyle name="Calculation 4 2" xfId="804"/>
    <cellStyle name="Calculation 4 2 2" xfId="21334"/>
    <cellStyle name="Calculation 4 2 2 2" xfId="22193"/>
    <cellStyle name="Calculation 4 2 2 3" xfId="22660"/>
    <cellStyle name="Calculation 4 2 3" xfId="21489"/>
    <cellStyle name="Calculation 4 3" xfId="805"/>
    <cellStyle name="Calculation 4 3 2" xfId="21333"/>
    <cellStyle name="Calculation 4 3 2 2" xfId="22192"/>
    <cellStyle name="Calculation 4 3 2 3" xfId="22659"/>
    <cellStyle name="Calculation 4 3 3" xfId="21490"/>
    <cellStyle name="Calculation 4 4" xfId="21335"/>
    <cellStyle name="Calculation 4 4 2" xfId="22194"/>
    <cellStyle name="Calculation 4 4 3" xfId="22661"/>
    <cellStyle name="Calculation 4 5" xfId="21488"/>
    <cellStyle name="Calculation 5" xfId="806"/>
    <cellStyle name="Calculation 5 2" xfId="807"/>
    <cellStyle name="Calculation 5 2 2" xfId="21331"/>
    <cellStyle name="Calculation 5 2 2 2" xfId="22190"/>
    <cellStyle name="Calculation 5 2 2 3" xfId="22657"/>
    <cellStyle name="Calculation 5 2 3" xfId="21492"/>
    <cellStyle name="Calculation 5 3" xfId="808"/>
    <cellStyle name="Calculation 5 3 2" xfId="21330"/>
    <cellStyle name="Calculation 5 3 2 2" xfId="22189"/>
    <cellStyle name="Calculation 5 3 2 3" xfId="22656"/>
    <cellStyle name="Calculation 5 3 3" xfId="21493"/>
    <cellStyle name="Calculation 5 4" xfId="21332"/>
    <cellStyle name="Calculation 5 4 2" xfId="22191"/>
    <cellStyle name="Calculation 5 4 3" xfId="22658"/>
    <cellStyle name="Calculation 5 5" xfId="21491"/>
    <cellStyle name="Calculation 6" xfId="809"/>
    <cellStyle name="Calculation 6 2" xfId="810"/>
    <cellStyle name="Calculation 6 2 2" xfId="21328"/>
    <cellStyle name="Calculation 6 2 2 2" xfId="22187"/>
    <cellStyle name="Calculation 6 2 2 3" xfId="22654"/>
    <cellStyle name="Calculation 6 2 3" xfId="21495"/>
    <cellStyle name="Calculation 6 3" xfId="811"/>
    <cellStyle name="Calculation 6 3 2" xfId="21327"/>
    <cellStyle name="Calculation 6 3 2 2" xfId="22186"/>
    <cellStyle name="Calculation 6 3 2 3" xfId="22653"/>
    <cellStyle name="Calculation 6 3 3" xfId="21496"/>
    <cellStyle name="Calculation 6 4" xfId="21329"/>
    <cellStyle name="Calculation 6 4 2" xfId="22188"/>
    <cellStyle name="Calculation 6 4 3" xfId="22655"/>
    <cellStyle name="Calculation 6 5" xfId="21494"/>
    <cellStyle name="Calculation 7" xfId="812"/>
    <cellStyle name="Calculation 7 2" xfId="21326"/>
    <cellStyle name="Calculation 7 2 2" xfId="22185"/>
    <cellStyle name="Calculation 7 2 3" xfId="22652"/>
    <cellStyle name="Calculation 7 3" xfId="2149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650"/>
    <cellStyle name="Gia's 10 3" xfId="22270"/>
    <cellStyle name="Gia's 11" xfId="21325"/>
    <cellStyle name="Gia's 11 2" xfId="22651"/>
    <cellStyle name="Gia's 12" xfId="22269"/>
    <cellStyle name="Gia's 2" xfId="9187"/>
    <cellStyle name="Gia's 2 2" xfId="21323"/>
    <cellStyle name="Gia's 2 2 2" xfId="22649"/>
    <cellStyle name="Gia's 2 3" xfId="22271"/>
    <cellStyle name="Gia's 3" xfId="9188"/>
    <cellStyle name="Gia's 3 2" xfId="21322"/>
    <cellStyle name="Gia's 3 2 2" xfId="22648"/>
    <cellStyle name="Gia's 3 3" xfId="22272"/>
    <cellStyle name="Gia's 4" xfId="9189"/>
    <cellStyle name="Gia's 4 2" xfId="21321"/>
    <cellStyle name="Gia's 4 2 2" xfId="22647"/>
    <cellStyle name="Gia's 4 3" xfId="22273"/>
    <cellStyle name="Gia's 5" xfId="9190"/>
    <cellStyle name="Gia's 5 2" xfId="21320"/>
    <cellStyle name="Gia's 5 2 2" xfId="22646"/>
    <cellStyle name="Gia's 5 3" xfId="22274"/>
    <cellStyle name="Gia's 6" xfId="9191"/>
    <cellStyle name="Gia's 6 2" xfId="21319"/>
    <cellStyle name="Gia's 6 2 2" xfId="22645"/>
    <cellStyle name="Gia's 6 3" xfId="22275"/>
    <cellStyle name="Gia's 7" xfId="9192"/>
    <cellStyle name="Gia's 7 2" xfId="21318"/>
    <cellStyle name="Gia's 7 2 2" xfId="22644"/>
    <cellStyle name="Gia's 7 3" xfId="22276"/>
    <cellStyle name="Gia's 8" xfId="9193"/>
    <cellStyle name="Gia's 8 2" xfId="21317"/>
    <cellStyle name="Gia's 8 2 2" xfId="22643"/>
    <cellStyle name="Gia's 8 3" xfId="22277"/>
    <cellStyle name="Gia's 9" xfId="9194"/>
    <cellStyle name="Gia's 9 2" xfId="21316"/>
    <cellStyle name="Gia's 9 2 2" xfId="22642"/>
    <cellStyle name="Gia's 9 3" xfId="22278"/>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641"/>
    <cellStyle name="greyed 3" xfId="22279"/>
    <cellStyle name="Header1" xfId="9222"/>
    <cellStyle name="Header1 2" xfId="9223"/>
    <cellStyle name="Header1 3" xfId="9224"/>
    <cellStyle name="Header2" xfId="9225"/>
    <cellStyle name="Header2 2" xfId="9226"/>
    <cellStyle name="Header2 2 2" xfId="21313"/>
    <cellStyle name="Header2 2 2 2" xfId="22183"/>
    <cellStyle name="Header2 2 2 3" xfId="22639"/>
    <cellStyle name="Header2 3" xfId="9227"/>
    <cellStyle name="Header2 3 2" xfId="21312"/>
    <cellStyle name="Header2 3 2 2" xfId="22182"/>
    <cellStyle name="Header2 3 2 3" xfId="22638"/>
    <cellStyle name="Header2 4" xfId="21314"/>
    <cellStyle name="Header2 4 2" xfId="22184"/>
    <cellStyle name="Header2 4 3" xfId="22640"/>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637"/>
    <cellStyle name="HeadingTable 3" xfId="22280"/>
    <cellStyle name="highlightExposure" xfId="9323"/>
    <cellStyle name="highlightExposure 2" xfId="21310"/>
    <cellStyle name="highlightExposure 2 2" xfId="22636"/>
    <cellStyle name="highlightExposure 3" xfId="22281"/>
    <cellStyle name="highlightPercentage" xfId="9324"/>
    <cellStyle name="highlightPercentage 2" xfId="21309"/>
    <cellStyle name="highlightPercentage 2 2" xfId="22635"/>
    <cellStyle name="highlightPercentage 3" xfId="22282"/>
    <cellStyle name="highlightText" xfId="9325"/>
    <cellStyle name="highlightText 2" xfId="21308"/>
    <cellStyle name="highlightText 2 2" xfId="22634"/>
    <cellStyle name="highlightText 3" xfId="2228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2 3" xfId="22632"/>
    <cellStyle name="Input 2 10 2 3" xfId="21499"/>
    <cellStyle name="Input 2 10 3" xfId="9336"/>
    <cellStyle name="Input 2 10 3 2" xfId="21305"/>
    <cellStyle name="Input 2 10 3 2 2" xfId="22179"/>
    <cellStyle name="Input 2 10 3 2 3" xfId="22631"/>
    <cellStyle name="Input 2 10 3 3" xfId="21500"/>
    <cellStyle name="Input 2 10 4" xfId="9337"/>
    <cellStyle name="Input 2 10 4 2" xfId="21304"/>
    <cellStyle name="Input 2 10 4 2 2" xfId="22178"/>
    <cellStyle name="Input 2 10 4 2 3" xfId="22630"/>
    <cellStyle name="Input 2 10 4 3" xfId="21501"/>
    <cellStyle name="Input 2 10 5" xfId="9338"/>
    <cellStyle name="Input 2 10 5 2" xfId="21303"/>
    <cellStyle name="Input 2 10 5 2 2" xfId="22177"/>
    <cellStyle name="Input 2 10 5 2 3" xfId="22629"/>
    <cellStyle name="Input 2 10 5 3" xfId="21502"/>
    <cellStyle name="Input 2 11" xfId="9339"/>
    <cellStyle name="Input 2 11 2" xfId="9340"/>
    <cellStyle name="Input 2 11 2 2" xfId="21301"/>
    <cellStyle name="Input 2 11 2 2 2" xfId="22175"/>
    <cellStyle name="Input 2 11 2 2 3" xfId="22627"/>
    <cellStyle name="Input 2 11 2 3" xfId="21504"/>
    <cellStyle name="Input 2 11 3" xfId="9341"/>
    <cellStyle name="Input 2 11 3 2" xfId="21300"/>
    <cellStyle name="Input 2 11 3 2 2" xfId="22174"/>
    <cellStyle name="Input 2 11 3 2 3" xfId="22626"/>
    <cellStyle name="Input 2 11 3 3" xfId="21505"/>
    <cellStyle name="Input 2 11 4" xfId="9342"/>
    <cellStyle name="Input 2 11 4 2" xfId="21299"/>
    <cellStyle name="Input 2 11 4 2 2" xfId="22173"/>
    <cellStyle name="Input 2 11 4 2 3" xfId="22625"/>
    <cellStyle name="Input 2 11 4 3" xfId="21506"/>
    <cellStyle name="Input 2 11 5" xfId="9343"/>
    <cellStyle name="Input 2 11 5 2" xfId="21298"/>
    <cellStyle name="Input 2 11 5 2 2" xfId="22172"/>
    <cellStyle name="Input 2 11 5 2 3" xfId="22624"/>
    <cellStyle name="Input 2 11 5 3" xfId="21507"/>
    <cellStyle name="Input 2 11 6" xfId="21302"/>
    <cellStyle name="Input 2 11 6 2" xfId="22176"/>
    <cellStyle name="Input 2 11 6 3" xfId="22628"/>
    <cellStyle name="Input 2 11 7" xfId="21503"/>
    <cellStyle name="Input 2 12" xfId="9344"/>
    <cellStyle name="Input 2 12 2" xfId="9345"/>
    <cellStyle name="Input 2 12 2 2" xfId="21296"/>
    <cellStyle name="Input 2 12 2 2 2" xfId="22170"/>
    <cellStyle name="Input 2 12 2 2 3" xfId="22622"/>
    <cellStyle name="Input 2 12 2 3" xfId="21509"/>
    <cellStyle name="Input 2 12 3" xfId="9346"/>
    <cellStyle name="Input 2 12 3 2" xfId="21295"/>
    <cellStyle name="Input 2 12 3 2 2" xfId="22169"/>
    <cellStyle name="Input 2 12 3 2 3" xfId="22621"/>
    <cellStyle name="Input 2 12 3 3" xfId="21510"/>
    <cellStyle name="Input 2 12 4" xfId="9347"/>
    <cellStyle name="Input 2 12 4 2" xfId="21294"/>
    <cellStyle name="Input 2 12 4 2 2" xfId="22168"/>
    <cellStyle name="Input 2 12 4 2 3" xfId="22620"/>
    <cellStyle name="Input 2 12 4 3" xfId="21511"/>
    <cellStyle name="Input 2 12 5" xfId="9348"/>
    <cellStyle name="Input 2 12 5 2" xfId="21293"/>
    <cellStyle name="Input 2 12 5 2 2" xfId="22167"/>
    <cellStyle name="Input 2 12 5 2 3" xfId="22619"/>
    <cellStyle name="Input 2 12 5 3" xfId="21512"/>
    <cellStyle name="Input 2 12 6" xfId="21297"/>
    <cellStyle name="Input 2 12 6 2" xfId="22171"/>
    <cellStyle name="Input 2 12 6 3" xfId="22623"/>
    <cellStyle name="Input 2 12 7" xfId="21508"/>
    <cellStyle name="Input 2 13" xfId="9349"/>
    <cellStyle name="Input 2 13 2" xfId="9350"/>
    <cellStyle name="Input 2 13 2 2" xfId="21291"/>
    <cellStyle name="Input 2 13 2 2 2" xfId="22165"/>
    <cellStyle name="Input 2 13 2 2 3" xfId="22617"/>
    <cellStyle name="Input 2 13 2 3" xfId="21514"/>
    <cellStyle name="Input 2 13 3" xfId="9351"/>
    <cellStyle name="Input 2 13 3 2" xfId="21290"/>
    <cellStyle name="Input 2 13 3 2 2" xfId="22164"/>
    <cellStyle name="Input 2 13 3 2 3" xfId="22616"/>
    <cellStyle name="Input 2 13 3 3" xfId="21515"/>
    <cellStyle name="Input 2 13 4" xfId="9352"/>
    <cellStyle name="Input 2 13 4 2" xfId="21289"/>
    <cellStyle name="Input 2 13 4 2 2" xfId="22163"/>
    <cellStyle name="Input 2 13 4 2 3" xfId="22615"/>
    <cellStyle name="Input 2 13 4 3" xfId="21516"/>
    <cellStyle name="Input 2 13 5" xfId="21292"/>
    <cellStyle name="Input 2 13 5 2" xfId="22166"/>
    <cellStyle name="Input 2 13 5 3" xfId="22618"/>
    <cellStyle name="Input 2 13 6" xfId="21513"/>
    <cellStyle name="Input 2 14" xfId="9353"/>
    <cellStyle name="Input 2 14 2" xfId="21288"/>
    <cellStyle name="Input 2 14 2 2" xfId="22162"/>
    <cellStyle name="Input 2 14 2 3" xfId="22614"/>
    <cellStyle name="Input 2 14 3" xfId="21517"/>
    <cellStyle name="Input 2 15" xfId="9354"/>
    <cellStyle name="Input 2 15 2" xfId="21287"/>
    <cellStyle name="Input 2 15 2 2" xfId="22161"/>
    <cellStyle name="Input 2 15 2 3" xfId="22613"/>
    <cellStyle name="Input 2 15 3" xfId="21518"/>
    <cellStyle name="Input 2 16" xfId="9355"/>
    <cellStyle name="Input 2 16 2" xfId="21286"/>
    <cellStyle name="Input 2 16 2 2" xfId="22160"/>
    <cellStyle name="Input 2 16 2 3" xfId="22612"/>
    <cellStyle name="Input 2 16 3" xfId="21519"/>
    <cellStyle name="Input 2 17" xfId="21307"/>
    <cellStyle name="Input 2 17 2" xfId="22181"/>
    <cellStyle name="Input 2 17 3" xfId="22633"/>
    <cellStyle name="Input 2 18" xfId="21498"/>
    <cellStyle name="Input 2 2" xfId="9356"/>
    <cellStyle name="Input 2 2 10" xfId="21285"/>
    <cellStyle name="Input 2 2 10 2" xfId="22159"/>
    <cellStyle name="Input 2 2 10 3" xfId="22611"/>
    <cellStyle name="Input 2 2 11" xfId="21520"/>
    <cellStyle name="Input 2 2 2" xfId="9357"/>
    <cellStyle name="Input 2 2 2 2" xfId="9358"/>
    <cellStyle name="Input 2 2 2 2 2" xfId="21283"/>
    <cellStyle name="Input 2 2 2 2 2 2" xfId="22157"/>
    <cellStyle name="Input 2 2 2 2 2 3" xfId="22609"/>
    <cellStyle name="Input 2 2 2 2 3" xfId="21522"/>
    <cellStyle name="Input 2 2 2 3" xfId="9359"/>
    <cellStyle name="Input 2 2 2 3 2" xfId="21282"/>
    <cellStyle name="Input 2 2 2 3 2 2" xfId="22156"/>
    <cellStyle name="Input 2 2 2 3 2 3" xfId="22608"/>
    <cellStyle name="Input 2 2 2 3 3" xfId="21523"/>
    <cellStyle name="Input 2 2 2 4" xfId="9360"/>
    <cellStyle name="Input 2 2 2 4 2" xfId="21281"/>
    <cellStyle name="Input 2 2 2 4 2 2" xfId="22155"/>
    <cellStyle name="Input 2 2 2 4 2 3" xfId="22607"/>
    <cellStyle name="Input 2 2 2 4 3" xfId="21524"/>
    <cellStyle name="Input 2 2 2 5" xfId="21284"/>
    <cellStyle name="Input 2 2 2 5 2" xfId="22158"/>
    <cellStyle name="Input 2 2 2 5 3" xfId="22610"/>
    <cellStyle name="Input 2 2 2 6" xfId="21521"/>
    <cellStyle name="Input 2 2 3" xfId="9361"/>
    <cellStyle name="Input 2 2 3 2" xfId="9362"/>
    <cellStyle name="Input 2 2 3 2 2" xfId="21279"/>
    <cellStyle name="Input 2 2 3 2 2 2" xfId="22153"/>
    <cellStyle name="Input 2 2 3 2 2 3" xfId="22605"/>
    <cellStyle name="Input 2 2 3 2 3" xfId="21526"/>
    <cellStyle name="Input 2 2 3 3" xfId="9363"/>
    <cellStyle name="Input 2 2 3 3 2" xfId="21278"/>
    <cellStyle name="Input 2 2 3 3 2 2" xfId="22152"/>
    <cellStyle name="Input 2 2 3 3 2 3" xfId="22604"/>
    <cellStyle name="Input 2 2 3 3 3" xfId="21527"/>
    <cellStyle name="Input 2 2 3 4" xfId="9364"/>
    <cellStyle name="Input 2 2 3 4 2" xfId="21277"/>
    <cellStyle name="Input 2 2 3 4 2 2" xfId="22151"/>
    <cellStyle name="Input 2 2 3 4 2 3" xfId="22603"/>
    <cellStyle name="Input 2 2 3 4 3" xfId="21528"/>
    <cellStyle name="Input 2 2 3 5" xfId="21280"/>
    <cellStyle name="Input 2 2 3 5 2" xfId="22154"/>
    <cellStyle name="Input 2 2 3 5 3" xfId="22606"/>
    <cellStyle name="Input 2 2 3 6" xfId="21525"/>
    <cellStyle name="Input 2 2 4" xfId="9365"/>
    <cellStyle name="Input 2 2 4 2" xfId="9366"/>
    <cellStyle name="Input 2 2 4 2 2" xfId="21275"/>
    <cellStyle name="Input 2 2 4 2 2 2" xfId="22149"/>
    <cellStyle name="Input 2 2 4 2 2 3" xfId="22601"/>
    <cellStyle name="Input 2 2 4 2 3" xfId="21530"/>
    <cellStyle name="Input 2 2 4 3" xfId="9367"/>
    <cellStyle name="Input 2 2 4 3 2" xfId="21274"/>
    <cellStyle name="Input 2 2 4 3 2 2" xfId="22148"/>
    <cellStyle name="Input 2 2 4 3 2 3" xfId="22600"/>
    <cellStyle name="Input 2 2 4 3 3" xfId="21531"/>
    <cellStyle name="Input 2 2 4 4" xfId="9368"/>
    <cellStyle name="Input 2 2 4 4 2" xfId="21273"/>
    <cellStyle name="Input 2 2 4 4 2 2" xfId="22147"/>
    <cellStyle name="Input 2 2 4 4 2 3" xfId="22599"/>
    <cellStyle name="Input 2 2 4 4 3" xfId="21532"/>
    <cellStyle name="Input 2 2 4 5" xfId="21276"/>
    <cellStyle name="Input 2 2 4 5 2" xfId="22150"/>
    <cellStyle name="Input 2 2 4 5 3" xfId="22602"/>
    <cellStyle name="Input 2 2 4 6" xfId="21529"/>
    <cellStyle name="Input 2 2 5" xfId="9369"/>
    <cellStyle name="Input 2 2 5 2" xfId="9370"/>
    <cellStyle name="Input 2 2 5 2 2" xfId="21271"/>
    <cellStyle name="Input 2 2 5 2 2 2" xfId="22145"/>
    <cellStyle name="Input 2 2 5 2 2 3" xfId="22597"/>
    <cellStyle name="Input 2 2 5 2 3" xfId="21534"/>
    <cellStyle name="Input 2 2 5 3" xfId="9371"/>
    <cellStyle name="Input 2 2 5 3 2" xfId="21270"/>
    <cellStyle name="Input 2 2 5 3 2 2" xfId="22144"/>
    <cellStyle name="Input 2 2 5 3 2 3" xfId="22596"/>
    <cellStyle name="Input 2 2 5 3 3" xfId="21535"/>
    <cellStyle name="Input 2 2 5 4" xfId="9372"/>
    <cellStyle name="Input 2 2 5 4 2" xfId="21269"/>
    <cellStyle name="Input 2 2 5 4 2 2" xfId="22143"/>
    <cellStyle name="Input 2 2 5 4 2 3" xfId="22595"/>
    <cellStyle name="Input 2 2 5 4 3" xfId="21536"/>
    <cellStyle name="Input 2 2 5 5" xfId="21272"/>
    <cellStyle name="Input 2 2 5 5 2" xfId="22146"/>
    <cellStyle name="Input 2 2 5 5 3" xfId="22598"/>
    <cellStyle name="Input 2 2 5 6" xfId="21533"/>
    <cellStyle name="Input 2 2 6" xfId="9373"/>
    <cellStyle name="Input 2 2 6 2" xfId="21268"/>
    <cellStyle name="Input 2 2 6 2 2" xfId="22142"/>
    <cellStyle name="Input 2 2 6 2 3" xfId="22594"/>
    <cellStyle name="Input 2 2 6 3" xfId="21537"/>
    <cellStyle name="Input 2 2 7" xfId="9374"/>
    <cellStyle name="Input 2 2 7 2" xfId="21267"/>
    <cellStyle name="Input 2 2 7 2 2" xfId="22141"/>
    <cellStyle name="Input 2 2 7 2 3" xfId="22593"/>
    <cellStyle name="Input 2 2 7 3" xfId="21538"/>
    <cellStyle name="Input 2 2 8" xfId="9375"/>
    <cellStyle name="Input 2 2 8 2" xfId="21266"/>
    <cellStyle name="Input 2 2 8 2 2" xfId="22140"/>
    <cellStyle name="Input 2 2 8 2 3" xfId="22592"/>
    <cellStyle name="Input 2 2 8 3" xfId="21539"/>
    <cellStyle name="Input 2 2 9" xfId="9376"/>
    <cellStyle name="Input 2 2 9 2" xfId="21265"/>
    <cellStyle name="Input 2 2 9 2 2" xfId="22139"/>
    <cellStyle name="Input 2 2 9 2 3" xfId="22591"/>
    <cellStyle name="Input 2 2 9 3" xfId="21540"/>
    <cellStyle name="Input 2 3" xfId="9377"/>
    <cellStyle name="Input 2 3 2" xfId="9378"/>
    <cellStyle name="Input 2 3 2 2" xfId="21264"/>
    <cellStyle name="Input 2 3 2 2 2" xfId="22138"/>
    <cellStyle name="Input 2 3 2 2 3" xfId="22590"/>
    <cellStyle name="Input 2 3 2 3" xfId="21541"/>
    <cellStyle name="Input 2 3 3" xfId="9379"/>
    <cellStyle name="Input 2 3 3 2" xfId="21263"/>
    <cellStyle name="Input 2 3 3 2 2" xfId="22137"/>
    <cellStyle name="Input 2 3 3 2 3" xfId="22589"/>
    <cellStyle name="Input 2 3 3 3" xfId="21542"/>
    <cellStyle name="Input 2 3 4" xfId="9380"/>
    <cellStyle name="Input 2 3 4 2" xfId="21262"/>
    <cellStyle name="Input 2 3 4 2 2" xfId="22136"/>
    <cellStyle name="Input 2 3 4 2 3" xfId="22588"/>
    <cellStyle name="Input 2 3 4 3" xfId="21543"/>
    <cellStyle name="Input 2 3 5" xfId="9381"/>
    <cellStyle name="Input 2 3 5 2" xfId="21261"/>
    <cellStyle name="Input 2 3 5 2 2" xfId="22135"/>
    <cellStyle name="Input 2 3 5 2 3" xfId="22587"/>
    <cellStyle name="Input 2 3 5 3" xfId="21544"/>
    <cellStyle name="Input 2 4" xfId="9382"/>
    <cellStyle name="Input 2 4 2" xfId="9383"/>
    <cellStyle name="Input 2 4 2 2" xfId="21260"/>
    <cellStyle name="Input 2 4 2 2 2" xfId="22134"/>
    <cellStyle name="Input 2 4 2 2 3" xfId="22586"/>
    <cellStyle name="Input 2 4 2 3" xfId="21545"/>
    <cellStyle name="Input 2 4 3" xfId="9384"/>
    <cellStyle name="Input 2 4 3 2" xfId="21259"/>
    <cellStyle name="Input 2 4 3 2 2" xfId="22133"/>
    <cellStyle name="Input 2 4 3 2 3" xfId="22585"/>
    <cellStyle name="Input 2 4 3 3" xfId="21546"/>
    <cellStyle name="Input 2 4 4" xfId="9385"/>
    <cellStyle name="Input 2 4 4 2" xfId="21258"/>
    <cellStyle name="Input 2 4 4 2 2" xfId="22132"/>
    <cellStyle name="Input 2 4 4 2 3" xfId="22584"/>
    <cellStyle name="Input 2 4 4 3" xfId="21547"/>
    <cellStyle name="Input 2 4 5" xfId="9386"/>
    <cellStyle name="Input 2 4 5 2" xfId="21257"/>
    <cellStyle name="Input 2 4 5 2 2" xfId="22131"/>
    <cellStyle name="Input 2 4 5 2 3" xfId="22583"/>
    <cellStyle name="Input 2 4 5 3" xfId="21548"/>
    <cellStyle name="Input 2 5" xfId="9387"/>
    <cellStyle name="Input 2 5 2" xfId="9388"/>
    <cellStyle name="Input 2 5 2 2" xfId="21256"/>
    <cellStyle name="Input 2 5 2 2 2" xfId="22130"/>
    <cellStyle name="Input 2 5 2 2 3" xfId="22582"/>
    <cellStyle name="Input 2 5 2 3" xfId="21549"/>
    <cellStyle name="Input 2 5 3" xfId="9389"/>
    <cellStyle name="Input 2 5 3 2" xfId="21255"/>
    <cellStyle name="Input 2 5 3 2 2" xfId="22129"/>
    <cellStyle name="Input 2 5 3 2 3" xfId="22581"/>
    <cellStyle name="Input 2 5 3 3" xfId="21550"/>
    <cellStyle name="Input 2 5 4" xfId="9390"/>
    <cellStyle name="Input 2 5 4 2" xfId="21254"/>
    <cellStyle name="Input 2 5 4 2 2" xfId="22128"/>
    <cellStyle name="Input 2 5 4 2 3" xfId="22580"/>
    <cellStyle name="Input 2 5 4 3" xfId="21551"/>
    <cellStyle name="Input 2 5 5" xfId="9391"/>
    <cellStyle name="Input 2 5 5 2" xfId="21253"/>
    <cellStyle name="Input 2 5 5 2 2" xfId="22127"/>
    <cellStyle name="Input 2 5 5 2 3" xfId="22579"/>
    <cellStyle name="Input 2 5 5 3" xfId="21552"/>
    <cellStyle name="Input 2 6" xfId="9392"/>
    <cellStyle name="Input 2 6 2" xfId="9393"/>
    <cellStyle name="Input 2 6 2 2" xfId="21252"/>
    <cellStyle name="Input 2 6 2 2 2" xfId="22126"/>
    <cellStyle name="Input 2 6 2 2 3" xfId="22578"/>
    <cellStyle name="Input 2 6 2 3" xfId="21553"/>
    <cellStyle name="Input 2 6 3" xfId="9394"/>
    <cellStyle name="Input 2 6 3 2" xfId="21251"/>
    <cellStyle name="Input 2 6 3 2 2" xfId="22125"/>
    <cellStyle name="Input 2 6 3 2 3" xfId="22577"/>
    <cellStyle name="Input 2 6 3 3" xfId="21554"/>
    <cellStyle name="Input 2 6 4" xfId="9395"/>
    <cellStyle name="Input 2 6 4 2" xfId="21250"/>
    <cellStyle name="Input 2 6 4 2 2" xfId="22124"/>
    <cellStyle name="Input 2 6 4 2 3" xfId="22576"/>
    <cellStyle name="Input 2 6 4 3" xfId="21555"/>
    <cellStyle name="Input 2 6 5" xfId="9396"/>
    <cellStyle name="Input 2 6 5 2" xfId="21249"/>
    <cellStyle name="Input 2 6 5 2 2" xfId="22123"/>
    <cellStyle name="Input 2 6 5 2 3" xfId="22575"/>
    <cellStyle name="Input 2 6 5 3" xfId="21556"/>
    <cellStyle name="Input 2 7" xfId="9397"/>
    <cellStyle name="Input 2 7 2" xfId="9398"/>
    <cellStyle name="Input 2 7 2 2" xfId="21248"/>
    <cellStyle name="Input 2 7 2 2 2" xfId="22122"/>
    <cellStyle name="Input 2 7 2 2 3" xfId="22574"/>
    <cellStyle name="Input 2 7 2 3" xfId="21557"/>
    <cellStyle name="Input 2 7 3" xfId="9399"/>
    <cellStyle name="Input 2 7 3 2" xfId="21247"/>
    <cellStyle name="Input 2 7 3 2 2" xfId="22121"/>
    <cellStyle name="Input 2 7 3 2 3" xfId="22573"/>
    <cellStyle name="Input 2 7 3 3" xfId="21558"/>
    <cellStyle name="Input 2 7 4" xfId="9400"/>
    <cellStyle name="Input 2 7 4 2" xfId="21246"/>
    <cellStyle name="Input 2 7 4 2 2" xfId="22120"/>
    <cellStyle name="Input 2 7 4 2 3" xfId="22572"/>
    <cellStyle name="Input 2 7 4 3" xfId="21559"/>
    <cellStyle name="Input 2 7 5" xfId="9401"/>
    <cellStyle name="Input 2 7 5 2" xfId="21245"/>
    <cellStyle name="Input 2 7 5 2 2" xfId="22119"/>
    <cellStyle name="Input 2 7 5 2 3" xfId="22571"/>
    <cellStyle name="Input 2 7 5 3" xfId="21560"/>
    <cellStyle name="Input 2 8" xfId="9402"/>
    <cellStyle name="Input 2 8 2" xfId="9403"/>
    <cellStyle name="Input 2 8 2 2" xfId="21244"/>
    <cellStyle name="Input 2 8 2 2 2" xfId="22118"/>
    <cellStyle name="Input 2 8 2 2 3" xfId="22570"/>
    <cellStyle name="Input 2 8 2 3" xfId="21561"/>
    <cellStyle name="Input 2 8 3" xfId="9404"/>
    <cellStyle name="Input 2 8 3 2" xfId="21243"/>
    <cellStyle name="Input 2 8 3 2 2" xfId="22117"/>
    <cellStyle name="Input 2 8 3 2 3" xfId="22569"/>
    <cellStyle name="Input 2 8 3 3" xfId="21562"/>
    <cellStyle name="Input 2 8 4" xfId="9405"/>
    <cellStyle name="Input 2 8 4 2" xfId="21242"/>
    <cellStyle name="Input 2 8 4 2 2" xfId="22116"/>
    <cellStyle name="Input 2 8 4 2 3" xfId="22568"/>
    <cellStyle name="Input 2 8 4 3" xfId="21563"/>
    <cellStyle name="Input 2 8 5" xfId="9406"/>
    <cellStyle name="Input 2 8 5 2" xfId="21241"/>
    <cellStyle name="Input 2 8 5 2 2" xfId="22115"/>
    <cellStyle name="Input 2 8 5 2 3" xfId="22567"/>
    <cellStyle name="Input 2 8 5 3" xfId="21564"/>
    <cellStyle name="Input 2 9" xfId="9407"/>
    <cellStyle name="Input 2 9 2" xfId="9408"/>
    <cellStyle name="Input 2 9 2 2" xfId="21240"/>
    <cellStyle name="Input 2 9 2 2 2" xfId="22114"/>
    <cellStyle name="Input 2 9 2 2 3" xfId="22566"/>
    <cellStyle name="Input 2 9 2 3" xfId="21565"/>
    <cellStyle name="Input 2 9 3" xfId="9409"/>
    <cellStyle name="Input 2 9 3 2" xfId="21239"/>
    <cellStyle name="Input 2 9 3 2 2" xfId="22113"/>
    <cellStyle name="Input 2 9 3 2 3" xfId="22565"/>
    <cellStyle name="Input 2 9 3 3" xfId="21566"/>
    <cellStyle name="Input 2 9 4" xfId="9410"/>
    <cellStyle name="Input 2 9 4 2" xfId="21238"/>
    <cellStyle name="Input 2 9 4 2 2" xfId="22112"/>
    <cellStyle name="Input 2 9 4 2 3" xfId="22564"/>
    <cellStyle name="Input 2 9 4 3" xfId="21567"/>
    <cellStyle name="Input 2 9 5" xfId="9411"/>
    <cellStyle name="Input 2 9 5 2" xfId="21237"/>
    <cellStyle name="Input 2 9 5 2 2" xfId="22111"/>
    <cellStyle name="Input 2 9 5 2 3" xfId="22563"/>
    <cellStyle name="Input 2 9 5 3" xfId="21568"/>
    <cellStyle name="Input 3" xfId="9412"/>
    <cellStyle name="Input 3 2" xfId="9413"/>
    <cellStyle name="Input 3 2 2" xfId="21235"/>
    <cellStyle name="Input 3 2 2 2" xfId="22109"/>
    <cellStyle name="Input 3 2 2 3" xfId="22561"/>
    <cellStyle name="Input 3 2 3" xfId="21570"/>
    <cellStyle name="Input 3 3" xfId="9414"/>
    <cellStyle name="Input 3 3 2" xfId="21234"/>
    <cellStyle name="Input 3 3 2 2" xfId="22108"/>
    <cellStyle name="Input 3 3 2 3" xfId="22560"/>
    <cellStyle name="Input 3 3 3" xfId="21571"/>
    <cellStyle name="Input 3 4" xfId="21236"/>
    <cellStyle name="Input 3 4 2" xfId="22110"/>
    <cellStyle name="Input 3 4 3" xfId="22562"/>
    <cellStyle name="Input 3 5" xfId="21569"/>
    <cellStyle name="Input 4" xfId="9415"/>
    <cellStyle name="Input 4 2" xfId="9416"/>
    <cellStyle name="Input 4 2 2" xfId="21232"/>
    <cellStyle name="Input 4 2 2 2" xfId="22106"/>
    <cellStyle name="Input 4 2 2 3" xfId="22558"/>
    <cellStyle name="Input 4 2 3" xfId="21573"/>
    <cellStyle name="Input 4 3" xfId="9417"/>
    <cellStyle name="Input 4 3 2" xfId="21231"/>
    <cellStyle name="Input 4 3 2 2" xfId="22105"/>
    <cellStyle name="Input 4 3 2 3" xfId="22557"/>
    <cellStyle name="Input 4 3 3" xfId="21574"/>
    <cellStyle name="Input 4 4" xfId="21233"/>
    <cellStyle name="Input 4 4 2" xfId="22107"/>
    <cellStyle name="Input 4 4 3" xfId="22559"/>
    <cellStyle name="Input 4 5" xfId="21572"/>
    <cellStyle name="Input 5" xfId="9418"/>
    <cellStyle name="Input 5 2" xfId="9419"/>
    <cellStyle name="Input 5 2 2" xfId="21229"/>
    <cellStyle name="Input 5 2 2 2" xfId="22103"/>
    <cellStyle name="Input 5 2 2 3" xfId="22555"/>
    <cellStyle name="Input 5 2 3" xfId="21576"/>
    <cellStyle name="Input 5 3" xfId="9420"/>
    <cellStyle name="Input 5 3 2" xfId="21228"/>
    <cellStyle name="Input 5 3 2 2" xfId="22102"/>
    <cellStyle name="Input 5 3 2 3" xfId="22554"/>
    <cellStyle name="Input 5 3 3" xfId="21577"/>
    <cellStyle name="Input 5 4" xfId="21230"/>
    <cellStyle name="Input 5 4 2" xfId="22104"/>
    <cellStyle name="Input 5 4 3" xfId="22556"/>
    <cellStyle name="Input 5 5" xfId="21575"/>
    <cellStyle name="Input 6" xfId="9421"/>
    <cellStyle name="Input 6 2" xfId="9422"/>
    <cellStyle name="Input 6 2 2" xfId="21226"/>
    <cellStyle name="Input 6 2 2 2" xfId="22100"/>
    <cellStyle name="Input 6 2 2 3" xfId="22552"/>
    <cellStyle name="Input 6 2 3" xfId="21579"/>
    <cellStyle name="Input 6 3" xfId="9423"/>
    <cellStyle name="Input 6 3 2" xfId="21225"/>
    <cellStyle name="Input 6 3 2 2" xfId="22099"/>
    <cellStyle name="Input 6 3 2 3" xfId="22551"/>
    <cellStyle name="Input 6 3 3" xfId="21580"/>
    <cellStyle name="Input 6 4" xfId="21227"/>
    <cellStyle name="Input 6 4 2" xfId="22101"/>
    <cellStyle name="Input 6 4 3" xfId="22553"/>
    <cellStyle name="Input 6 5" xfId="21578"/>
    <cellStyle name="Input 7" xfId="9424"/>
    <cellStyle name="Input 7 2" xfId="21224"/>
    <cellStyle name="Input 7 2 2" xfId="22098"/>
    <cellStyle name="Input 7 2 3" xfId="22550"/>
    <cellStyle name="Input 7 3" xfId="21581"/>
    <cellStyle name="inputExposure" xfId="9425"/>
    <cellStyle name="inputExposure 2" xfId="21223"/>
    <cellStyle name="inputExposure 2 2" xfId="22549"/>
    <cellStyle name="inputExposure 3" xfId="22284"/>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2 3" xfId="22547"/>
    <cellStyle name="Note 2 10 2 3" xfId="21583"/>
    <cellStyle name="Note 2 10 3" xfId="20386"/>
    <cellStyle name="Note 2 10 3 2" xfId="21220"/>
    <cellStyle name="Note 2 10 3 2 2" xfId="22095"/>
    <cellStyle name="Note 2 10 3 2 3" xfId="22546"/>
    <cellStyle name="Note 2 10 3 3" xfId="21584"/>
    <cellStyle name="Note 2 10 4" xfId="20387"/>
    <cellStyle name="Note 2 10 4 2" xfId="21219"/>
    <cellStyle name="Note 2 10 4 2 2" xfId="22094"/>
    <cellStyle name="Note 2 10 4 2 3" xfId="22545"/>
    <cellStyle name="Note 2 10 4 3" xfId="21585"/>
    <cellStyle name="Note 2 10 5" xfId="20388"/>
    <cellStyle name="Note 2 10 5 2" xfId="21218"/>
    <cellStyle name="Note 2 10 5 2 2" xfId="22093"/>
    <cellStyle name="Note 2 10 5 2 3" xfId="22544"/>
    <cellStyle name="Note 2 10 5 3" xfId="21586"/>
    <cellStyle name="Note 2 11" xfId="20389"/>
    <cellStyle name="Note 2 11 2" xfId="20390"/>
    <cellStyle name="Note 2 11 2 2" xfId="21217"/>
    <cellStyle name="Note 2 11 2 2 2" xfId="22092"/>
    <cellStyle name="Note 2 11 2 2 3" xfId="22543"/>
    <cellStyle name="Note 2 11 2 3" xfId="21587"/>
    <cellStyle name="Note 2 11 3" xfId="20391"/>
    <cellStyle name="Note 2 11 3 2" xfId="21216"/>
    <cellStyle name="Note 2 11 3 2 2" xfId="22091"/>
    <cellStyle name="Note 2 11 3 2 3" xfId="22542"/>
    <cellStyle name="Note 2 11 3 3" xfId="21588"/>
    <cellStyle name="Note 2 11 4" xfId="20392"/>
    <cellStyle name="Note 2 11 4 2" xfId="21215"/>
    <cellStyle name="Note 2 11 4 2 2" xfId="22090"/>
    <cellStyle name="Note 2 11 4 2 3" xfId="22541"/>
    <cellStyle name="Note 2 11 4 3" xfId="21589"/>
    <cellStyle name="Note 2 11 5" xfId="20393"/>
    <cellStyle name="Note 2 11 5 2" xfId="21214"/>
    <cellStyle name="Note 2 11 5 2 2" xfId="22089"/>
    <cellStyle name="Note 2 11 5 2 3" xfId="22540"/>
    <cellStyle name="Note 2 11 5 3" xfId="21590"/>
    <cellStyle name="Note 2 12" xfId="20394"/>
    <cellStyle name="Note 2 12 2" xfId="20395"/>
    <cellStyle name="Note 2 12 2 2" xfId="21213"/>
    <cellStyle name="Note 2 12 2 2 2" xfId="22088"/>
    <cellStyle name="Note 2 12 2 2 3" xfId="22539"/>
    <cellStyle name="Note 2 12 2 3" xfId="21591"/>
    <cellStyle name="Note 2 12 3" xfId="20396"/>
    <cellStyle name="Note 2 12 3 2" xfId="21212"/>
    <cellStyle name="Note 2 12 3 2 2" xfId="22087"/>
    <cellStyle name="Note 2 12 3 2 3" xfId="22538"/>
    <cellStyle name="Note 2 12 3 3" xfId="21592"/>
    <cellStyle name="Note 2 12 4" xfId="20397"/>
    <cellStyle name="Note 2 12 4 2" xfId="21211"/>
    <cellStyle name="Note 2 12 4 2 2" xfId="22086"/>
    <cellStyle name="Note 2 12 4 2 3" xfId="22537"/>
    <cellStyle name="Note 2 12 4 3" xfId="21593"/>
    <cellStyle name="Note 2 12 5" xfId="20398"/>
    <cellStyle name="Note 2 12 5 2" xfId="21210"/>
    <cellStyle name="Note 2 12 5 2 2" xfId="22085"/>
    <cellStyle name="Note 2 12 5 2 3" xfId="22536"/>
    <cellStyle name="Note 2 12 5 3" xfId="21594"/>
    <cellStyle name="Note 2 13" xfId="20399"/>
    <cellStyle name="Note 2 13 2" xfId="20400"/>
    <cellStyle name="Note 2 13 2 2" xfId="21209"/>
    <cellStyle name="Note 2 13 2 2 2" xfId="22084"/>
    <cellStyle name="Note 2 13 2 2 3" xfId="22535"/>
    <cellStyle name="Note 2 13 2 3" xfId="21595"/>
    <cellStyle name="Note 2 13 3" xfId="20401"/>
    <cellStyle name="Note 2 13 3 2" xfId="21208"/>
    <cellStyle name="Note 2 13 3 2 2" xfId="22083"/>
    <cellStyle name="Note 2 13 3 2 3" xfId="22534"/>
    <cellStyle name="Note 2 13 3 3" xfId="21596"/>
    <cellStyle name="Note 2 13 4" xfId="20402"/>
    <cellStyle name="Note 2 13 4 2" xfId="21207"/>
    <cellStyle name="Note 2 13 4 2 2" xfId="22082"/>
    <cellStyle name="Note 2 13 4 2 3" xfId="22533"/>
    <cellStyle name="Note 2 13 4 3" xfId="21597"/>
    <cellStyle name="Note 2 13 5" xfId="20403"/>
    <cellStyle name="Note 2 13 5 2" xfId="21206"/>
    <cellStyle name="Note 2 13 5 2 2" xfId="22081"/>
    <cellStyle name="Note 2 13 5 2 3" xfId="22532"/>
    <cellStyle name="Note 2 13 5 3" xfId="21598"/>
    <cellStyle name="Note 2 14" xfId="20404"/>
    <cellStyle name="Note 2 14 2" xfId="20405"/>
    <cellStyle name="Note 2 14 2 2" xfId="21204"/>
    <cellStyle name="Note 2 14 2 2 2" xfId="22079"/>
    <cellStyle name="Note 2 14 2 2 3" xfId="22530"/>
    <cellStyle name="Note 2 14 2 3" xfId="21600"/>
    <cellStyle name="Note 2 14 3" xfId="21205"/>
    <cellStyle name="Note 2 14 3 2" xfId="22080"/>
    <cellStyle name="Note 2 14 3 3" xfId="22531"/>
    <cellStyle name="Note 2 14 4" xfId="21599"/>
    <cellStyle name="Note 2 15" xfId="20406"/>
    <cellStyle name="Note 2 15 2" xfId="20407"/>
    <cellStyle name="Note 2 15 2 2" xfId="21203"/>
    <cellStyle name="Note 2 15 2 2 2" xfId="22078"/>
    <cellStyle name="Note 2 15 2 2 3" xfId="22529"/>
    <cellStyle name="Note 2 15 2 3" xfId="21601"/>
    <cellStyle name="Note 2 16" xfId="20408"/>
    <cellStyle name="Note 2 16 2" xfId="21202"/>
    <cellStyle name="Note 2 16 2 2" xfId="22077"/>
    <cellStyle name="Note 2 16 2 3" xfId="22528"/>
    <cellStyle name="Note 2 16 3" xfId="21602"/>
    <cellStyle name="Note 2 17" xfId="20409"/>
    <cellStyle name="Note 2 17 2" xfId="21201"/>
    <cellStyle name="Note 2 17 2 2" xfId="22076"/>
    <cellStyle name="Note 2 17 2 3" xfId="22527"/>
    <cellStyle name="Note 2 17 3" xfId="21603"/>
    <cellStyle name="Note 2 18" xfId="21222"/>
    <cellStyle name="Note 2 18 2" xfId="22097"/>
    <cellStyle name="Note 2 18 3" xfId="22548"/>
    <cellStyle name="Note 2 19" xfId="21582"/>
    <cellStyle name="Note 2 2" xfId="20410"/>
    <cellStyle name="Note 2 2 10" xfId="20411"/>
    <cellStyle name="Note 2 2 10 2" xfId="21199"/>
    <cellStyle name="Note 2 2 10 2 2" xfId="22074"/>
    <cellStyle name="Note 2 2 10 2 3" xfId="22525"/>
    <cellStyle name="Note 2 2 10 3" xfId="21605"/>
    <cellStyle name="Note 2 2 11" xfId="21200"/>
    <cellStyle name="Note 2 2 11 2" xfId="22075"/>
    <cellStyle name="Note 2 2 11 3" xfId="22526"/>
    <cellStyle name="Note 2 2 12" xfId="21604"/>
    <cellStyle name="Note 2 2 2" xfId="20412"/>
    <cellStyle name="Note 2 2 2 2" xfId="20413"/>
    <cellStyle name="Note 2 2 2 2 2" xfId="21197"/>
    <cellStyle name="Note 2 2 2 2 2 2" xfId="22072"/>
    <cellStyle name="Note 2 2 2 2 2 3" xfId="22523"/>
    <cellStyle name="Note 2 2 2 2 3" xfId="21607"/>
    <cellStyle name="Note 2 2 2 3" xfId="20414"/>
    <cellStyle name="Note 2 2 2 3 2" xfId="21196"/>
    <cellStyle name="Note 2 2 2 3 2 2" xfId="22071"/>
    <cellStyle name="Note 2 2 2 3 2 3" xfId="22522"/>
    <cellStyle name="Note 2 2 2 3 3" xfId="21608"/>
    <cellStyle name="Note 2 2 2 4" xfId="20415"/>
    <cellStyle name="Note 2 2 2 4 2" xfId="21195"/>
    <cellStyle name="Note 2 2 2 4 2 2" xfId="22070"/>
    <cellStyle name="Note 2 2 2 4 2 3" xfId="22521"/>
    <cellStyle name="Note 2 2 2 4 3" xfId="21609"/>
    <cellStyle name="Note 2 2 2 5" xfId="20416"/>
    <cellStyle name="Note 2 2 2 5 2" xfId="21194"/>
    <cellStyle name="Note 2 2 2 5 2 2" xfId="22069"/>
    <cellStyle name="Note 2 2 2 5 2 3" xfId="22520"/>
    <cellStyle name="Note 2 2 2 5 3" xfId="21610"/>
    <cellStyle name="Note 2 2 2 6" xfId="21198"/>
    <cellStyle name="Note 2 2 2 6 2" xfId="22073"/>
    <cellStyle name="Note 2 2 2 6 3" xfId="22524"/>
    <cellStyle name="Note 2 2 2 7" xfId="21606"/>
    <cellStyle name="Note 2 2 3" xfId="20417"/>
    <cellStyle name="Note 2 2 3 2" xfId="20418"/>
    <cellStyle name="Note 2 2 3 2 2" xfId="21193"/>
    <cellStyle name="Note 2 2 3 2 2 2" xfId="22068"/>
    <cellStyle name="Note 2 2 3 2 2 3" xfId="22519"/>
    <cellStyle name="Note 2 2 3 2 3" xfId="21611"/>
    <cellStyle name="Note 2 2 3 3" xfId="20419"/>
    <cellStyle name="Note 2 2 3 3 2" xfId="21192"/>
    <cellStyle name="Note 2 2 3 3 2 2" xfId="22067"/>
    <cellStyle name="Note 2 2 3 3 2 3" xfId="22518"/>
    <cellStyle name="Note 2 2 3 3 3" xfId="21612"/>
    <cellStyle name="Note 2 2 3 4" xfId="20420"/>
    <cellStyle name="Note 2 2 3 4 2" xfId="21191"/>
    <cellStyle name="Note 2 2 3 4 2 2" xfId="22066"/>
    <cellStyle name="Note 2 2 3 4 2 3" xfId="22517"/>
    <cellStyle name="Note 2 2 3 4 3" xfId="21613"/>
    <cellStyle name="Note 2 2 3 5" xfId="20421"/>
    <cellStyle name="Note 2 2 3 5 2" xfId="21190"/>
    <cellStyle name="Note 2 2 3 5 2 2" xfId="22065"/>
    <cellStyle name="Note 2 2 3 5 2 3" xfId="22516"/>
    <cellStyle name="Note 2 2 3 5 3" xfId="21614"/>
    <cellStyle name="Note 2 2 4" xfId="20422"/>
    <cellStyle name="Note 2 2 4 2" xfId="20423"/>
    <cellStyle name="Note 2 2 4 2 2" xfId="21188"/>
    <cellStyle name="Note 2 2 4 2 2 2" xfId="22063"/>
    <cellStyle name="Note 2 2 4 2 2 3" xfId="22514"/>
    <cellStyle name="Note 2 2 4 2 3" xfId="21616"/>
    <cellStyle name="Note 2 2 4 3" xfId="20424"/>
    <cellStyle name="Note 2 2 4 3 2" xfId="21187"/>
    <cellStyle name="Note 2 2 4 3 2 2" xfId="22062"/>
    <cellStyle name="Note 2 2 4 3 2 3" xfId="22513"/>
    <cellStyle name="Note 2 2 4 3 3" xfId="21617"/>
    <cellStyle name="Note 2 2 4 4" xfId="20425"/>
    <cellStyle name="Note 2 2 4 4 2" xfId="21186"/>
    <cellStyle name="Note 2 2 4 4 2 2" xfId="22061"/>
    <cellStyle name="Note 2 2 4 4 2 3" xfId="22512"/>
    <cellStyle name="Note 2 2 4 4 3" xfId="21618"/>
    <cellStyle name="Note 2 2 4 5" xfId="21189"/>
    <cellStyle name="Note 2 2 4 5 2" xfId="22064"/>
    <cellStyle name="Note 2 2 4 5 3" xfId="22515"/>
    <cellStyle name="Note 2 2 4 6" xfId="21615"/>
    <cellStyle name="Note 2 2 5" xfId="20426"/>
    <cellStyle name="Note 2 2 5 2" xfId="20427"/>
    <cellStyle name="Note 2 2 5 2 2" xfId="21184"/>
    <cellStyle name="Note 2 2 5 2 2 2" xfId="22059"/>
    <cellStyle name="Note 2 2 5 2 2 3" xfId="22510"/>
    <cellStyle name="Note 2 2 5 2 3" xfId="21620"/>
    <cellStyle name="Note 2 2 5 3" xfId="20428"/>
    <cellStyle name="Note 2 2 5 3 2" xfId="21183"/>
    <cellStyle name="Note 2 2 5 3 2 2" xfId="22058"/>
    <cellStyle name="Note 2 2 5 3 2 3" xfId="22509"/>
    <cellStyle name="Note 2 2 5 3 3" xfId="21621"/>
    <cellStyle name="Note 2 2 5 4" xfId="20429"/>
    <cellStyle name="Note 2 2 5 4 2" xfId="21182"/>
    <cellStyle name="Note 2 2 5 4 2 2" xfId="22057"/>
    <cellStyle name="Note 2 2 5 4 2 3" xfId="22508"/>
    <cellStyle name="Note 2 2 5 4 3" xfId="21622"/>
    <cellStyle name="Note 2 2 5 5" xfId="21185"/>
    <cellStyle name="Note 2 2 5 5 2" xfId="22060"/>
    <cellStyle name="Note 2 2 5 5 3" xfId="22511"/>
    <cellStyle name="Note 2 2 5 6" xfId="21619"/>
    <cellStyle name="Note 2 2 6" xfId="20430"/>
    <cellStyle name="Note 2 2 6 2" xfId="21181"/>
    <cellStyle name="Note 2 2 6 2 2" xfId="22056"/>
    <cellStyle name="Note 2 2 6 2 3" xfId="22507"/>
    <cellStyle name="Note 2 2 6 3" xfId="21623"/>
    <cellStyle name="Note 2 2 7" xfId="20431"/>
    <cellStyle name="Note 2 2 7 2" xfId="21180"/>
    <cellStyle name="Note 2 2 7 2 2" xfId="22055"/>
    <cellStyle name="Note 2 2 7 2 3" xfId="22506"/>
    <cellStyle name="Note 2 2 7 3" xfId="21624"/>
    <cellStyle name="Note 2 2 8" xfId="20432"/>
    <cellStyle name="Note 2 2 8 2" xfId="21179"/>
    <cellStyle name="Note 2 2 8 2 2" xfId="22054"/>
    <cellStyle name="Note 2 2 8 2 3" xfId="22505"/>
    <cellStyle name="Note 2 2 8 3" xfId="21625"/>
    <cellStyle name="Note 2 2 9" xfId="20433"/>
    <cellStyle name="Note 2 2 9 2" xfId="21178"/>
    <cellStyle name="Note 2 2 9 2 2" xfId="22053"/>
    <cellStyle name="Note 2 2 9 2 3" xfId="22504"/>
    <cellStyle name="Note 2 2 9 3" xfId="21626"/>
    <cellStyle name="Note 2 3" xfId="20434"/>
    <cellStyle name="Note 2 3 2" xfId="20435"/>
    <cellStyle name="Note 2 3 2 2" xfId="21177"/>
    <cellStyle name="Note 2 3 2 2 2" xfId="22052"/>
    <cellStyle name="Note 2 3 2 2 3" xfId="22503"/>
    <cellStyle name="Note 2 3 2 3" xfId="21627"/>
    <cellStyle name="Note 2 3 3" xfId="20436"/>
    <cellStyle name="Note 2 3 3 2" xfId="21176"/>
    <cellStyle name="Note 2 3 3 2 2" xfId="22051"/>
    <cellStyle name="Note 2 3 3 2 3" xfId="22502"/>
    <cellStyle name="Note 2 3 3 3" xfId="21628"/>
    <cellStyle name="Note 2 3 4" xfId="20437"/>
    <cellStyle name="Note 2 3 4 2" xfId="21175"/>
    <cellStyle name="Note 2 3 4 2 2" xfId="22050"/>
    <cellStyle name="Note 2 3 4 2 3" xfId="22501"/>
    <cellStyle name="Note 2 3 4 3" xfId="21629"/>
    <cellStyle name="Note 2 3 5" xfId="20438"/>
    <cellStyle name="Note 2 3 5 2" xfId="21174"/>
    <cellStyle name="Note 2 3 5 2 2" xfId="22049"/>
    <cellStyle name="Note 2 3 5 2 3" xfId="22500"/>
    <cellStyle name="Note 2 3 5 3" xfId="21630"/>
    <cellStyle name="Note 2 4" xfId="20439"/>
    <cellStyle name="Note 2 4 2" xfId="20440"/>
    <cellStyle name="Note 2 4 2 2" xfId="20441"/>
    <cellStyle name="Note 2 4 2 2 2" xfId="21173"/>
    <cellStyle name="Note 2 4 2 2 2 2" xfId="22048"/>
    <cellStyle name="Note 2 4 2 2 2 3" xfId="22499"/>
    <cellStyle name="Note 2 4 2 2 3" xfId="21631"/>
    <cellStyle name="Note 2 4 3" xfId="20442"/>
    <cellStyle name="Note 2 4 3 2" xfId="20443"/>
    <cellStyle name="Note 2 4 3 2 2" xfId="21172"/>
    <cellStyle name="Note 2 4 3 2 2 2" xfId="22047"/>
    <cellStyle name="Note 2 4 3 2 2 3" xfId="22498"/>
    <cellStyle name="Note 2 4 3 2 3" xfId="21632"/>
    <cellStyle name="Note 2 4 4" xfId="20444"/>
    <cellStyle name="Note 2 4 4 2" xfId="20445"/>
    <cellStyle name="Note 2 4 4 2 2" xfId="21171"/>
    <cellStyle name="Note 2 4 4 2 2 2" xfId="22046"/>
    <cellStyle name="Note 2 4 4 2 2 3" xfId="22497"/>
    <cellStyle name="Note 2 4 4 2 3" xfId="21633"/>
    <cellStyle name="Note 2 4 5" xfId="20446"/>
    <cellStyle name="Note 2 4 6" xfId="20447"/>
    <cellStyle name="Note 2 4 7" xfId="20448"/>
    <cellStyle name="Note 2 4 7 2" xfId="21170"/>
    <cellStyle name="Note 2 4 7 2 2" xfId="22045"/>
    <cellStyle name="Note 2 4 7 2 3" xfId="22496"/>
    <cellStyle name="Note 2 4 7 3" xfId="21634"/>
    <cellStyle name="Note 2 5" xfId="20449"/>
    <cellStyle name="Note 2 5 2" xfId="20450"/>
    <cellStyle name="Note 2 5 2 2" xfId="20451"/>
    <cellStyle name="Note 2 5 2 2 2" xfId="21169"/>
    <cellStyle name="Note 2 5 2 2 2 2" xfId="22044"/>
    <cellStyle name="Note 2 5 2 2 2 3" xfId="22495"/>
    <cellStyle name="Note 2 5 2 2 3" xfId="21635"/>
    <cellStyle name="Note 2 5 3" xfId="20452"/>
    <cellStyle name="Note 2 5 3 2" xfId="20453"/>
    <cellStyle name="Note 2 5 3 2 2" xfId="21168"/>
    <cellStyle name="Note 2 5 3 2 2 2" xfId="22043"/>
    <cellStyle name="Note 2 5 3 2 2 3" xfId="22494"/>
    <cellStyle name="Note 2 5 3 2 3" xfId="21636"/>
    <cellStyle name="Note 2 5 4" xfId="20454"/>
    <cellStyle name="Note 2 5 4 2" xfId="20455"/>
    <cellStyle name="Note 2 5 4 2 2" xfId="21167"/>
    <cellStyle name="Note 2 5 4 2 2 2" xfId="22042"/>
    <cellStyle name="Note 2 5 4 2 2 3" xfId="22493"/>
    <cellStyle name="Note 2 5 4 2 3" xfId="21637"/>
    <cellStyle name="Note 2 5 5" xfId="20456"/>
    <cellStyle name="Note 2 5 6" xfId="20457"/>
    <cellStyle name="Note 2 5 7" xfId="20458"/>
    <cellStyle name="Note 2 5 7 2" xfId="21166"/>
    <cellStyle name="Note 2 5 7 2 2" xfId="22041"/>
    <cellStyle name="Note 2 5 7 2 3" xfId="22492"/>
    <cellStyle name="Note 2 5 7 3" xfId="21638"/>
    <cellStyle name="Note 2 6" xfId="20459"/>
    <cellStyle name="Note 2 6 2" xfId="20460"/>
    <cellStyle name="Note 2 6 2 2" xfId="20461"/>
    <cellStyle name="Note 2 6 2 2 2" xfId="21165"/>
    <cellStyle name="Note 2 6 2 2 2 2" xfId="22040"/>
    <cellStyle name="Note 2 6 2 2 2 3" xfId="22491"/>
    <cellStyle name="Note 2 6 2 2 3" xfId="21639"/>
    <cellStyle name="Note 2 6 3" xfId="20462"/>
    <cellStyle name="Note 2 6 3 2" xfId="20463"/>
    <cellStyle name="Note 2 6 3 2 2" xfId="21164"/>
    <cellStyle name="Note 2 6 3 2 2 2" xfId="22039"/>
    <cellStyle name="Note 2 6 3 2 2 3" xfId="22490"/>
    <cellStyle name="Note 2 6 3 2 3" xfId="21640"/>
    <cellStyle name="Note 2 6 4" xfId="20464"/>
    <cellStyle name="Note 2 6 4 2" xfId="20465"/>
    <cellStyle name="Note 2 6 4 2 2" xfId="21163"/>
    <cellStyle name="Note 2 6 4 2 2 2" xfId="22038"/>
    <cellStyle name="Note 2 6 4 2 2 3" xfId="22489"/>
    <cellStyle name="Note 2 6 4 2 3" xfId="21641"/>
    <cellStyle name="Note 2 6 5" xfId="20466"/>
    <cellStyle name="Note 2 6 6" xfId="20467"/>
    <cellStyle name="Note 2 6 7" xfId="20468"/>
    <cellStyle name="Note 2 6 7 2" xfId="21162"/>
    <cellStyle name="Note 2 6 7 2 2" xfId="22037"/>
    <cellStyle name="Note 2 6 7 2 3" xfId="22488"/>
    <cellStyle name="Note 2 6 7 3" xfId="21642"/>
    <cellStyle name="Note 2 7" xfId="20469"/>
    <cellStyle name="Note 2 7 2" xfId="20470"/>
    <cellStyle name="Note 2 7 2 2" xfId="20471"/>
    <cellStyle name="Note 2 7 2 2 2" xfId="21161"/>
    <cellStyle name="Note 2 7 2 2 2 2" xfId="22036"/>
    <cellStyle name="Note 2 7 2 2 2 3" xfId="22487"/>
    <cellStyle name="Note 2 7 2 2 3" xfId="21643"/>
    <cellStyle name="Note 2 7 3" xfId="20472"/>
    <cellStyle name="Note 2 7 3 2" xfId="20473"/>
    <cellStyle name="Note 2 7 3 2 2" xfId="21160"/>
    <cellStyle name="Note 2 7 3 2 2 2" xfId="22035"/>
    <cellStyle name="Note 2 7 3 2 2 3" xfId="22486"/>
    <cellStyle name="Note 2 7 3 2 3" xfId="21644"/>
    <cellStyle name="Note 2 7 4" xfId="20474"/>
    <cellStyle name="Note 2 7 4 2" xfId="20475"/>
    <cellStyle name="Note 2 7 4 2 2" xfId="21159"/>
    <cellStyle name="Note 2 7 4 2 2 2" xfId="22034"/>
    <cellStyle name="Note 2 7 4 2 2 3" xfId="22485"/>
    <cellStyle name="Note 2 7 4 2 3" xfId="21645"/>
    <cellStyle name="Note 2 7 5" xfId="20476"/>
    <cellStyle name="Note 2 7 6" xfId="20477"/>
    <cellStyle name="Note 2 7 7" xfId="20478"/>
    <cellStyle name="Note 2 7 7 2" xfId="21158"/>
    <cellStyle name="Note 2 7 7 2 2" xfId="22033"/>
    <cellStyle name="Note 2 7 7 2 3" xfId="22484"/>
    <cellStyle name="Note 2 7 7 3" xfId="21646"/>
    <cellStyle name="Note 2 8" xfId="20479"/>
    <cellStyle name="Note 2 8 2" xfId="20480"/>
    <cellStyle name="Note 2 8 2 2" xfId="21157"/>
    <cellStyle name="Note 2 8 2 2 2" xfId="22032"/>
    <cellStyle name="Note 2 8 2 2 3" xfId="22483"/>
    <cellStyle name="Note 2 8 2 3" xfId="21647"/>
    <cellStyle name="Note 2 8 3" xfId="20481"/>
    <cellStyle name="Note 2 8 3 2" xfId="21156"/>
    <cellStyle name="Note 2 8 3 2 2" xfId="22031"/>
    <cellStyle name="Note 2 8 3 2 3" xfId="22482"/>
    <cellStyle name="Note 2 8 3 3" xfId="21648"/>
    <cellStyle name="Note 2 8 4" xfId="20482"/>
    <cellStyle name="Note 2 8 4 2" xfId="21155"/>
    <cellStyle name="Note 2 8 4 2 2" xfId="22030"/>
    <cellStyle name="Note 2 8 4 2 3" xfId="22481"/>
    <cellStyle name="Note 2 8 4 3" xfId="21649"/>
    <cellStyle name="Note 2 8 5" xfId="20483"/>
    <cellStyle name="Note 2 8 5 2" xfId="21154"/>
    <cellStyle name="Note 2 8 5 2 2" xfId="22029"/>
    <cellStyle name="Note 2 8 5 2 3" xfId="22480"/>
    <cellStyle name="Note 2 8 5 3" xfId="21650"/>
    <cellStyle name="Note 2 9" xfId="20484"/>
    <cellStyle name="Note 2 9 2" xfId="20485"/>
    <cellStyle name="Note 2 9 2 2" xfId="21153"/>
    <cellStyle name="Note 2 9 2 2 2" xfId="22028"/>
    <cellStyle name="Note 2 9 2 2 3" xfId="22479"/>
    <cellStyle name="Note 2 9 2 3" xfId="21651"/>
    <cellStyle name="Note 2 9 3" xfId="20486"/>
    <cellStyle name="Note 2 9 3 2" xfId="21152"/>
    <cellStyle name="Note 2 9 3 2 2" xfId="22027"/>
    <cellStyle name="Note 2 9 3 2 3" xfId="22478"/>
    <cellStyle name="Note 2 9 3 3" xfId="21652"/>
    <cellStyle name="Note 2 9 4" xfId="20487"/>
    <cellStyle name="Note 2 9 4 2" xfId="21151"/>
    <cellStyle name="Note 2 9 4 2 2" xfId="22026"/>
    <cellStyle name="Note 2 9 4 2 3" xfId="22477"/>
    <cellStyle name="Note 2 9 4 3" xfId="21653"/>
    <cellStyle name="Note 2 9 5" xfId="20488"/>
    <cellStyle name="Note 2 9 5 2" xfId="21150"/>
    <cellStyle name="Note 2 9 5 2 2" xfId="22025"/>
    <cellStyle name="Note 2 9 5 2 3" xfId="22476"/>
    <cellStyle name="Note 2 9 5 3" xfId="21654"/>
    <cellStyle name="Note 3 2" xfId="20489"/>
    <cellStyle name="Note 3 2 2" xfId="20490"/>
    <cellStyle name="Note 3 2 2 2" xfId="21148"/>
    <cellStyle name="Note 3 2 2 2 2" xfId="22023"/>
    <cellStyle name="Note 3 2 2 2 3" xfId="22474"/>
    <cellStyle name="Note 3 2 2 3" xfId="21656"/>
    <cellStyle name="Note 3 2 3" xfId="20491"/>
    <cellStyle name="Note 3 2 4" xfId="21149"/>
    <cellStyle name="Note 3 2 4 2" xfId="22024"/>
    <cellStyle name="Note 3 2 4 3" xfId="22475"/>
    <cellStyle name="Note 3 2 5" xfId="21655"/>
    <cellStyle name="Note 3 3" xfId="20492"/>
    <cellStyle name="Note 3 3 2" xfId="20493"/>
    <cellStyle name="Note 3 3 3" xfId="21147"/>
    <cellStyle name="Note 3 3 3 2" xfId="22022"/>
    <cellStyle name="Note 3 3 3 3" xfId="22473"/>
    <cellStyle name="Note 3 3 4" xfId="21657"/>
    <cellStyle name="Note 3 4" xfId="20494"/>
    <cellStyle name="Note 3 4 2" xfId="21146"/>
    <cellStyle name="Note 3 4 2 2" xfId="22021"/>
    <cellStyle name="Note 3 4 2 3" xfId="22472"/>
    <cellStyle name="Note 3 4 3" xfId="21658"/>
    <cellStyle name="Note 3 5" xfId="20495"/>
    <cellStyle name="Note 4 2" xfId="20496"/>
    <cellStyle name="Note 4 2 2" xfId="20497"/>
    <cellStyle name="Note 4 2 2 2" xfId="21144"/>
    <cellStyle name="Note 4 2 2 2 2" xfId="22019"/>
    <cellStyle name="Note 4 2 2 2 3" xfId="22470"/>
    <cellStyle name="Note 4 2 2 3" xfId="21660"/>
    <cellStyle name="Note 4 2 3" xfId="20498"/>
    <cellStyle name="Note 4 2 4" xfId="21145"/>
    <cellStyle name="Note 4 2 4 2" xfId="22020"/>
    <cellStyle name="Note 4 2 4 3" xfId="22471"/>
    <cellStyle name="Note 4 2 5" xfId="21659"/>
    <cellStyle name="Note 4 3" xfId="20499"/>
    <cellStyle name="Note 4 4" xfId="20500"/>
    <cellStyle name="Note 4 4 2" xfId="21143"/>
    <cellStyle name="Note 4 4 2 2" xfId="22018"/>
    <cellStyle name="Note 4 4 2 3" xfId="22469"/>
    <cellStyle name="Note 4 4 3" xfId="21661"/>
    <cellStyle name="Note 4 5" xfId="20501"/>
    <cellStyle name="Note 5" xfId="20502"/>
    <cellStyle name="Note 5 2" xfId="20503"/>
    <cellStyle name="Note 5 2 2" xfId="20504"/>
    <cellStyle name="Note 5 2 3" xfId="21141"/>
    <cellStyle name="Note 5 2 3 2" xfId="22016"/>
    <cellStyle name="Note 5 2 3 3" xfId="22467"/>
    <cellStyle name="Note 5 2 4" xfId="21663"/>
    <cellStyle name="Note 5 3" xfId="20505"/>
    <cellStyle name="Note 5 3 2" xfId="20506"/>
    <cellStyle name="Note 5 3 3" xfId="21140"/>
    <cellStyle name="Note 5 3 3 2" xfId="22015"/>
    <cellStyle name="Note 5 3 3 3" xfId="22466"/>
    <cellStyle name="Note 5 3 4" xfId="21664"/>
    <cellStyle name="Note 5 4" xfId="20507"/>
    <cellStyle name="Note 5 4 2" xfId="21139"/>
    <cellStyle name="Note 5 4 2 2" xfId="22014"/>
    <cellStyle name="Note 5 4 2 3" xfId="22465"/>
    <cellStyle name="Note 5 4 3" xfId="21665"/>
    <cellStyle name="Note 5 5" xfId="20508"/>
    <cellStyle name="Note 5 6" xfId="21142"/>
    <cellStyle name="Note 5 6 2" xfId="22017"/>
    <cellStyle name="Note 5 6 3" xfId="22468"/>
    <cellStyle name="Note 5 7" xfId="21662"/>
    <cellStyle name="Note 6" xfId="20509"/>
    <cellStyle name="Note 6 2" xfId="20510"/>
    <cellStyle name="Note 6 2 2" xfId="20511"/>
    <cellStyle name="Note 6 2 3" xfId="21137"/>
    <cellStyle name="Note 6 2 3 2" xfId="22012"/>
    <cellStyle name="Note 6 2 3 3" xfId="22463"/>
    <cellStyle name="Note 6 2 4" xfId="21667"/>
    <cellStyle name="Note 6 3" xfId="20512"/>
    <cellStyle name="Note 6 4" xfId="20513"/>
    <cellStyle name="Note 6 5" xfId="21138"/>
    <cellStyle name="Note 6 5 2" xfId="22013"/>
    <cellStyle name="Note 6 5 3" xfId="22464"/>
    <cellStyle name="Note 6 6" xfId="21666"/>
    <cellStyle name="Note 7" xfId="20514"/>
    <cellStyle name="Note 7 2" xfId="21136"/>
    <cellStyle name="Note 7 2 2" xfId="22011"/>
    <cellStyle name="Note 7 2 3" xfId="22462"/>
    <cellStyle name="Note 7 3" xfId="21668"/>
    <cellStyle name="Note 8" xfId="20515"/>
    <cellStyle name="Note 8 2" xfId="20516"/>
    <cellStyle name="Note 8 2 2" xfId="21134"/>
    <cellStyle name="Note 8 2 2 2" xfId="22009"/>
    <cellStyle name="Note 8 2 2 3" xfId="22460"/>
    <cellStyle name="Note 8 2 3" xfId="21670"/>
    <cellStyle name="Note 8 3" xfId="21135"/>
    <cellStyle name="Note 8 3 2" xfId="22010"/>
    <cellStyle name="Note 8 3 3" xfId="22461"/>
    <cellStyle name="Note 8 4" xfId="21669"/>
    <cellStyle name="Note 9" xfId="20517"/>
    <cellStyle name="Note 9 2" xfId="21133"/>
    <cellStyle name="Note 9 2 2" xfId="22008"/>
    <cellStyle name="Note 9 2 3" xfId="22459"/>
    <cellStyle name="Note 9 3" xfId="2167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458"/>
    <cellStyle name="optionalExposure 3" xfId="22285"/>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2 3" xfId="22456"/>
    <cellStyle name="Output 2 10 2 3" xfId="21673"/>
    <cellStyle name="Output 2 10 3" xfId="20531"/>
    <cellStyle name="Output 2 10 3 2" xfId="21129"/>
    <cellStyle name="Output 2 10 3 2 2" xfId="22005"/>
    <cellStyle name="Output 2 10 3 2 3" xfId="22455"/>
    <cellStyle name="Output 2 10 3 3" xfId="21674"/>
    <cellStyle name="Output 2 10 4" xfId="20532"/>
    <cellStyle name="Output 2 10 4 2" xfId="21128"/>
    <cellStyle name="Output 2 10 4 2 2" xfId="22004"/>
    <cellStyle name="Output 2 10 4 2 3" xfId="22454"/>
    <cellStyle name="Output 2 10 4 3" xfId="21675"/>
    <cellStyle name="Output 2 10 5" xfId="20533"/>
    <cellStyle name="Output 2 10 5 2" xfId="21127"/>
    <cellStyle name="Output 2 10 5 2 2" xfId="22003"/>
    <cellStyle name="Output 2 10 5 2 3" xfId="22453"/>
    <cellStyle name="Output 2 10 5 3" xfId="21676"/>
    <cellStyle name="Output 2 11" xfId="20534"/>
    <cellStyle name="Output 2 11 2" xfId="20535"/>
    <cellStyle name="Output 2 11 2 2" xfId="21125"/>
    <cellStyle name="Output 2 11 2 2 2" xfId="22001"/>
    <cellStyle name="Output 2 11 2 2 3" xfId="22451"/>
    <cellStyle name="Output 2 11 2 3" xfId="21678"/>
    <cellStyle name="Output 2 11 3" xfId="20536"/>
    <cellStyle name="Output 2 11 3 2" xfId="21124"/>
    <cellStyle name="Output 2 11 3 2 2" xfId="22000"/>
    <cellStyle name="Output 2 11 3 2 3" xfId="22450"/>
    <cellStyle name="Output 2 11 3 3" xfId="21679"/>
    <cellStyle name="Output 2 11 4" xfId="20537"/>
    <cellStyle name="Output 2 11 4 2" xfId="21123"/>
    <cellStyle name="Output 2 11 4 2 2" xfId="21999"/>
    <cellStyle name="Output 2 11 4 2 3" xfId="22449"/>
    <cellStyle name="Output 2 11 4 3" xfId="21680"/>
    <cellStyle name="Output 2 11 5" xfId="20538"/>
    <cellStyle name="Output 2 11 5 2" xfId="21122"/>
    <cellStyle name="Output 2 11 5 2 2" xfId="21998"/>
    <cellStyle name="Output 2 11 5 2 3" xfId="22448"/>
    <cellStyle name="Output 2 11 5 3" xfId="21681"/>
    <cellStyle name="Output 2 11 6" xfId="21126"/>
    <cellStyle name="Output 2 11 6 2" xfId="22002"/>
    <cellStyle name="Output 2 11 6 3" xfId="22452"/>
    <cellStyle name="Output 2 11 7" xfId="21677"/>
    <cellStyle name="Output 2 12" xfId="20539"/>
    <cellStyle name="Output 2 12 2" xfId="20540"/>
    <cellStyle name="Output 2 12 2 2" xfId="21120"/>
    <cellStyle name="Output 2 12 2 2 2" xfId="21996"/>
    <cellStyle name="Output 2 12 2 2 3" xfId="22446"/>
    <cellStyle name="Output 2 12 2 3" xfId="21683"/>
    <cellStyle name="Output 2 12 3" xfId="20541"/>
    <cellStyle name="Output 2 12 3 2" xfId="21119"/>
    <cellStyle name="Output 2 12 3 2 2" xfId="21995"/>
    <cellStyle name="Output 2 12 3 2 3" xfId="22445"/>
    <cellStyle name="Output 2 12 3 3" xfId="21684"/>
    <cellStyle name="Output 2 12 4" xfId="20542"/>
    <cellStyle name="Output 2 12 4 2" xfId="21118"/>
    <cellStyle name="Output 2 12 4 2 2" xfId="21994"/>
    <cellStyle name="Output 2 12 4 2 3" xfId="22444"/>
    <cellStyle name="Output 2 12 4 3" xfId="21685"/>
    <cellStyle name="Output 2 12 5" xfId="20543"/>
    <cellStyle name="Output 2 12 5 2" xfId="21117"/>
    <cellStyle name="Output 2 12 5 2 2" xfId="21993"/>
    <cellStyle name="Output 2 12 5 2 3" xfId="22443"/>
    <cellStyle name="Output 2 12 5 3" xfId="21686"/>
    <cellStyle name="Output 2 12 6" xfId="21121"/>
    <cellStyle name="Output 2 12 6 2" xfId="21997"/>
    <cellStyle name="Output 2 12 6 3" xfId="22447"/>
    <cellStyle name="Output 2 12 7" xfId="21682"/>
    <cellStyle name="Output 2 13" xfId="20544"/>
    <cellStyle name="Output 2 13 2" xfId="20545"/>
    <cellStyle name="Output 2 13 2 2" xfId="21115"/>
    <cellStyle name="Output 2 13 2 2 2" xfId="21991"/>
    <cellStyle name="Output 2 13 2 2 3" xfId="22441"/>
    <cellStyle name="Output 2 13 2 3" xfId="21688"/>
    <cellStyle name="Output 2 13 3" xfId="20546"/>
    <cellStyle name="Output 2 13 3 2" xfId="21114"/>
    <cellStyle name="Output 2 13 3 2 2" xfId="21990"/>
    <cellStyle name="Output 2 13 3 2 3" xfId="22440"/>
    <cellStyle name="Output 2 13 3 3" xfId="21689"/>
    <cellStyle name="Output 2 13 4" xfId="20547"/>
    <cellStyle name="Output 2 13 4 2" xfId="21113"/>
    <cellStyle name="Output 2 13 4 2 2" xfId="21989"/>
    <cellStyle name="Output 2 13 4 2 3" xfId="22439"/>
    <cellStyle name="Output 2 13 4 3" xfId="21690"/>
    <cellStyle name="Output 2 13 5" xfId="21116"/>
    <cellStyle name="Output 2 13 5 2" xfId="21992"/>
    <cellStyle name="Output 2 13 5 3" xfId="22442"/>
    <cellStyle name="Output 2 13 6" xfId="21687"/>
    <cellStyle name="Output 2 14" xfId="20548"/>
    <cellStyle name="Output 2 14 2" xfId="21112"/>
    <cellStyle name="Output 2 14 2 2" xfId="21988"/>
    <cellStyle name="Output 2 14 2 3" xfId="22438"/>
    <cellStyle name="Output 2 14 3" xfId="21691"/>
    <cellStyle name="Output 2 15" xfId="20549"/>
    <cellStyle name="Output 2 15 2" xfId="21111"/>
    <cellStyle name="Output 2 15 2 2" xfId="21987"/>
    <cellStyle name="Output 2 15 2 3" xfId="22437"/>
    <cellStyle name="Output 2 15 3" xfId="21692"/>
    <cellStyle name="Output 2 16" xfId="20550"/>
    <cellStyle name="Output 2 16 2" xfId="21110"/>
    <cellStyle name="Output 2 16 2 2" xfId="21986"/>
    <cellStyle name="Output 2 16 2 3" xfId="22436"/>
    <cellStyle name="Output 2 16 3" xfId="21693"/>
    <cellStyle name="Output 2 17" xfId="21131"/>
    <cellStyle name="Output 2 17 2" xfId="22007"/>
    <cellStyle name="Output 2 17 3" xfId="22457"/>
    <cellStyle name="Output 2 18" xfId="21672"/>
    <cellStyle name="Output 2 2" xfId="20551"/>
    <cellStyle name="Output 2 2 10" xfId="21109"/>
    <cellStyle name="Output 2 2 10 2" xfId="21985"/>
    <cellStyle name="Output 2 2 10 3" xfId="22435"/>
    <cellStyle name="Output 2 2 11" xfId="21694"/>
    <cellStyle name="Output 2 2 2" xfId="20552"/>
    <cellStyle name="Output 2 2 2 2" xfId="20553"/>
    <cellStyle name="Output 2 2 2 2 2" xfId="21107"/>
    <cellStyle name="Output 2 2 2 2 2 2" xfId="21983"/>
    <cellStyle name="Output 2 2 2 2 2 3" xfId="22433"/>
    <cellStyle name="Output 2 2 2 2 3" xfId="21696"/>
    <cellStyle name="Output 2 2 2 3" xfId="20554"/>
    <cellStyle name="Output 2 2 2 3 2" xfId="21106"/>
    <cellStyle name="Output 2 2 2 3 2 2" xfId="21982"/>
    <cellStyle name="Output 2 2 2 3 2 3" xfId="22432"/>
    <cellStyle name="Output 2 2 2 3 3" xfId="21697"/>
    <cellStyle name="Output 2 2 2 4" xfId="20555"/>
    <cellStyle name="Output 2 2 2 4 2" xfId="21105"/>
    <cellStyle name="Output 2 2 2 4 2 2" xfId="21981"/>
    <cellStyle name="Output 2 2 2 4 2 3" xfId="22431"/>
    <cellStyle name="Output 2 2 2 4 3" xfId="21698"/>
    <cellStyle name="Output 2 2 2 5" xfId="21108"/>
    <cellStyle name="Output 2 2 2 5 2" xfId="21984"/>
    <cellStyle name="Output 2 2 2 5 3" xfId="22434"/>
    <cellStyle name="Output 2 2 2 6" xfId="21695"/>
    <cellStyle name="Output 2 2 3" xfId="20556"/>
    <cellStyle name="Output 2 2 3 2" xfId="20557"/>
    <cellStyle name="Output 2 2 3 2 2" xfId="21103"/>
    <cellStyle name="Output 2 2 3 2 2 2" xfId="21979"/>
    <cellStyle name="Output 2 2 3 2 2 3" xfId="22429"/>
    <cellStyle name="Output 2 2 3 2 3" xfId="21700"/>
    <cellStyle name="Output 2 2 3 3" xfId="20558"/>
    <cellStyle name="Output 2 2 3 3 2" xfId="21102"/>
    <cellStyle name="Output 2 2 3 3 2 2" xfId="21978"/>
    <cellStyle name="Output 2 2 3 3 2 3" xfId="22428"/>
    <cellStyle name="Output 2 2 3 3 3" xfId="21701"/>
    <cellStyle name="Output 2 2 3 4" xfId="20559"/>
    <cellStyle name="Output 2 2 3 4 2" xfId="21101"/>
    <cellStyle name="Output 2 2 3 4 2 2" xfId="21977"/>
    <cellStyle name="Output 2 2 3 4 2 3" xfId="22427"/>
    <cellStyle name="Output 2 2 3 4 3" xfId="21702"/>
    <cellStyle name="Output 2 2 3 5" xfId="21104"/>
    <cellStyle name="Output 2 2 3 5 2" xfId="21980"/>
    <cellStyle name="Output 2 2 3 5 3" xfId="22430"/>
    <cellStyle name="Output 2 2 3 6" xfId="21699"/>
    <cellStyle name="Output 2 2 4" xfId="20560"/>
    <cellStyle name="Output 2 2 4 2" xfId="20561"/>
    <cellStyle name="Output 2 2 4 2 2" xfId="21099"/>
    <cellStyle name="Output 2 2 4 2 2 2" xfId="21975"/>
    <cellStyle name="Output 2 2 4 2 2 3" xfId="22425"/>
    <cellStyle name="Output 2 2 4 2 3" xfId="21704"/>
    <cellStyle name="Output 2 2 4 3" xfId="20562"/>
    <cellStyle name="Output 2 2 4 3 2" xfId="21098"/>
    <cellStyle name="Output 2 2 4 3 2 2" xfId="21974"/>
    <cellStyle name="Output 2 2 4 3 2 3" xfId="22424"/>
    <cellStyle name="Output 2 2 4 3 3" xfId="21705"/>
    <cellStyle name="Output 2 2 4 4" xfId="20563"/>
    <cellStyle name="Output 2 2 4 4 2" xfId="21097"/>
    <cellStyle name="Output 2 2 4 4 2 2" xfId="21973"/>
    <cellStyle name="Output 2 2 4 4 2 3" xfId="22423"/>
    <cellStyle name="Output 2 2 4 4 3" xfId="21706"/>
    <cellStyle name="Output 2 2 4 5" xfId="21100"/>
    <cellStyle name="Output 2 2 4 5 2" xfId="21976"/>
    <cellStyle name="Output 2 2 4 5 3" xfId="22426"/>
    <cellStyle name="Output 2 2 4 6" xfId="21703"/>
    <cellStyle name="Output 2 2 5" xfId="20564"/>
    <cellStyle name="Output 2 2 5 2" xfId="20565"/>
    <cellStyle name="Output 2 2 5 2 2" xfId="21095"/>
    <cellStyle name="Output 2 2 5 2 2 2" xfId="21971"/>
    <cellStyle name="Output 2 2 5 2 2 3" xfId="22421"/>
    <cellStyle name="Output 2 2 5 2 3" xfId="21708"/>
    <cellStyle name="Output 2 2 5 3" xfId="20566"/>
    <cellStyle name="Output 2 2 5 3 2" xfId="21094"/>
    <cellStyle name="Output 2 2 5 3 2 2" xfId="21970"/>
    <cellStyle name="Output 2 2 5 3 2 3" xfId="22420"/>
    <cellStyle name="Output 2 2 5 3 3" xfId="21709"/>
    <cellStyle name="Output 2 2 5 4" xfId="20567"/>
    <cellStyle name="Output 2 2 5 4 2" xfId="21093"/>
    <cellStyle name="Output 2 2 5 4 2 2" xfId="21969"/>
    <cellStyle name="Output 2 2 5 4 2 3" xfId="22419"/>
    <cellStyle name="Output 2 2 5 4 3" xfId="21710"/>
    <cellStyle name="Output 2 2 5 5" xfId="21096"/>
    <cellStyle name="Output 2 2 5 5 2" xfId="21972"/>
    <cellStyle name="Output 2 2 5 5 3" xfId="22422"/>
    <cellStyle name="Output 2 2 5 6" xfId="21707"/>
    <cellStyle name="Output 2 2 6" xfId="20568"/>
    <cellStyle name="Output 2 2 6 2" xfId="21092"/>
    <cellStyle name="Output 2 2 6 2 2" xfId="21968"/>
    <cellStyle name="Output 2 2 6 2 3" xfId="22418"/>
    <cellStyle name="Output 2 2 6 3" xfId="21711"/>
    <cellStyle name="Output 2 2 7" xfId="20569"/>
    <cellStyle name="Output 2 2 7 2" xfId="21091"/>
    <cellStyle name="Output 2 2 7 2 2" xfId="21967"/>
    <cellStyle name="Output 2 2 7 2 3" xfId="22417"/>
    <cellStyle name="Output 2 2 7 3" xfId="21712"/>
    <cellStyle name="Output 2 2 8" xfId="20570"/>
    <cellStyle name="Output 2 2 8 2" xfId="21090"/>
    <cellStyle name="Output 2 2 8 2 2" xfId="21966"/>
    <cellStyle name="Output 2 2 8 2 3" xfId="22416"/>
    <cellStyle name="Output 2 2 8 3" xfId="21713"/>
    <cellStyle name="Output 2 2 9" xfId="20571"/>
    <cellStyle name="Output 2 2 9 2" xfId="21089"/>
    <cellStyle name="Output 2 2 9 2 2" xfId="21965"/>
    <cellStyle name="Output 2 2 9 2 3" xfId="22415"/>
    <cellStyle name="Output 2 2 9 3" xfId="21714"/>
    <cellStyle name="Output 2 3" xfId="20572"/>
    <cellStyle name="Output 2 3 2" xfId="20573"/>
    <cellStyle name="Output 2 3 2 2" xfId="21088"/>
    <cellStyle name="Output 2 3 2 2 2" xfId="21964"/>
    <cellStyle name="Output 2 3 2 2 3" xfId="22414"/>
    <cellStyle name="Output 2 3 2 3" xfId="21715"/>
    <cellStyle name="Output 2 3 3" xfId="20574"/>
    <cellStyle name="Output 2 3 3 2" xfId="21087"/>
    <cellStyle name="Output 2 3 3 2 2" xfId="21963"/>
    <cellStyle name="Output 2 3 3 2 3" xfId="22413"/>
    <cellStyle name="Output 2 3 3 3" xfId="21716"/>
    <cellStyle name="Output 2 3 4" xfId="20575"/>
    <cellStyle name="Output 2 3 4 2" xfId="21086"/>
    <cellStyle name="Output 2 3 4 2 2" xfId="21962"/>
    <cellStyle name="Output 2 3 4 2 3" xfId="22412"/>
    <cellStyle name="Output 2 3 4 3" xfId="21717"/>
    <cellStyle name="Output 2 3 5" xfId="20576"/>
    <cellStyle name="Output 2 3 5 2" xfId="21085"/>
    <cellStyle name="Output 2 3 5 2 2" xfId="21961"/>
    <cellStyle name="Output 2 3 5 2 3" xfId="22411"/>
    <cellStyle name="Output 2 3 5 3" xfId="21718"/>
    <cellStyle name="Output 2 4" xfId="20577"/>
    <cellStyle name="Output 2 4 2" xfId="20578"/>
    <cellStyle name="Output 2 4 2 2" xfId="21084"/>
    <cellStyle name="Output 2 4 2 2 2" xfId="21960"/>
    <cellStyle name="Output 2 4 2 2 3" xfId="22410"/>
    <cellStyle name="Output 2 4 2 3" xfId="21719"/>
    <cellStyle name="Output 2 4 3" xfId="20579"/>
    <cellStyle name="Output 2 4 3 2" xfId="21083"/>
    <cellStyle name="Output 2 4 3 2 2" xfId="21959"/>
    <cellStyle name="Output 2 4 3 2 3" xfId="22409"/>
    <cellStyle name="Output 2 4 3 3" xfId="21720"/>
    <cellStyle name="Output 2 4 4" xfId="20580"/>
    <cellStyle name="Output 2 4 4 2" xfId="21082"/>
    <cellStyle name="Output 2 4 4 2 2" xfId="21958"/>
    <cellStyle name="Output 2 4 4 2 3" xfId="22408"/>
    <cellStyle name="Output 2 4 4 3" xfId="21721"/>
    <cellStyle name="Output 2 4 5" xfId="20581"/>
    <cellStyle name="Output 2 4 5 2" xfId="21081"/>
    <cellStyle name="Output 2 4 5 2 2" xfId="21957"/>
    <cellStyle name="Output 2 4 5 2 3" xfId="22407"/>
    <cellStyle name="Output 2 4 5 3" xfId="21722"/>
    <cellStyle name="Output 2 5" xfId="20582"/>
    <cellStyle name="Output 2 5 2" xfId="20583"/>
    <cellStyle name="Output 2 5 2 2" xfId="21080"/>
    <cellStyle name="Output 2 5 2 2 2" xfId="21956"/>
    <cellStyle name="Output 2 5 2 2 3" xfId="22406"/>
    <cellStyle name="Output 2 5 2 3" xfId="21723"/>
    <cellStyle name="Output 2 5 3" xfId="20584"/>
    <cellStyle name="Output 2 5 3 2" xfId="21079"/>
    <cellStyle name="Output 2 5 3 2 2" xfId="21955"/>
    <cellStyle name="Output 2 5 3 2 3" xfId="22405"/>
    <cellStyle name="Output 2 5 3 3" xfId="21724"/>
    <cellStyle name="Output 2 5 4" xfId="20585"/>
    <cellStyle name="Output 2 5 4 2" xfId="21078"/>
    <cellStyle name="Output 2 5 4 2 2" xfId="21954"/>
    <cellStyle name="Output 2 5 4 2 3" xfId="22404"/>
    <cellStyle name="Output 2 5 4 3" xfId="21725"/>
    <cellStyle name="Output 2 5 5" xfId="20586"/>
    <cellStyle name="Output 2 5 5 2" xfId="21077"/>
    <cellStyle name="Output 2 5 5 2 2" xfId="21953"/>
    <cellStyle name="Output 2 5 5 2 3" xfId="22403"/>
    <cellStyle name="Output 2 5 5 3" xfId="21726"/>
    <cellStyle name="Output 2 6" xfId="20587"/>
    <cellStyle name="Output 2 6 2" xfId="20588"/>
    <cellStyle name="Output 2 6 2 2" xfId="21076"/>
    <cellStyle name="Output 2 6 2 2 2" xfId="21952"/>
    <cellStyle name="Output 2 6 2 2 3" xfId="22402"/>
    <cellStyle name="Output 2 6 2 3" xfId="21727"/>
    <cellStyle name="Output 2 6 3" xfId="20589"/>
    <cellStyle name="Output 2 6 3 2" xfId="21075"/>
    <cellStyle name="Output 2 6 3 2 2" xfId="21951"/>
    <cellStyle name="Output 2 6 3 2 3" xfId="22401"/>
    <cellStyle name="Output 2 6 3 3" xfId="21728"/>
    <cellStyle name="Output 2 6 4" xfId="20590"/>
    <cellStyle name="Output 2 6 4 2" xfId="21074"/>
    <cellStyle name="Output 2 6 4 2 2" xfId="21950"/>
    <cellStyle name="Output 2 6 4 2 3" xfId="22400"/>
    <cellStyle name="Output 2 6 4 3" xfId="21729"/>
    <cellStyle name="Output 2 6 5" xfId="20591"/>
    <cellStyle name="Output 2 6 5 2" xfId="21073"/>
    <cellStyle name="Output 2 6 5 2 2" xfId="21949"/>
    <cellStyle name="Output 2 6 5 2 3" xfId="22399"/>
    <cellStyle name="Output 2 6 5 3" xfId="21730"/>
    <cellStyle name="Output 2 7" xfId="20592"/>
    <cellStyle name="Output 2 7 2" xfId="20593"/>
    <cellStyle name="Output 2 7 2 2" xfId="21072"/>
    <cellStyle name="Output 2 7 2 2 2" xfId="21948"/>
    <cellStyle name="Output 2 7 2 2 3" xfId="22398"/>
    <cellStyle name="Output 2 7 2 3" xfId="21731"/>
    <cellStyle name="Output 2 7 3" xfId="20594"/>
    <cellStyle name="Output 2 7 3 2" xfId="21071"/>
    <cellStyle name="Output 2 7 3 2 2" xfId="21947"/>
    <cellStyle name="Output 2 7 3 2 3" xfId="22397"/>
    <cellStyle name="Output 2 7 3 3" xfId="21732"/>
    <cellStyle name="Output 2 7 4" xfId="20595"/>
    <cellStyle name="Output 2 7 4 2" xfId="21070"/>
    <cellStyle name="Output 2 7 4 2 2" xfId="21946"/>
    <cellStyle name="Output 2 7 4 2 3" xfId="22396"/>
    <cellStyle name="Output 2 7 4 3" xfId="21733"/>
    <cellStyle name="Output 2 7 5" xfId="20596"/>
    <cellStyle name="Output 2 7 5 2" xfId="21069"/>
    <cellStyle name="Output 2 7 5 2 2" xfId="21945"/>
    <cellStyle name="Output 2 7 5 2 3" xfId="22395"/>
    <cellStyle name="Output 2 7 5 3" xfId="21734"/>
    <cellStyle name="Output 2 8" xfId="20597"/>
    <cellStyle name="Output 2 8 2" xfId="20598"/>
    <cellStyle name="Output 2 8 2 2" xfId="21068"/>
    <cellStyle name="Output 2 8 2 2 2" xfId="21944"/>
    <cellStyle name="Output 2 8 2 2 3" xfId="22394"/>
    <cellStyle name="Output 2 8 2 3" xfId="21735"/>
    <cellStyle name="Output 2 8 3" xfId="20599"/>
    <cellStyle name="Output 2 8 3 2" xfId="21067"/>
    <cellStyle name="Output 2 8 3 2 2" xfId="21943"/>
    <cellStyle name="Output 2 8 3 2 3" xfId="22393"/>
    <cellStyle name="Output 2 8 3 3" xfId="21736"/>
    <cellStyle name="Output 2 8 4" xfId="20600"/>
    <cellStyle name="Output 2 8 4 2" xfId="21066"/>
    <cellStyle name="Output 2 8 4 2 2" xfId="21942"/>
    <cellStyle name="Output 2 8 4 2 3" xfId="22392"/>
    <cellStyle name="Output 2 8 4 3" xfId="21737"/>
    <cellStyle name="Output 2 8 5" xfId="20601"/>
    <cellStyle name="Output 2 8 5 2" xfId="21065"/>
    <cellStyle name="Output 2 8 5 2 2" xfId="21941"/>
    <cellStyle name="Output 2 8 5 2 3" xfId="22391"/>
    <cellStyle name="Output 2 8 5 3" xfId="21738"/>
    <cellStyle name="Output 2 9" xfId="20602"/>
    <cellStyle name="Output 2 9 2" xfId="20603"/>
    <cellStyle name="Output 2 9 2 2" xfId="21064"/>
    <cellStyle name="Output 2 9 2 2 2" xfId="21940"/>
    <cellStyle name="Output 2 9 2 2 3" xfId="22390"/>
    <cellStyle name="Output 2 9 2 3" xfId="21739"/>
    <cellStyle name="Output 2 9 3" xfId="20604"/>
    <cellStyle name="Output 2 9 3 2" xfId="21063"/>
    <cellStyle name="Output 2 9 3 2 2" xfId="21939"/>
    <cellStyle name="Output 2 9 3 2 3" xfId="22389"/>
    <cellStyle name="Output 2 9 3 3" xfId="21740"/>
    <cellStyle name="Output 2 9 4" xfId="20605"/>
    <cellStyle name="Output 2 9 4 2" xfId="21062"/>
    <cellStyle name="Output 2 9 4 2 2" xfId="21938"/>
    <cellStyle name="Output 2 9 4 2 3" xfId="22388"/>
    <cellStyle name="Output 2 9 4 3" xfId="21741"/>
    <cellStyle name="Output 2 9 5" xfId="20606"/>
    <cellStyle name="Output 2 9 5 2" xfId="21061"/>
    <cellStyle name="Output 2 9 5 2 2" xfId="21937"/>
    <cellStyle name="Output 2 9 5 2 3" xfId="22387"/>
    <cellStyle name="Output 2 9 5 3" xfId="21742"/>
    <cellStyle name="Output 3" xfId="20607"/>
    <cellStyle name="Output 3 2" xfId="20608"/>
    <cellStyle name="Output 3 2 2" xfId="21059"/>
    <cellStyle name="Output 3 2 2 2" xfId="21935"/>
    <cellStyle name="Output 3 2 2 3" xfId="22385"/>
    <cellStyle name="Output 3 2 3" xfId="21744"/>
    <cellStyle name="Output 3 3" xfId="20609"/>
    <cellStyle name="Output 3 3 2" xfId="21058"/>
    <cellStyle name="Output 3 3 2 2" xfId="21934"/>
    <cellStyle name="Output 3 3 2 3" xfId="22384"/>
    <cellStyle name="Output 3 3 3" xfId="21745"/>
    <cellStyle name="Output 3 4" xfId="21060"/>
    <cellStyle name="Output 3 4 2" xfId="21936"/>
    <cellStyle name="Output 3 4 3" xfId="22386"/>
    <cellStyle name="Output 3 5" xfId="21743"/>
    <cellStyle name="Output 4" xfId="20610"/>
    <cellStyle name="Output 4 2" xfId="20611"/>
    <cellStyle name="Output 4 2 2" xfId="21056"/>
    <cellStyle name="Output 4 2 2 2" xfId="21932"/>
    <cellStyle name="Output 4 2 2 3" xfId="22382"/>
    <cellStyle name="Output 4 2 3" xfId="21747"/>
    <cellStyle name="Output 4 3" xfId="20612"/>
    <cellStyle name="Output 4 3 2" xfId="21055"/>
    <cellStyle name="Output 4 3 2 2" xfId="21931"/>
    <cellStyle name="Output 4 3 2 3" xfId="22381"/>
    <cellStyle name="Output 4 3 3" xfId="21748"/>
    <cellStyle name="Output 4 4" xfId="21057"/>
    <cellStyle name="Output 4 4 2" xfId="21933"/>
    <cellStyle name="Output 4 4 3" xfId="22383"/>
    <cellStyle name="Output 4 5" xfId="21746"/>
    <cellStyle name="Output 5" xfId="20613"/>
    <cellStyle name="Output 5 2" xfId="20614"/>
    <cellStyle name="Output 5 2 2" xfId="21053"/>
    <cellStyle name="Output 5 2 2 2" xfId="21929"/>
    <cellStyle name="Output 5 2 2 3" xfId="22379"/>
    <cellStyle name="Output 5 2 3" xfId="21750"/>
    <cellStyle name="Output 5 3" xfId="20615"/>
    <cellStyle name="Output 5 3 2" xfId="21052"/>
    <cellStyle name="Output 5 3 2 2" xfId="21928"/>
    <cellStyle name="Output 5 3 2 3" xfId="22378"/>
    <cellStyle name="Output 5 3 3" xfId="21751"/>
    <cellStyle name="Output 5 4" xfId="21054"/>
    <cellStyle name="Output 5 4 2" xfId="21930"/>
    <cellStyle name="Output 5 4 3" xfId="22380"/>
    <cellStyle name="Output 5 5" xfId="21749"/>
    <cellStyle name="Output 6" xfId="20616"/>
    <cellStyle name="Output 6 2" xfId="20617"/>
    <cellStyle name="Output 6 2 2" xfId="21050"/>
    <cellStyle name="Output 6 2 2 2" xfId="21926"/>
    <cellStyle name="Output 6 2 2 3" xfId="22376"/>
    <cellStyle name="Output 6 2 3" xfId="21753"/>
    <cellStyle name="Output 6 3" xfId="20618"/>
    <cellStyle name="Output 6 3 2" xfId="21049"/>
    <cellStyle name="Output 6 3 2 2" xfId="21925"/>
    <cellStyle name="Output 6 3 2 3" xfId="22375"/>
    <cellStyle name="Output 6 3 3" xfId="21754"/>
    <cellStyle name="Output 6 4" xfId="21051"/>
    <cellStyle name="Output 6 4 2" xfId="21927"/>
    <cellStyle name="Output 6 4 3" xfId="22377"/>
    <cellStyle name="Output 6 5" xfId="21752"/>
    <cellStyle name="Output 7" xfId="20619"/>
    <cellStyle name="Output 7 2" xfId="21048"/>
    <cellStyle name="Output 7 2 2" xfId="21924"/>
    <cellStyle name="Output 7 2 3" xfId="22374"/>
    <cellStyle name="Output 7 3" xfId="2175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373"/>
    <cellStyle name="showExposure 3" xfId="22286"/>
    <cellStyle name="showParameterE" xfId="20787"/>
    <cellStyle name="showParameterE 2" xfId="21046"/>
    <cellStyle name="showParameterE 2 2" xfId="22372"/>
    <cellStyle name="showParameterE 3" xfId="222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2 3" xfId="22370"/>
    <cellStyle name="Total 2 10 2 3" xfId="21757"/>
    <cellStyle name="Total 2 10 3" xfId="20826"/>
    <cellStyle name="Total 2 10 3 2" xfId="21043"/>
    <cellStyle name="Total 2 10 3 2 2" xfId="21921"/>
    <cellStyle name="Total 2 10 3 2 3" xfId="22369"/>
    <cellStyle name="Total 2 10 3 3" xfId="21758"/>
    <cellStyle name="Total 2 10 4" xfId="20827"/>
    <cellStyle name="Total 2 10 4 2" xfId="21042"/>
    <cellStyle name="Total 2 10 4 2 2" xfId="21920"/>
    <cellStyle name="Total 2 10 4 2 3" xfId="22368"/>
    <cellStyle name="Total 2 10 4 3" xfId="21759"/>
    <cellStyle name="Total 2 10 5" xfId="20828"/>
    <cellStyle name="Total 2 10 5 2" xfId="21041"/>
    <cellStyle name="Total 2 10 5 2 2" xfId="21919"/>
    <cellStyle name="Total 2 10 5 2 3" xfId="22367"/>
    <cellStyle name="Total 2 10 5 3" xfId="21760"/>
    <cellStyle name="Total 2 11" xfId="20829"/>
    <cellStyle name="Total 2 11 2" xfId="20830"/>
    <cellStyle name="Total 2 11 2 2" xfId="21039"/>
    <cellStyle name="Total 2 11 2 2 2" xfId="21917"/>
    <cellStyle name="Total 2 11 2 2 3" xfId="22365"/>
    <cellStyle name="Total 2 11 2 3" xfId="21762"/>
    <cellStyle name="Total 2 11 3" xfId="20831"/>
    <cellStyle name="Total 2 11 3 2" xfId="21038"/>
    <cellStyle name="Total 2 11 3 2 2" xfId="21916"/>
    <cellStyle name="Total 2 11 3 2 3" xfId="22364"/>
    <cellStyle name="Total 2 11 3 3" xfId="21763"/>
    <cellStyle name="Total 2 11 4" xfId="20832"/>
    <cellStyle name="Total 2 11 4 2" xfId="21037"/>
    <cellStyle name="Total 2 11 4 2 2" xfId="21915"/>
    <cellStyle name="Total 2 11 4 2 3" xfId="22363"/>
    <cellStyle name="Total 2 11 4 3" xfId="21764"/>
    <cellStyle name="Total 2 11 5" xfId="20833"/>
    <cellStyle name="Total 2 11 5 2" xfId="21036"/>
    <cellStyle name="Total 2 11 5 2 2" xfId="21914"/>
    <cellStyle name="Total 2 11 5 2 3" xfId="22362"/>
    <cellStyle name="Total 2 11 5 3" xfId="21765"/>
    <cellStyle name="Total 2 11 6" xfId="21040"/>
    <cellStyle name="Total 2 11 6 2" xfId="21918"/>
    <cellStyle name="Total 2 11 6 3" xfId="22366"/>
    <cellStyle name="Total 2 11 7" xfId="21761"/>
    <cellStyle name="Total 2 12" xfId="20834"/>
    <cellStyle name="Total 2 12 2" xfId="20835"/>
    <cellStyle name="Total 2 12 2 2" xfId="21034"/>
    <cellStyle name="Total 2 12 2 2 2" xfId="21912"/>
    <cellStyle name="Total 2 12 2 2 3" xfId="22360"/>
    <cellStyle name="Total 2 12 2 3" xfId="21767"/>
    <cellStyle name="Total 2 12 3" xfId="20836"/>
    <cellStyle name="Total 2 12 3 2" xfId="21033"/>
    <cellStyle name="Total 2 12 3 2 2" xfId="21911"/>
    <cellStyle name="Total 2 12 3 2 3" xfId="22359"/>
    <cellStyle name="Total 2 12 3 3" xfId="21768"/>
    <cellStyle name="Total 2 12 4" xfId="20837"/>
    <cellStyle name="Total 2 12 4 2" xfId="21032"/>
    <cellStyle name="Total 2 12 4 2 2" xfId="21910"/>
    <cellStyle name="Total 2 12 4 2 3" xfId="22358"/>
    <cellStyle name="Total 2 12 4 3" xfId="21769"/>
    <cellStyle name="Total 2 12 5" xfId="20838"/>
    <cellStyle name="Total 2 12 5 2" xfId="21031"/>
    <cellStyle name="Total 2 12 5 2 2" xfId="21909"/>
    <cellStyle name="Total 2 12 5 2 3" xfId="22357"/>
    <cellStyle name="Total 2 12 5 3" xfId="21770"/>
    <cellStyle name="Total 2 12 6" xfId="21035"/>
    <cellStyle name="Total 2 12 6 2" xfId="21913"/>
    <cellStyle name="Total 2 12 6 3" xfId="22361"/>
    <cellStyle name="Total 2 12 7" xfId="21766"/>
    <cellStyle name="Total 2 13" xfId="20839"/>
    <cellStyle name="Total 2 13 2" xfId="20840"/>
    <cellStyle name="Total 2 13 2 2" xfId="21029"/>
    <cellStyle name="Total 2 13 2 2 2" xfId="21907"/>
    <cellStyle name="Total 2 13 2 2 3" xfId="22355"/>
    <cellStyle name="Total 2 13 2 3" xfId="21772"/>
    <cellStyle name="Total 2 13 3" xfId="20841"/>
    <cellStyle name="Total 2 13 3 2" xfId="21028"/>
    <cellStyle name="Total 2 13 3 2 2" xfId="21906"/>
    <cellStyle name="Total 2 13 3 2 3" xfId="22354"/>
    <cellStyle name="Total 2 13 3 3" xfId="21773"/>
    <cellStyle name="Total 2 13 4" xfId="20842"/>
    <cellStyle name="Total 2 13 4 2" xfId="21027"/>
    <cellStyle name="Total 2 13 4 2 2" xfId="21905"/>
    <cellStyle name="Total 2 13 4 2 3" xfId="22353"/>
    <cellStyle name="Total 2 13 4 3" xfId="21774"/>
    <cellStyle name="Total 2 13 5" xfId="21030"/>
    <cellStyle name="Total 2 13 5 2" xfId="21908"/>
    <cellStyle name="Total 2 13 5 3" xfId="22356"/>
    <cellStyle name="Total 2 13 6" xfId="21771"/>
    <cellStyle name="Total 2 14" xfId="20843"/>
    <cellStyle name="Total 2 14 2" xfId="21026"/>
    <cellStyle name="Total 2 14 2 2" xfId="21904"/>
    <cellStyle name="Total 2 14 2 3" xfId="22352"/>
    <cellStyle name="Total 2 14 3" xfId="21775"/>
    <cellStyle name="Total 2 15" xfId="20844"/>
    <cellStyle name="Total 2 15 2" xfId="21025"/>
    <cellStyle name="Total 2 15 2 2" xfId="21903"/>
    <cellStyle name="Total 2 15 2 3" xfId="22351"/>
    <cellStyle name="Total 2 15 3" xfId="21776"/>
    <cellStyle name="Total 2 16" xfId="20845"/>
    <cellStyle name="Total 2 16 2" xfId="21024"/>
    <cellStyle name="Total 2 16 2 2" xfId="21902"/>
    <cellStyle name="Total 2 16 2 3" xfId="22350"/>
    <cellStyle name="Total 2 16 3" xfId="21777"/>
    <cellStyle name="Total 2 17" xfId="21045"/>
    <cellStyle name="Total 2 17 2" xfId="21923"/>
    <cellStyle name="Total 2 17 3" xfId="22371"/>
    <cellStyle name="Total 2 18" xfId="21756"/>
    <cellStyle name="Total 2 2" xfId="20846"/>
    <cellStyle name="Total 2 2 10" xfId="21023"/>
    <cellStyle name="Total 2 2 10 2" xfId="21901"/>
    <cellStyle name="Total 2 2 10 3" xfId="22349"/>
    <cellStyle name="Total 2 2 11" xfId="21778"/>
    <cellStyle name="Total 2 2 2" xfId="20847"/>
    <cellStyle name="Total 2 2 2 2" xfId="20848"/>
    <cellStyle name="Total 2 2 2 2 2" xfId="21021"/>
    <cellStyle name="Total 2 2 2 2 2 2" xfId="21899"/>
    <cellStyle name="Total 2 2 2 2 2 3" xfId="22347"/>
    <cellStyle name="Total 2 2 2 2 3" xfId="21780"/>
    <cellStyle name="Total 2 2 2 3" xfId="20849"/>
    <cellStyle name="Total 2 2 2 3 2" xfId="21020"/>
    <cellStyle name="Total 2 2 2 3 2 2" xfId="21898"/>
    <cellStyle name="Total 2 2 2 3 2 3" xfId="22346"/>
    <cellStyle name="Total 2 2 2 3 3" xfId="21781"/>
    <cellStyle name="Total 2 2 2 4" xfId="20850"/>
    <cellStyle name="Total 2 2 2 4 2" xfId="21019"/>
    <cellStyle name="Total 2 2 2 4 2 2" xfId="21897"/>
    <cellStyle name="Total 2 2 2 4 2 3" xfId="22345"/>
    <cellStyle name="Total 2 2 2 4 3" xfId="21782"/>
    <cellStyle name="Total 2 2 2 5" xfId="21022"/>
    <cellStyle name="Total 2 2 2 5 2" xfId="21900"/>
    <cellStyle name="Total 2 2 2 5 3" xfId="22348"/>
    <cellStyle name="Total 2 2 2 6" xfId="21779"/>
    <cellStyle name="Total 2 2 3" xfId="20851"/>
    <cellStyle name="Total 2 2 3 2" xfId="20852"/>
    <cellStyle name="Total 2 2 3 2 2" xfId="21017"/>
    <cellStyle name="Total 2 2 3 2 2 2" xfId="21895"/>
    <cellStyle name="Total 2 2 3 2 2 3" xfId="22343"/>
    <cellStyle name="Total 2 2 3 2 3" xfId="21784"/>
    <cellStyle name="Total 2 2 3 3" xfId="20853"/>
    <cellStyle name="Total 2 2 3 3 2" xfId="21016"/>
    <cellStyle name="Total 2 2 3 3 2 2" xfId="21894"/>
    <cellStyle name="Total 2 2 3 3 2 3" xfId="22342"/>
    <cellStyle name="Total 2 2 3 3 3" xfId="21785"/>
    <cellStyle name="Total 2 2 3 4" xfId="20854"/>
    <cellStyle name="Total 2 2 3 4 2" xfId="21015"/>
    <cellStyle name="Total 2 2 3 4 2 2" xfId="21893"/>
    <cellStyle name="Total 2 2 3 4 2 3" xfId="22341"/>
    <cellStyle name="Total 2 2 3 4 3" xfId="21786"/>
    <cellStyle name="Total 2 2 3 5" xfId="21018"/>
    <cellStyle name="Total 2 2 3 5 2" xfId="21896"/>
    <cellStyle name="Total 2 2 3 5 3" xfId="22344"/>
    <cellStyle name="Total 2 2 3 6" xfId="21783"/>
    <cellStyle name="Total 2 2 4" xfId="20855"/>
    <cellStyle name="Total 2 2 4 2" xfId="20856"/>
    <cellStyle name="Total 2 2 4 2 2" xfId="21013"/>
    <cellStyle name="Total 2 2 4 2 2 2" xfId="21891"/>
    <cellStyle name="Total 2 2 4 2 2 3" xfId="22339"/>
    <cellStyle name="Total 2 2 4 2 3" xfId="21788"/>
    <cellStyle name="Total 2 2 4 3" xfId="20857"/>
    <cellStyle name="Total 2 2 4 3 2" xfId="21012"/>
    <cellStyle name="Total 2 2 4 3 2 2" xfId="21890"/>
    <cellStyle name="Total 2 2 4 3 2 3" xfId="22338"/>
    <cellStyle name="Total 2 2 4 3 3" xfId="21789"/>
    <cellStyle name="Total 2 2 4 4" xfId="20858"/>
    <cellStyle name="Total 2 2 4 4 2" xfId="21011"/>
    <cellStyle name="Total 2 2 4 4 2 2" xfId="21889"/>
    <cellStyle name="Total 2 2 4 4 2 3" xfId="22337"/>
    <cellStyle name="Total 2 2 4 4 3" xfId="21790"/>
    <cellStyle name="Total 2 2 4 5" xfId="21014"/>
    <cellStyle name="Total 2 2 4 5 2" xfId="21892"/>
    <cellStyle name="Total 2 2 4 5 3" xfId="22340"/>
    <cellStyle name="Total 2 2 4 6" xfId="21787"/>
    <cellStyle name="Total 2 2 5" xfId="20859"/>
    <cellStyle name="Total 2 2 5 2" xfId="20860"/>
    <cellStyle name="Total 2 2 5 2 2" xfId="21009"/>
    <cellStyle name="Total 2 2 5 2 2 2" xfId="21887"/>
    <cellStyle name="Total 2 2 5 2 2 3" xfId="22335"/>
    <cellStyle name="Total 2 2 5 2 3" xfId="21792"/>
    <cellStyle name="Total 2 2 5 3" xfId="20861"/>
    <cellStyle name="Total 2 2 5 3 2" xfId="21008"/>
    <cellStyle name="Total 2 2 5 3 2 2" xfId="21886"/>
    <cellStyle name="Total 2 2 5 3 2 3" xfId="22334"/>
    <cellStyle name="Total 2 2 5 3 3" xfId="21793"/>
    <cellStyle name="Total 2 2 5 4" xfId="20862"/>
    <cellStyle name="Total 2 2 5 4 2" xfId="21007"/>
    <cellStyle name="Total 2 2 5 4 2 2" xfId="21885"/>
    <cellStyle name="Total 2 2 5 4 2 3" xfId="22333"/>
    <cellStyle name="Total 2 2 5 4 3" xfId="21794"/>
    <cellStyle name="Total 2 2 5 5" xfId="21010"/>
    <cellStyle name="Total 2 2 5 5 2" xfId="21888"/>
    <cellStyle name="Total 2 2 5 5 3" xfId="22336"/>
    <cellStyle name="Total 2 2 5 6" xfId="21791"/>
    <cellStyle name="Total 2 2 6" xfId="20863"/>
    <cellStyle name="Total 2 2 6 2" xfId="21006"/>
    <cellStyle name="Total 2 2 6 2 2" xfId="21884"/>
    <cellStyle name="Total 2 2 6 2 3" xfId="22332"/>
    <cellStyle name="Total 2 2 6 3" xfId="21795"/>
    <cellStyle name="Total 2 2 7" xfId="20864"/>
    <cellStyle name="Total 2 2 7 2" xfId="21005"/>
    <cellStyle name="Total 2 2 7 2 2" xfId="21883"/>
    <cellStyle name="Total 2 2 7 2 3" xfId="22331"/>
    <cellStyle name="Total 2 2 7 3" xfId="21796"/>
    <cellStyle name="Total 2 2 8" xfId="20865"/>
    <cellStyle name="Total 2 2 8 2" xfId="21004"/>
    <cellStyle name="Total 2 2 8 2 2" xfId="21882"/>
    <cellStyle name="Total 2 2 8 2 3" xfId="22330"/>
    <cellStyle name="Total 2 2 8 3" xfId="21797"/>
    <cellStyle name="Total 2 2 9" xfId="20866"/>
    <cellStyle name="Total 2 2 9 2" xfId="21003"/>
    <cellStyle name="Total 2 2 9 2 2" xfId="21881"/>
    <cellStyle name="Total 2 2 9 2 3" xfId="22329"/>
    <cellStyle name="Total 2 2 9 3" xfId="21798"/>
    <cellStyle name="Total 2 3" xfId="20867"/>
    <cellStyle name="Total 2 3 2" xfId="20868"/>
    <cellStyle name="Total 2 3 2 2" xfId="21002"/>
    <cellStyle name="Total 2 3 2 2 2" xfId="21880"/>
    <cellStyle name="Total 2 3 2 2 3" xfId="22328"/>
    <cellStyle name="Total 2 3 2 3" xfId="21799"/>
    <cellStyle name="Total 2 3 3" xfId="20869"/>
    <cellStyle name="Total 2 3 3 2" xfId="21001"/>
    <cellStyle name="Total 2 3 3 2 2" xfId="21879"/>
    <cellStyle name="Total 2 3 3 2 3" xfId="22327"/>
    <cellStyle name="Total 2 3 3 3" xfId="21800"/>
    <cellStyle name="Total 2 3 4" xfId="20870"/>
    <cellStyle name="Total 2 3 4 2" xfId="21000"/>
    <cellStyle name="Total 2 3 4 2 2" xfId="21878"/>
    <cellStyle name="Total 2 3 4 2 3" xfId="22326"/>
    <cellStyle name="Total 2 3 4 3" xfId="21801"/>
    <cellStyle name="Total 2 3 5" xfId="20871"/>
    <cellStyle name="Total 2 3 5 2" xfId="20999"/>
    <cellStyle name="Total 2 3 5 2 2" xfId="21877"/>
    <cellStyle name="Total 2 3 5 2 3" xfId="22325"/>
    <cellStyle name="Total 2 3 5 3" xfId="21802"/>
    <cellStyle name="Total 2 4" xfId="20872"/>
    <cellStyle name="Total 2 4 2" xfId="20873"/>
    <cellStyle name="Total 2 4 2 2" xfId="20998"/>
    <cellStyle name="Total 2 4 2 2 2" xfId="21876"/>
    <cellStyle name="Total 2 4 2 2 3" xfId="22324"/>
    <cellStyle name="Total 2 4 2 3" xfId="21803"/>
    <cellStyle name="Total 2 4 3" xfId="20874"/>
    <cellStyle name="Total 2 4 3 2" xfId="20997"/>
    <cellStyle name="Total 2 4 3 2 2" xfId="21875"/>
    <cellStyle name="Total 2 4 3 2 3" xfId="22323"/>
    <cellStyle name="Total 2 4 3 3" xfId="21804"/>
    <cellStyle name="Total 2 4 4" xfId="20875"/>
    <cellStyle name="Total 2 4 4 2" xfId="20996"/>
    <cellStyle name="Total 2 4 4 2 2" xfId="21874"/>
    <cellStyle name="Total 2 4 4 2 3" xfId="22322"/>
    <cellStyle name="Total 2 4 4 3" xfId="21805"/>
    <cellStyle name="Total 2 4 5" xfId="20876"/>
    <cellStyle name="Total 2 4 5 2" xfId="20995"/>
    <cellStyle name="Total 2 4 5 2 2" xfId="21873"/>
    <cellStyle name="Total 2 4 5 2 3" xfId="22321"/>
    <cellStyle name="Total 2 4 5 3" xfId="21806"/>
    <cellStyle name="Total 2 5" xfId="20877"/>
    <cellStyle name="Total 2 5 2" xfId="20878"/>
    <cellStyle name="Total 2 5 2 2" xfId="20994"/>
    <cellStyle name="Total 2 5 2 2 2" xfId="21872"/>
    <cellStyle name="Total 2 5 2 2 3" xfId="22320"/>
    <cellStyle name="Total 2 5 2 3" xfId="21807"/>
    <cellStyle name="Total 2 5 3" xfId="20879"/>
    <cellStyle name="Total 2 5 3 2" xfId="20993"/>
    <cellStyle name="Total 2 5 3 2 2" xfId="21871"/>
    <cellStyle name="Total 2 5 3 2 3" xfId="22319"/>
    <cellStyle name="Total 2 5 3 3" xfId="21808"/>
    <cellStyle name="Total 2 5 4" xfId="20880"/>
    <cellStyle name="Total 2 5 4 2" xfId="20992"/>
    <cellStyle name="Total 2 5 4 2 2" xfId="21870"/>
    <cellStyle name="Total 2 5 4 2 3" xfId="22318"/>
    <cellStyle name="Total 2 5 4 3" xfId="21809"/>
    <cellStyle name="Total 2 5 5" xfId="20881"/>
    <cellStyle name="Total 2 5 5 2" xfId="20991"/>
    <cellStyle name="Total 2 5 5 2 2" xfId="21869"/>
    <cellStyle name="Total 2 5 5 2 3" xfId="22317"/>
    <cellStyle name="Total 2 5 5 3" xfId="21810"/>
    <cellStyle name="Total 2 6" xfId="20882"/>
    <cellStyle name="Total 2 6 2" xfId="20883"/>
    <cellStyle name="Total 2 6 2 2" xfId="20990"/>
    <cellStyle name="Total 2 6 2 2 2" xfId="21868"/>
    <cellStyle name="Total 2 6 2 2 3" xfId="22316"/>
    <cellStyle name="Total 2 6 2 3" xfId="21811"/>
    <cellStyle name="Total 2 6 3" xfId="20884"/>
    <cellStyle name="Total 2 6 3 2" xfId="20989"/>
    <cellStyle name="Total 2 6 3 2 2" xfId="21867"/>
    <cellStyle name="Total 2 6 3 2 3" xfId="22315"/>
    <cellStyle name="Total 2 6 3 3" xfId="21812"/>
    <cellStyle name="Total 2 6 4" xfId="20885"/>
    <cellStyle name="Total 2 6 4 2" xfId="20988"/>
    <cellStyle name="Total 2 6 4 2 2" xfId="21866"/>
    <cellStyle name="Total 2 6 4 2 3" xfId="22314"/>
    <cellStyle name="Total 2 6 4 3" xfId="21813"/>
    <cellStyle name="Total 2 6 5" xfId="20886"/>
    <cellStyle name="Total 2 6 5 2" xfId="20987"/>
    <cellStyle name="Total 2 6 5 2 2" xfId="21865"/>
    <cellStyle name="Total 2 6 5 2 3" xfId="22313"/>
    <cellStyle name="Total 2 6 5 3" xfId="21814"/>
    <cellStyle name="Total 2 7" xfId="20887"/>
    <cellStyle name="Total 2 7 2" xfId="20888"/>
    <cellStyle name="Total 2 7 2 2" xfId="20986"/>
    <cellStyle name="Total 2 7 2 2 2" xfId="21864"/>
    <cellStyle name="Total 2 7 2 2 3" xfId="22312"/>
    <cellStyle name="Total 2 7 2 3" xfId="21815"/>
    <cellStyle name="Total 2 7 3" xfId="20889"/>
    <cellStyle name="Total 2 7 3 2" xfId="20985"/>
    <cellStyle name="Total 2 7 3 2 2" xfId="21863"/>
    <cellStyle name="Total 2 7 3 2 3" xfId="22311"/>
    <cellStyle name="Total 2 7 3 3" xfId="21816"/>
    <cellStyle name="Total 2 7 4" xfId="20890"/>
    <cellStyle name="Total 2 7 4 2" xfId="20984"/>
    <cellStyle name="Total 2 7 4 2 2" xfId="21862"/>
    <cellStyle name="Total 2 7 4 2 3" xfId="22310"/>
    <cellStyle name="Total 2 7 4 3" xfId="21817"/>
    <cellStyle name="Total 2 7 5" xfId="20891"/>
    <cellStyle name="Total 2 7 5 2" xfId="20983"/>
    <cellStyle name="Total 2 7 5 2 2" xfId="21861"/>
    <cellStyle name="Total 2 7 5 2 3" xfId="22309"/>
    <cellStyle name="Total 2 7 5 3" xfId="21818"/>
    <cellStyle name="Total 2 8" xfId="20892"/>
    <cellStyle name="Total 2 8 2" xfId="20893"/>
    <cellStyle name="Total 2 8 2 2" xfId="20982"/>
    <cellStyle name="Total 2 8 2 2 2" xfId="21860"/>
    <cellStyle name="Total 2 8 2 2 3" xfId="22308"/>
    <cellStyle name="Total 2 8 2 3" xfId="21819"/>
    <cellStyle name="Total 2 8 3" xfId="20894"/>
    <cellStyle name="Total 2 8 3 2" xfId="20981"/>
    <cellStyle name="Total 2 8 3 2 2" xfId="21859"/>
    <cellStyle name="Total 2 8 3 2 3" xfId="22307"/>
    <cellStyle name="Total 2 8 3 3" xfId="21820"/>
    <cellStyle name="Total 2 8 4" xfId="20895"/>
    <cellStyle name="Total 2 8 4 2" xfId="20980"/>
    <cellStyle name="Total 2 8 4 2 2" xfId="21858"/>
    <cellStyle name="Total 2 8 4 2 3" xfId="22306"/>
    <cellStyle name="Total 2 8 4 3" xfId="21821"/>
    <cellStyle name="Total 2 8 5" xfId="20896"/>
    <cellStyle name="Total 2 8 5 2" xfId="20979"/>
    <cellStyle name="Total 2 8 5 2 2" xfId="21857"/>
    <cellStyle name="Total 2 8 5 2 3" xfId="22305"/>
    <cellStyle name="Total 2 8 5 3" xfId="21822"/>
    <cellStyle name="Total 2 9" xfId="20897"/>
    <cellStyle name="Total 2 9 2" xfId="20898"/>
    <cellStyle name="Total 2 9 2 2" xfId="20978"/>
    <cellStyle name="Total 2 9 2 2 2" xfId="21856"/>
    <cellStyle name="Total 2 9 2 2 3" xfId="22304"/>
    <cellStyle name="Total 2 9 2 3" xfId="21823"/>
    <cellStyle name="Total 2 9 3" xfId="20899"/>
    <cellStyle name="Total 2 9 3 2" xfId="20977"/>
    <cellStyle name="Total 2 9 3 2 2" xfId="21855"/>
    <cellStyle name="Total 2 9 3 2 3" xfId="22303"/>
    <cellStyle name="Total 2 9 3 3" xfId="21824"/>
    <cellStyle name="Total 2 9 4" xfId="20900"/>
    <cellStyle name="Total 2 9 4 2" xfId="20976"/>
    <cellStyle name="Total 2 9 4 2 2" xfId="21854"/>
    <cellStyle name="Total 2 9 4 2 3" xfId="22302"/>
    <cellStyle name="Total 2 9 4 3" xfId="21825"/>
    <cellStyle name="Total 2 9 5" xfId="20901"/>
    <cellStyle name="Total 2 9 5 2" xfId="20975"/>
    <cellStyle name="Total 2 9 5 2 2" xfId="21853"/>
    <cellStyle name="Total 2 9 5 2 3" xfId="22301"/>
    <cellStyle name="Total 2 9 5 3" xfId="21826"/>
    <cellStyle name="Total 3" xfId="20902"/>
    <cellStyle name="Total 3 2" xfId="20903"/>
    <cellStyle name="Total 3 2 2" xfId="20973"/>
    <cellStyle name="Total 3 2 2 2" xfId="21851"/>
    <cellStyle name="Total 3 2 2 3" xfId="22299"/>
    <cellStyle name="Total 3 2 3" xfId="21828"/>
    <cellStyle name="Total 3 3" xfId="20904"/>
    <cellStyle name="Total 3 3 2" xfId="20972"/>
    <cellStyle name="Total 3 3 2 2" xfId="21850"/>
    <cellStyle name="Total 3 3 2 3" xfId="22298"/>
    <cellStyle name="Total 3 3 3" xfId="21829"/>
    <cellStyle name="Total 3 4" xfId="20974"/>
    <cellStyle name="Total 3 4 2" xfId="21852"/>
    <cellStyle name="Total 3 4 3" xfId="22300"/>
    <cellStyle name="Total 3 5" xfId="21827"/>
    <cellStyle name="Total 4" xfId="20905"/>
    <cellStyle name="Total 4 2" xfId="20906"/>
    <cellStyle name="Total 4 2 2" xfId="20970"/>
    <cellStyle name="Total 4 2 2 2" xfId="21848"/>
    <cellStyle name="Total 4 2 2 3" xfId="22296"/>
    <cellStyle name="Total 4 2 3" xfId="21831"/>
    <cellStyle name="Total 4 3" xfId="20907"/>
    <cellStyle name="Total 4 3 2" xfId="20969"/>
    <cellStyle name="Total 4 3 2 2" xfId="21847"/>
    <cellStyle name="Total 4 3 2 3" xfId="22295"/>
    <cellStyle name="Total 4 3 3" xfId="21832"/>
    <cellStyle name="Total 4 4" xfId="20971"/>
    <cellStyle name="Total 4 4 2" xfId="21849"/>
    <cellStyle name="Total 4 4 3" xfId="22297"/>
    <cellStyle name="Total 4 5" xfId="21830"/>
    <cellStyle name="Total 5" xfId="20908"/>
    <cellStyle name="Total 5 2" xfId="20909"/>
    <cellStyle name="Total 5 2 2" xfId="20967"/>
    <cellStyle name="Total 5 2 2 2" xfId="21845"/>
    <cellStyle name="Total 5 2 2 3" xfId="22293"/>
    <cellStyle name="Total 5 2 3" xfId="21834"/>
    <cellStyle name="Total 5 3" xfId="20910"/>
    <cellStyle name="Total 5 3 2" xfId="20966"/>
    <cellStyle name="Total 5 3 2 2" xfId="21844"/>
    <cellStyle name="Total 5 3 2 3" xfId="22292"/>
    <cellStyle name="Total 5 3 3" xfId="21835"/>
    <cellStyle name="Total 5 4" xfId="20968"/>
    <cellStyle name="Total 5 4 2" xfId="21846"/>
    <cellStyle name="Total 5 4 3" xfId="22294"/>
    <cellStyle name="Total 5 5" xfId="21833"/>
    <cellStyle name="Total 6" xfId="20911"/>
    <cellStyle name="Total 6 2" xfId="20912"/>
    <cellStyle name="Total 6 2 2" xfId="20964"/>
    <cellStyle name="Total 6 2 2 2" xfId="21842"/>
    <cellStyle name="Total 6 2 2 3" xfId="22290"/>
    <cellStyle name="Total 6 2 3" xfId="21837"/>
    <cellStyle name="Total 6 3" xfId="20913"/>
    <cellStyle name="Total 6 3 2" xfId="20963"/>
    <cellStyle name="Total 6 3 2 2" xfId="21841"/>
    <cellStyle name="Total 6 3 2 3" xfId="22289"/>
    <cellStyle name="Total 6 3 3" xfId="21838"/>
    <cellStyle name="Total 6 4" xfId="20965"/>
    <cellStyle name="Total 6 4 2" xfId="21843"/>
    <cellStyle name="Total 6 4 3" xfId="22291"/>
    <cellStyle name="Total 6 5" xfId="21836"/>
    <cellStyle name="Total 7" xfId="20914"/>
    <cellStyle name="Total 7 2" xfId="20962"/>
    <cellStyle name="Total 7 2 2" xfId="21840"/>
    <cellStyle name="Total 7 2 3" xfId="22288"/>
    <cellStyle name="Total 7 3" xfId="2183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34"/>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57" t="s">
        <v>254</v>
      </c>
      <c r="C1" s="75"/>
    </row>
    <row r="2" spans="1:3" s="154" customFormat="1" ht="15.75">
      <c r="A2" s="196">
        <v>1</v>
      </c>
      <c r="B2" s="155" t="s">
        <v>255</v>
      </c>
      <c r="C2" s="674" t="s">
        <v>1003</v>
      </c>
    </row>
    <row r="3" spans="1:3" s="154" customFormat="1" ht="15.75">
      <c r="A3" s="196">
        <v>2</v>
      </c>
      <c r="B3" s="156" t="s">
        <v>256</v>
      </c>
      <c r="C3" s="674" t="s">
        <v>971</v>
      </c>
    </row>
    <row r="4" spans="1:3" s="154" customFormat="1" ht="15.75">
      <c r="A4" s="196">
        <v>3</v>
      </c>
      <c r="B4" s="156" t="s">
        <v>257</v>
      </c>
      <c r="C4" s="674" t="s">
        <v>1004</v>
      </c>
    </row>
    <row r="5" spans="1:3" s="154" customFormat="1" ht="15.75">
      <c r="A5" s="197">
        <v>4</v>
      </c>
      <c r="B5" s="159" t="s">
        <v>258</v>
      </c>
      <c r="C5" s="674" t="s">
        <v>1005</v>
      </c>
    </row>
    <row r="6" spans="1:3" s="158" customFormat="1" ht="65.25" customHeight="1">
      <c r="A6" s="739" t="s">
        <v>490</v>
      </c>
      <c r="B6" s="740"/>
      <c r="C6" s="740"/>
    </row>
    <row r="7" spans="1:3">
      <c r="A7" s="320" t="s">
        <v>403</v>
      </c>
      <c r="B7" s="321" t="s">
        <v>259</v>
      </c>
    </row>
    <row r="8" spans="1:3">
      <c r="A8" s="322">
        <v>1</v>
      </c>
      <c r="B8" s="318" t="s">
        <v>223</v>
      </c>
    </row>
    <row r="9" spans="1:3">
      <c r="A9" s="322">
        <v>2</v>
      </c>
      <c r="B9" s="318" t="s">
        <v>260</v>
      </c>
    </row>
    <row r="10" spans="1:3">
      <c r="A10" s="322">
        <v>3</v>
      </c>
      <c r="B10" s="318" t="s">
        <v>261</v>
      </c>
    </row>
    <row r="11" spans="1:3">
      <c r="A11" s="322">
        <v>4</v>
      </c>
      <c r="B11" s="318" t="s">
        <v>262</v>
      </c>
      <c r="C11" s="153"/>
    </row>
    <row r="12" spans="1:3">
      <c r="A12" s="322">
        <v>5</v>
      </c>
      <c r="B12" s="318" t="s">
        <v>187</v>
      </c>
    </row>
    <row r="13" spans="1:3">
      <c r="A13" s="322">
        <v>6</v>
      </c>
      <c r="B13" s="323" t="s">
        <v>149</v>
      </c>
    </row>
    <row r="14" spans="1:3">
      <c r="A14" s="322">
        <v>7</v>
      </c>
      <c r="B14" s="318" t="s">
        <v>263</v>
      </c>
    </row>
    <row r="15" spans="1:3">
      <c r="A15" s="322">
        <v>8</v>
      </c>
      <c r="B15" s="318" t="s">
        <v>266</v>
      </c>
    </row>
    <row r="16" spans="1:3">
      <c r="A16" s="322">
        <v>9</v>
      </c>
      <c r="B16" s="318" t="s">
        <v>88</v>
      </c>
    </row>
    <row r="17" spans="1:2">
      <c r="A17" s="324" t="s">
        <v>547</v>
      </c>
      <c r="B17" s="318" t="s">
        <v>527</v>
      </c>
    </row>
    <row r="18" spans="1:2">
      <c r="A18" s="322">
        <v>10</v>
      </c>
      <c r="B18" s="318" t="s">
        <v>269</v>
      </c>
    </row>
    <row r="19" spans="1:2">
      <c r="A19" s="322">
        <v>11</v>
      </c>
      <c r="B19" s="323" t="s">
        <v>250</v>
      </c>
    </row>
    <row r="20" spans="1:2">
      <c r="A20" s="322">
        <v>12</v>
      </c>
      <c r="B20" s="323" t="s">
        <v>247</v>
      </c>
    </row>
    <row r="21" spans="1:2">
      <c r="A21" s="322">
        <v>13</v>
      </c>
      <c r="B21" s="325" t="s">
        <v>460</v>
      </c>
    </row>
    <row r="22" spans="1:2">
      <c r="A22" s="322">
        <v>14</v>
      </c>
      <c r="B22" s="326" t="s">
        <v>520</v>
      </c>
    </row>
    <row r="23" spans="1:2">
      <c r="A23" s="327">
        <v>15</v>
      </c>
      <c r="B23" s="323" t="s">
        <v>77</v>
      </c>
    </row>
    <row r="24" spans="1:2">
      <c r="A24" s="327">
        <v>15.1</v>
      </c>
      <c r="B24" s="318" t="s">
        <v>556</v>
      </c>
    </row>
    <row r="25" spans="1:2">
      <c r="A25" s="327">
        <v>16</v>
      </c>
      <c r="B25" s="318" t="s">
        <v>624</v>
      </c>
    </row>
    <row r="26" spans="1:2">
      <c r="A26" s="327">
        <v>17</v>
      </c>
      <c r="B26" s="318" t="s">
        <v>937</v>
      </c>
    </row>
    <row r="27" spans="1:2">
      <c r="A27" s="327">
        <v>18</v>
      </c>
      <c r="B27" s="318" t="s">
        <v>958</v>
      </c>
    </row>
    <row r="28" spans="1:2">
      <c r="A28" s="327">
        <v>19</v>
      </c>
      <c r="B28" s="318" t="s">
        <v>959</v>
      </c>
    </row>
    <row r="29" spans="1:2">
      <c r="A29" s="327">
        <v>20</v>
      </c>
      <c r="B29" s="326" t="s">
        <v>723</v>
      </c>
    </row>
    <row r="30" spans="1:2">
      <c r="A30" s="327">
        <v>21</v>
      </c>
      <c r="B30" s="318" t="s">
        <v>741</v>
      </c>
    </row>
    <row r="31" spans="1:2">
      <c r="A31" s="327">
        <v>22</v>
      </c>
      <c r="B31" s="524" t="s">
        <v>758</v>
      </c>
    </row>
    <row r="32" spans="1:2" ht="26.25">
      <c r="A32" s="327">
        <v>23</v>
      </c>
      <c r="B32" s="524" t="s">
        <v>938</v>
      </c>
    </row>
    <row r="33" spans="1:2">
      <c r="A33" s="327">
        <v>24</v>
      </c>
      <c r="B33" s="318" t="s">
        <v>939</v>
      </c>
    </row>
    <row r="34" spans="1:2">
      <c r="A34" s="327">
        <v>25</v>
      </c>
      <c r="B34" s="318" t="s">
        <v>940</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C55"/>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RowHeight="15"/>
  <cols>
    <col min="1" max="1" width="9.5703125" style="4" bestFit="1" customWidth="1"/>
    <col min="2" max="2" width="132.42578125" style="1" customWidth="1"/>
    <col min="3" max="3" width="18.42578125" style="1" customWidth="1"/>
  </cols>
  <sheetData>
    <row r="1" spans="1:3" ht="15.75">
      <c r="A1" s="11" t="s">
        <v>188</v>
      </c>
      <c r="B1" s="10" t="s">
        <v>1003</v>
      </c>
    </row>
    <row r="2" spans="1:3" s="15" customFormat="1" ht="15.75" customHeight="1">
      <c r="A2" s="15" t="s">
        <v>189</v>
      </c>
      <c r="B2" s="383">
        <f>'1. key ratios'!B2</f>
        <v>44377</v>
      </c>
    </row>
    <row r="3" spans="1:3" s="15" customFormat="1" ht="15.75" customHeight="1"/>
    <row r="4" spans="1:3" ht="15.75" thickBot="1">
      <c r="A4" s="4" t="s">
        <v>412</v>
      </c>
      <c r="B4" s="52" t="s">
        <v>88</v>
      </c>
    </row>
    <row r="5" spans="1:3">
      <c r="A5" s="112" t="s">
        <v>26</v>
      </c>
      <c r="B5" s="113"/>
      <c r="C5" s="114" t="s">
        <v>27</v>
      </c>
    </row>
    <row r="6" spans="1:3">
      <c r="A6" s="115">
        <v>1</v>
      </c>
      <c r="B6" s="71" t="s">
        <v>28</v>
      </c>
      <c r="C6" s="566">
        <f>SUM(C7:C11)</f>
        <v>2231635133.9497027</v>
      </c>
    </row>
    <row r="7" spans="1:3">
      <c r="A7" s="115">
        <v>2</v>
      </c>
      <c r="B7" s="68" t="s">
        <v>29</v>
      </c>
      <c r="C7" s="567">
        <f>'2. RC'!E33</f>
        <v>27993660.18</v>
      </c>
    </row>
    <row r="8" spans="1:3">
      <c r="A8" s="115">
        <v>3</v>
      </c>
      <c r="B8" s="62" t="s">
        <v>30</v>
      </c>
      <c r="C8" s="567">
        <f>'2. RC'!E36</f>
        <v>215698241.75</v>
      </c>
    </row>
    <row r="9" spans="1:3">
      <c r="A9" s="115">
        <v>4</v>
      </c>
      <c r="B9" s="62" t="s">
        <v>31</v>
      </c>
      <c r="C9" s="567">
        <v>5799065</v>
      </c>
    </row>
    <row r="10" spans="1:3">
      <c r="A10" s="115">
        <v>5</v>
      </c>
      <c r="B10" s="62" t="s">
        <v>32</v>
      </c>
      <c r="C10" s="567"/>
    </row>
    <row r="11" spans="1:3">
      <c r="A11" s="115">
        <v>6</v>
      </c>
      <c r="B11" s="69" t="s">
        <v>33</v>
      </c>
      <c r="C11" s="567">
        <v>1982144167.0197029</v>
      </c>
    </row>
    <row r="12" spans="1:3" s="3" customFormat="1">
      <c r="A12" s="115">
        <v>7</v>
      </c>
      <c r="B12" s="71" t="s">
        <v>34</v>
      </c>
      <c r="C12" s="568">
        <f>SUM(C13:C27)</f>
        <v>158075113.75</v>
      </c>
    </row>
    <row r="13" spans="1:3" s="3" customFormat="1">
      <c r="A13" s="115">
        <v>8</v>
      </c>
      <c r="B13" s="70" t="s">
        <v>35</v>
      </c>
      <c r="C13" s="569">
        <v>5799065</v>
      </c>
    </row>
    <row r="14" spans="1:3" s="3" customFormat="1" ht="25.5">
      <c r="A14" s="115">
        <v>9</v>
      </c>
      <c r="B14" s="63" t="s">
        <v>36</v>
      </c>
      <c r="C14" s="569">
        <v>0</v>
      </c>
    </row>
    <row r="15" spans="1:3" s="3" customFormat="1">
      <c r="A15" s="115">
        <v>10</v>
      </c>
      <c r="B15" s="64" t="s">
        <v>37</v>
      </c>
      <c r="C15" s="569">
        <v>135759767.78</v>
      </c>
    </row>
    <row r="16" spans="1:3" s="3" customFormat="1">
      <c r="A16" s="115">
        <v>11</v>
      </c>
      <c r="B16" s="65" t="s">
        <v>38</v>
      </c>
      <c r="C16" s="569">
        <v>0</v>
      </c>
    </row>
    <row r="17" spans="1:3" s="3" customFormat="1">
      <c r="A17" s="115">
        <v>12</v>
      </c>
      <c r="B17" s="64" t="s">
        <v>39</v>
      </c>
      <c r="C17" s="569">
        <v>2793285.2</v>
      </c>
    </row>
    <row r="18" spans="1:3" s="3" customFormat="1">
      <c r="A18" s="115">
        <v>13</v>
      </c>
      <c r="B18" s="64" t="s">
        <v>40</v>
      </c>
      <c r="C18" s="569">
        <v>4002631.5900000003</v>
      </c>
    </row>
    <row r="19" spans="1:3" s="3" customFormat="1">
      <c r="A19" s="115">
        <v>14</v>
      </c>
      <c r="B19" s="64" t="s">
        <v>41</v>
      </c>
      <c r="C19" s="569">
        <v>0</v>
      </c>
    </row>
    <row r="20" spans="1:3" s="3" customFormat="1" ht="25.5">
      <c r="A20" s="115">
        <v>15</v>
      </c>
      <c r="B20" s="64" t="s">
        <v>42</v>
      </c>
      <c r="C20" s="569">
        <v>0</v>
      </c>
    </row>
    <row r="21" spans="1:3" s="3" customFormat="1" ht="25.5">
      <c r="A21" s="115">
        <v>16</v>
      </c>
      <c r="B21" s="63" t="s">
        <v>43</v>
      </c>
      <c r="C21" s="569">
        <v>0</v>
      </c>
    </row>
    <row r="22" spans="1:3" s="3" customFormat="1">
      <c r="A22" s="115">
        <v>17</v>
      </c>
      <c r="B22" s="116" t="s">
        <v>44</v>
      </c>
      <c r="C22" s="569">
        <v>9720364.1799999997</v>
      </c>
    </row>
    <row r="23" spans="1:3" s="3" customFormat="1" ht="25.5">
      <c r="A23" s="115">
        <v>18</v>
      </c>
      <c r="B23" s="63" t="s">
        <v>45</v>
      </c>
      <c r="C23" s="569">
        <v>0</v>
      </c>
    </row>
    <row r="24" spans="1:3" s="3" customFormat="1" ht="25.5">
      <c r="A24" s="115">
        <v>19</v>
      </c>
      <c r="B24" s="63" t="s">
        <v>46</v>
      </c>
      <c r="C24" s="569">
        <v>0</v>
      </c>
    </row>
    <row r="25" spans="1:3" s="3" customFormat="1" ht="25.5">
      <c r="A25" s="115">
        <v>20</v>
      </c>
      <c r="B25" s="66" t="s">
        <v>47</v>
      </c>
      <c r="C25" s="569">
        <v>0</v>
      </c>
    </row>
    <row r="26" spans="1:3" s="3" customFormat="1">
      <c r="A26" s="115">
        <v>21</v>
      </c>
      <c r="B26" s="66" t="s">
        <v>48</v>
      </c>
      <c r="C26" s="569">
        <v>0</v>
      </c>
    </row>
    <row r="27" spans="1:3" s="3" customFormat="1" ht="25.5">
      <c r="A27" s="115">
        <v>22</v>
      </c>
      <c r="B27" s="66" t="s">
        <v>49</v>
      </c>
      <c r="C27" s="569">
        <v>0</v>
      </c>
    </row>
    <row r="28" spans="1:3" s="3" customFormat="1">
      <c r="A28" s="115">
        <v>23</v>
      </c>
      <c r="B28" s="72" t="s">
        <v>23</v>
      </c>
      <c r="C28" s="568">
        <f>C6-C12</f>
        <v>2073560020.1997027</v>
      </c>
    </row>
    <row r="29" spans="1:3" s="3" customFormat="1">
      <c r="A29" s="117"/>
      <c r="B29" s="67"/>
      <c r="C29" s="569"/>
    </row>
    <row r="30" spans="1:3" s="3" customFormat="1">
      <c r="A30" s="117">
        <v>24</v>
      </c>
      <c r="B30" s="72" t="s">
        <v>50</v>
      </c>
      <c r="C30" s="568">
        <f>C31+C34</f>
        <v>316030000</v>
      </c>
    </row>
    <row r="31" spans="1:3" s="3" customFormat="1">
      <c r="A31" s="117">
        <v>25</v>
      </c>
      <c r="B31" s="62" t="s">
        <v>51</v>
      </c>
      <c r="C31" s="570">
        <f>C32+C33</f>
        <v>0</v>
      </c>
    </row>
    <row r="32" spans="1:3" s="3" customFormat="1">
      <c r="A32" s="117">
        <v>26</v>
      </c>
      <c r="B32" s="151" t="s">
        <v>52</v>
      </c>
      <c r="C32" s="569"/>
    </row>
    <row r="33" spans="1:3" s="3" customFormat="1">
      <c r="A33" s="117">
        <v>27</v>
      </c>
      <c r="B33" s="151" t="s">
        <v>53</v>
      </c>
      <c r="C33" s="569"/>
    </row>
    <row r="34" spans="1:3" s="3" customFormat="1">
      <c r="A34" s="117">
        <v>28</v>
      </c>
      <c r="B34" s="62" t="s">
        <v>54</v>
      </c>
      <c r="C34" s="569">
        <v>316030000</v>
      </c>
    </row>
    <row r="35" spans="1:3" s="3" customFormat="1">
      <c r="A35" s="117">
        <v>29</v>
      </c>
      <c r="B35" s="72" t="s">
        <v>55</v>
      </c>
      <c r="C35" s="568">
        <f>SUM(C36:C40)</f>
        <v>0</v>
      </c>
    </row>
    <row r="36" spans="1:3" s="3" customFormat="1">
      <c r="A36" s="117">
        <v>30</v>
      </c>
      <c r="B36" s="63" t="s">
        <v>56</v>
      </c>
      <c r="C36" s="569"/>
    </row>
    <row r="37" spans="1:3" s="3" customFormat="1">
      <c r="A37" s="117">
        <v>31</v>
      </c>
      <c r="B37" s="64" t="s">
        <v>57</v>
      </c>
      <c r="C37" s="569"/>
    </row>
    <row r="38" spans="1:3" s="3" customFormat="1" ht="25.5">
      <c r="A38" s="117">
        <v>32</v>
      </c>
      <c r="B38" s="63" t="s">
        <v>58</v>
      </c>
      <c r="C38" s="569"/>
    </row>
    <row r="39" spans="1:3" s="3" customFormat="1" ht="25.5">
      <c r="A39" s="117">
        <v>33</v>
      </c>
      <c r="B39" s="63" t="s">
        <v>46</v>
      </c>
      <c r="C39" s="569"/>
    </row>
    <row r="40" spans="1:3" s="3" customFormat="1" ht="25.5">
      <c r="A40" s="117">
        <v>34</v>
      </c>
      <c r="B40" s="66" t="s">
        <v>59</v>
      </c>
      <c r="C40" s="569"/>
    </row>
    <row r="41" spans="1:3" s="3" customFormat="1">
      <c r="A41" s="117">
        <v>35</v>
      </c>
      <c r="B41" s="72" t="s">
        <v>24</v>
      </c>
      <c r="C41" s="568">
        <f>C30-C35</f>
        <v>316030000</v>
      </c>
    </row>
    <row r="42" spans="1:3" s="3" customFormat="1">
      <c r="A42" s="117"/>
      <c r="B42" s="67"/>
      <c r="C42" s="569"/>
    </row>
    <row r="43" spans="1:3" s="3" customFormat="1">
      <c r="A43" s="117">
        <v>36</v>
      </c>
      <c r="B43" s="73" t="s">
        <v>60</v>
      </c>
      <c r="C43" s="568">
        <f>SUM(C44:C46)</f>
        <v>782067116.46875322</v>
      </c>
    </row>
    <row r="44" spans="1:3" s="3" customFormat="1">
      <c r="A44" s="117">
        <v>37</v>
      </c>
      <c r="B44" s="62" t="s">
        <v>61</v>
      </c>
      <c r="C44" s="569">
        <v>597296700</v>
      </c>
    </row>
    <row r="45" spans="1:3" s="3" customFormat="1">
      <c r="A45" s="117">
        <v>38</v>
      </c>
      <c r="B45" s="62" t="s">
        <v>62</v>
      </c>
      <c r="C45" s="569">
        <v>0</v>
      </c>
    </row>
    <row r="46" spans="1:3" s="3" customFormat="1">
      <c r="A46" s="117">
        <v>39</v>
      </c>
      <c r="B46" s="62" t="s">
        <v>63</v>
      </c>
      <c r="C46" s="569">
        <v>184770416.46875322</v>
      </c>
    </row>
    <row r="47" spans="1:3" s="3" customFormat="1">
      <c r="A47" s="117">
        <v>40</v>
      </c>
      <c r="B47" s="73" t="s">
        <v>64</v>
      </c>
      <c r="C47" s="568">
        <f>SUM(C48:C51)</f>
        <v>0</v>
      </c>
    </row>
    <row r="48" spans="1:3" s="3" customFormat="1">
      <c r="A48" s="117">
        <v>41</v>
      </c>
      <c r="B48" s="63" t="s">
        <v>65</v>
      </c>
      <c r="C48" s="569"/>
    </row>
    <row r="49" spans="1:3" s="3" customFormat="1">
      <c r="A49" s="117">
        <v>42</v>
      </c>
      <c r="B49" s="64" t="s">
        <v>66</v>
      </c>
      <c r="C49" s="569"/>
    </row>
    <row r="50" spans="1:3" s="3" customFormat="1" ht="25.5">
      <c r="A50" s="117">
        <v>43</v>
      </c>
      <c r="B50" s="63" t="s">
        <v>67</v>
      </c>
      <c r="C50" s="569"/>
    </row>
    <row r="51" spans="1:3" s="3" customFormat="1" ht="25.5">
      <c r="A51" s="117">
        <v>44</v>
      </c>
      <c r="B51" s="63" t="s">
        <v>46</v>
      </c>
      <c r="C51" s="569"/>
    </row>
    <row r="52" spans="1:3" s="3" customFormat="1" ht="15.75" thickBot="1">
      <c r="A52" s="118">
        <v>45</v>
      </c>
      <c r="B52" s="119" t="s">
        <v>25</v>
      </c>
      <c r="C52" s="229">
        <f>C43-C47</f>
        <v>782067116.46875322</v>
      </c>
    </row>
    <row r="55" spans="1:3">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H23"/>
  <sheetViews>
    <sheetView showGridLines="0" zoomScaleNormal="100" workbookViewId="0"/>
  </sheetViews>
  <sheetFormatPr defaultColWidth="9.140625" defaultRowHeight="12.75"/>
  <cols>
    <col min="1" max="1" width="10.85546875" style="277" bestFit="1" customWidth="1"/>
    <col min="2" max="2" width="59" style="277" customWidth="1"/>
    <col min="3" max="3" width="16.7109375" style="277" bestFit="1" customWidth="1"/>
    <col min="4" max="4" width="22.140625" style="658" customWidth="1"/>
    <col min="5" max="16384" width="9.140625" style="277"/>
  </cols>
  <sheetData>
    <row r="1" spans="1:8" ht="15">
      <c r="A1" s="11" t="s">
        <v>188</v>
      </c>
      <c r="B1" s="10" t="s">
        <v>1003</v>
      </c>
    </row>
    <row r="2" spans="1:8" s="15" customFormat="1" ht="15.75" customHeight="1">
      <c r="A2" s="15" t="s">
        <v>189</v>
      </c>
      <c r="B2" s="383">
        <f>'1. key ratios'!B2</f>
        <v>44377</v>
      </c>
      <c r="D2" s="657"/>
    </row>
    <row r="3" spans="1:8" s="15" customFormat="1" ht="15.75" customHeight="1">
      <c r="D3" s="657"/>
      <c r="H3" s="15">
        <v>0</v>
      </c>
    </row>
    <row r="4" spans="1:8" ht="13.5" thickBot="1">
      <c r="A4" s="278" t="s">
        <v>526</v>
      </c>
      <c r="B4" s="305" t="s">
        <v>527</v>
      </c>
    </row>
    <row r="5" spans="1:8" s="306" customFormat="1">
      <c r="A5" s="760" t="s">
        <v>528</v>
      </c>
      <c r="B5" s="761"/>
      <c r="C5" s="297" t="s">
        <v>529</v>
      </c>
      <c r="D5" s="656" t="s">
        <v>530</v>
      </c>
    </row>
    <row r="6" spans="1:8" s="307" customFormat="1">
      <c r="A6" s="298">
        <v>1</v>
      </c>
      <c r="B6" s="299" t="s">
        <v>531</v>
      </c>
      <c r="C6" s="299"/>
      <c r="D6" s="655"/>
    </row>
    <row r="7" spans="1:8" s="307" customFormat="1">
      <c r="A7" s="300" t="s">
        <v>532</v>
      </c>
      <c r="B7" s="301" t="s">
        <v>533</v>
      </c>
      <c r="C7" s="354">
        <v>4.4999999999999998E-2</v>
      </c>
      <c r="D7" s="654">
        <f>C7*'5. RWA'!$C$13</f>
        <v>746946468.01530981</v>
      </c>
    </row>
    <row r="8" spans="1:8" s="307" customFormat="1">
      <c r="A8" s="300" t="s">
        <v>534</v>
      </c>
      <c r="B8" s="301" t="s">
        <v>535</v>
      </c>
      <c r="C8" s="355">
        <v>0.06</v>
      </c>
      <c r="D8" s="654">
        <f>C8*'5. RWA'!$C$13</f>
        <v>995928624.02041316</v>
      </c>
    </row>
    <row r="9" spans="1:8" s="307" customFormat="1">
      <c r="A9" s="300" t="s">
        <v>536</v>
      </c>
      <c r="B9" s="301" t="s">
        <v>537</v>
      </c>
      <c r="C9" s="355">
        <v>0.08</v>
      </c>
      <c r="D9" s="654">
        <f>C9*'5. RWA'!$C$13</f>
        <v>1327904832.0272176</v>
      </c>
    </row>
    <row r="10" spans="1:8" s="307" customFormat="1">
      <c r="A10" s="298" t="s">
        <v>538</v>
      </c>
      <c r="B10" s="299" t="s">
        <v>539</v>
      </c>
      <c r="C10" s="356"/>
      <c r="D10" s="653"/>
    </row>
    <row r="11" spans="1:8" s="308" customFormat="1">
      <c r="A11" s="302" t="s">
        <v>540</v>
      </c>
      <c r="B11" s="303" t="s">
        <v>602</v>
      </c>
      <c r="C11" s="679">
        <v>2.5000000000000001E-2</v>
      </c>
      <c r="D11" s="652">
        <f>C11*'5. RWA'!$C$13</f>
        <v>414970260.00850552</v>
      </c>
    </row>
    <row r="12" spans="1:8" s="308" customFormat="1">
      <c r="A12" s="302" t="s">
        <v>541</v>
      </c>
      <c r="B12" s="303" t="s">
        <v>542</v>
      </c>
      <c r="C12" s="357">
        <v>0</v>
      </c>
      <c r="D12" s="652">
        <f>C12*'5. RWA'!$C$13</f>
        <v>0</v>
      </c>
    </row>
    <row r="13" spans="1:8" s="308" customFormat="1">
      <c r="A13" s="302" t="s">
        <v>543</v>
      </c>
      <c r="B13" s="303" t="s">
        <v>544</v>
      </c>
      <c r="C13" s="357">
        <v>0.02</v>
      </c>
      <c r="D13" s="652">
        <f>C13*'5. RWA'!$C$13</f>
        <v>331976208.00680441</v>
      </c>
    </row>
    <row r="14" spans="1:8" s="307" customFormat="1">
      <c r="A14" s="298" t="s">
        <v>545</v>
      </c>
      <c r="B14" s="299" t="s">
        <v>600</v>
      </c>
      <c r="C14" s="358"/>
      <c r="D14" s="653"/>
    </row>
    <row r="15" spans="1:8" s="307" customFormat="1">
      <c r="A15" s="319" t="s">
        <v>548</v>
      </c>
      <c r="B15" s="303" t="s">
        <v>601</v>
      </c>
      <c r="C15" s="357">
        <v>2.1480913789548244E-2</v>
      </c>
      <c r="D15" s="652">
        <f>C15*'5. RWA'!$C$13</f>
        <v>356557615.21876502</v>
      </c>
    </row>
    <row r="16" spans="1:8" s="307" customFormat="1">
      <c r="A16" s="319" t="s">
        <v>549</v>
      </c>
      <c r="B16" s="303" t="s">
        <v>551</v>
      </c>
      <c r="C16" s="357">
        <v>2.8716138994559687E-2</v>
      </c>
      <c r="D16" s="652">
        <f>C16*'5. RWA'!$C$13</f>
        <v>476653746.60051268</v>
      </c>
    </row>
    <row r="17" spans="1:6" s="307" customFormat="1">
      <c r="A17" s="319" t="s">
        <v>550</v>
      </c>
      <c r="B17" s="303" t="s">
        <v>598</v>
      </c>
      <c r="C17" s="357">
        <v>5.212368775636695E-2</v>
      </c>
      <c r="D17" s="652">
        <f>C17*'5. RWA'!$C$13</f>
        <v>865191210.43446994</v>
      </c>
    </row>
    <row r="18" spans="1:6" s="306" customFormat="1">
      <c r="A18" s="762" t="s">
        <v>599</v>
      </c>
      <c r="B18" s="763"/>
      <c r="C18" s="359" t="s">
        <v>529</v>
      </c>
      <c r="D18" s="651" t="s">
        <v>530</v>
      </c>
    </row>
    <row r="19" spans="1:6" s="307" customFormat="1">
      <c r="A19" s="304">
        <v>4</v>
      </c>
      <c r="B19" s="303" t="s">
        <v>23</v>
      </c>
      <c r="C19" s="357">
        <f>C7+C11+C12+C13+C15</f>
        <v>0.11148091378954825</v>
      </c>
      <c r="D19" s="654">
        <f>C19*'5. RWA'!$C$13</f>
        <v>1850450551.2493849</v>
      </c>
      <c r="E19" s="571"/>
      <c r="F19" s="572"/>
    </row>
    <row r="20" spans="1:6" s="307" customFormat="1">
      <c r="A20" s="304">
        <v>5</v>
      </c>
      <c r="B20" s="303" t="s">
        <v>89</v>
      </c>
      <c r="C20" s="357">
        <f>C8+C11+C12+C13+C16</f>
        <v>0.1337161389945597</v>
      </c>
      <c r="D20" s="654">
        <f>C20*'5. RWA'!$C$13</f>
        <v>2219528838.6362357</v>
      </c>
      <c r="E20" s="571"/>
      <c r="F20" s="572"/>
    </row>
    <row r="21" spans="1:6" s="307" customFormat="1" ht="13.5" thickBot="1">
      <c r="A21" s="309" t="s">
        <v>546</v>
      </c>
      <c r="B21" s="310" t="s">
        <v>88</v>
      </c>
      <c r="C21" s="360">
        <f>C9+C11+C12+C13+C17</f>
        <v>0.17712368775636694</v>
      </c>
      <c r="D21" s="650">
        <f>C21*'5. RWA'!$C$13</f>
        <v>2940042510.4769974</v>
      </c>
      <c r="E21" s="571"/>
      <c r="F21" s="572"/>
    </row>
    <row r="22" spans="1:6">
      <c r="F22" s="278"/>
    </row>
    <row r="23" spans="1:6">
      <c r="B23" s="17"/>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H48"/>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RowHeight="15.75"/>
  <cols>
    <col min="1" max="1" width="10.7109375" style="58" customWidth="1"/>
    <col min="2" max="2" width="91.85546875" style="591" customWidth="1"/>
    <col min="3" max="3" width="53.140625" style="58" customWidth="1"/>
    <col min="4" max="4" width="32.28515625" style="58" customWidth="1"/>
  </cols>
  <sheetData>
    <row r="1" spans="1:8" ht="17.25" customHeight="1">
      <c r="A1" s="11" t="s">
        <v>188</v>
      </c>
      <c r="B1" s="573" t="s">
        <v>1003</v>
      </c>
    </row>
    <row r="2" spans="1:8" s="15" customFormat="1" ht="17.25" customHeight="1">
      <c r="A2" s="15" t="s">
        <v>189</v>
      </c>
      <c r="B2" s="574">
        <f>'1. key ratios'!B2</f>
        <v>44377</v>
      </c>
    </row>
    <row r="3" spans="1:8" s="15" customFormat="1" ht="17.25" customHeight="1">
      <c r="A3" s="20"/>
      <c r="B3" s="161"/>
      <c r="H3" s="15">
        <v>0</v>
      </c>
    </row>
    <row r="4" spans="1:8" s="15" customFormat="1" ht="17.25" customHeight="1" thickBot="1">
      <c r="A4" s="15" t="s">
        <v>413</v>
      </c>
      <c r="B4" s="575" t="s">
        <v>269</v>
      </c>
      <c r="D4" s="175" t="s">
        <v>93</v>
      </c>
    </row>
    <row r="5" spans="1:8" ht="17.25" customHeight="1">
      <c r="A5" s="127" t="s">
        <v>26</v>
      </c>
      <c r="B5" s="576" t="s">
        <v>231</v>
      </c>
      <c r="C5" s="541" t="s">
        <v>237</v>
      </c>
      <c r="D5" s="174" t="s">
        <v>270</v>
      </c>
    </row>
    <row r="6" spans="1:8" ht="17.25" customHeight="1">
      <c r="A6" s="577">
        <v>1</v>
      </c>
      <c r="B6" s="578" t="s">
        <v>154</v>
      </c>
      <c r="C6" s="579">
        <f>'2. RC'!E7</f>
        <v>698697897.18000007</v>
      </c>
      <c r="D6" s="580"/>
    </row>
    <row r="7" spans="1:8" ht="17.25" customHeight="1">
      <c r="A7" s="577">
        <v>2</v>
      </c>
      <c r="B7" s="581" t="s">
        <v>155</v>
      </c>
      <c r="C7" s="579">
        <f>'2. RC'!E8</f>
        <v>2122691524.2299998</v>
      </c>
      <c r="D7" s="120"/>
    </row>
    <row r="8" spans="1:8" ht="17.25" customHeight="1">
      <c r="A8" s="577">
        <v>3</v>
      </c>
      <c r="B8" s="581" t="s">
        <v>156</v>
      </c>
      <c r="C8" s="579">
        <f>'2. RC'!E9</f>
        <v>831101923.68999994</v>
      </c>
      <c r="D8" s="120"/>
    </row>
    <row r="9" spans="1:8" ht="17.25" customHeight="1">
      <c r="A9" s="577">
        <v>4</v>
      </c>
      <c r="B9" s="581" t="s">
        <v>185</v>
      </c>
      <c r="C9" s="579">
        <f>'2. RC'!E10</f>
        <v>303.24</v>
      </c>
      <c r="D9" s="120"/>
    </row>
    <row r="10" spans="1:8" ht="17.25" customHeight="1">
      <c r="A10" s="577">
        <v>5</v>
      </c>
      <c r="B10" s="581" t="s">
        <v>157</v>
      </c>
      <c r="C10" s="579">
        <f>'2. RC'!E11</f>
        <v>1989811701.8700004</v>
      </c>
      <c r="D10" s="120"/>
    </row>
    <row r="11" spans="1:8" ht="17.25" customHeight="1">
      <c r="A11" s="577"/>
      <c r="B11" s="582" t="s">
        <v>488</v>
      </c>
      <c r="C11" s="579">
        <v>-548421.14</v>
      </c>
      <c r="D11" s="198" t="s">
        <v>964</v>
      </c>
    </row>
    <row r="12" spans="1:8" ht="17.25" customHeight="1">
      <c r="A12" s="577">
        <v>6.1</v>
      </c>
      <c r="B12" s="581" t="s">
        <v>158</v>
      </c>
      <c r="C12" s="579">
        <f>'2. RC'!E12</f>
        <v>13954607891.308498</v>
      </c>
      <c r="D12" s="198"/>
    </row>
    <row r="13" spans="1:8" ht="17.25" customHeight="1">
      <c r="A13" s="577">
        <v>6.2</v>
      </c>
      <c r="B13" s="582" t="s">
        <v>159</v>
      </c>
      <c r="C13" s="231">
        <f>'2. RC'!E13</f>
        <v>-657823618.35680008</v>
      </c>
      <c r="D13" s="198"/>
    </row>
    <row r="14" spans="1:8" ht="17.25" customHeight="1">
      <c r="A14" s="577" t="s">
        <v>487</v>
      </c>
      <c r="B14" s="582" t="s">
        <v>488</v>
      </c>
      <c r="C14" s="231">
        <v>-243203274.59619993</v>
      </c>
      <c r="D14" s="198" t="s">
        <v>964</v>
      </c>
    </row>
    <row r="15" spans="1:8" ht="17.25" customHeight="1">
      <c r="A15" s="577" t="s">
        <v>622</v>
      </c>
      <c r="B15" s="582" t="s">
        <v>611</v>
      </c>
      <c r="C15" s="231">
        <v>-35681924.619999997</v>
      </c>
      <c r="D15" s="198"/>
    </row>
    <row r="16" spans="1:8" ht="17.25" customHeight="1">
      <c r="A16" s="577">
        <v>6</v>
      </c>
      <c r="B16" s="581" t="s">
        <v>160</v>
      </c>
      <c r="C16" s="237">
        <f>C12+C13</f>
        <v>13296784272.951698</v>
      </c>
      <c r="D16" s="198"/>
    </row>
    <row r="17" spans="1:4" ht="17.25" customHeight="1">
      <c r="A17" s="577">
        <v>7</v>
      </c>
      <c r="B17" s="581" t="s">
        <v>161</v>
      </c>
      <c r="C17" s="230">
        <f>'2. RC'!E15</f>
        <v>190317267.75830001</v>
      </c>
      <c r="D17" s="198"/>
    </row>
    <row r="18" spans="1:4" ht="17.25" customHeight="1">
      <c r="A18" s="577">
        <v>8</v>
      </c>
      <c r="B18" s="581" t="s">
        <v>162</v>
      </c>
      <c r="C18" s="230">
        <f>'2. RC'!E16</f>
        <v>99459384.688999996</v>
      </c>
      <c r="D18" s="198"/>
    </row>
    <row r="19" spans="1:4" ht="17.25" customHeight="1">
      <c r="A19" s="577">
        <v>9</v>
      </c>
      <c r="B19" s="581" t="s">
        <v>163</v>
      </c>
      <c r="C19" s="230">
        <f>'2. RC'!E17</f>
        <v>152366381.46000001</v>
      </c>
      <c r="D19" s="198" t="s">
        <v>965</v>
      </c>
    </row>
    <row r="20" spans="1:4" ht="17.25" customHeight="1">
      <c r="A20" s="577">
        <v>9.1</v>
      </c>
      <c r="B20" s="582" t="s">
        <v>246</v>
      </c>
      <c r="C20" s="231">
        <v>9720364.1799999997</v>
      </c>
      <c r="D20" s="198" t="s">
        <v>966</v>
      </c>
    </row>
    <row r="21" spans="1:4" ht="17.25" customHeight="1">
      <c r="A21" s="577">
        <v>9.1999999999999993</v>
      </c>
      <c r="B21" s="582" t="s">
        <v>236</v>
      </c>
      <c r="C21" s="231">
        <v>4002631.5900000003</v>
      </c>
      <c r="D21" s="198" t="s">
        <v>967</v>
      </c>
    </row>
    <row r="22" spans="1:4" ht="17.25" customHeight="1">
      <c r="A22" s="577">
        <v>9.3000000000000007</v>
      </c>
      <c r="B22" s="582" t="s">
        <v>235</v>
      </c>
      <c r="C22" s="231">
        <f>'9. Capital'!C24</f>
        <v>0</v>
      </c>
      <c r="D22" s="120"/>
    </row>
    <row r="23" spans="1:4" ht="17.25" customHeight="1">
      <c r="A23" s="577">
        <v>10</v>
      </c>
      <c r="B23" s="581" t="s">
        <v>164</v>
      </c>
      <c r="C23" s="230">
        <f>'2. RC'!E18</f>
        <v>517421737</v>
      </c>
      <c r="D23" s="198" t="s">
        <v>440</v>
      </c>
    </row>
    <row r="24" spans="1:4" ht="17.25" customHeight="1">
      <c r="A24" s="577">
        <v>10.1</v>
      </c>
      <c r="B24" s="582" t="s">
        <v>234</v>
      </c>
      <c r="C24" s="230">
        <f>'9. Capital'!C16</f>
        <v>0</v>
      </c>
      <c r="D24" s="121"/>
    </row>
    <row r="25" spans="1:4" ht="17.25" customHeight="1">
      <c r="A25" s="577">
        <v>11</v>
      </c>
      <c r="B25" s="583" t="s">
        <v>165</v>
      </c>
      <c r="C25" s="232">
        <f>'2. RC'!E19</f>
        <v>246719464.29510003</v>
      </c>
      <c r="D25" s="198" t="s">
        <v>968</v>
      </c>
    </row>
    <row r="26" spans="1:4" ht="17.25" customHeight="1">
      <c r="A26" s="577"/>
      <c r="B26" s="584"/>
      <c r="C26" s="585">
        <f>'9. Capital'!C21</f>
        <v>0</v>
      </c>
      <c r="D26" s="124"/>
    </row>
    <row r="27" spans="1:4" ht="17.25" customHeight="1">
      <c r="A27" s="577">
        <v>12</v>
      </c>
      <c r="B27" s="586" t="s">
        <v>166</v>
      </c>
      <c r="C27" s="233">
        <f>SUM(C6:C10,C16:C19,C23,C25)</f>
        <v>20145371858.364098</v>
      </c>
      <c r="D27" s="122"/>
    </row>
    <row r="28" spans="1:4" ht="17.25" customHeight="1">
      <c r="A28" s="577">
        <v>13</v>
      </c>
      <c r="B28" s="581" t="s">
        <v>167</v>
      </c>
      <c r="C28" s="234">
        <f>'2. RC'!E22</f>
        <v>246132613.71999997</v>
      </c>
      <c r="D28" s="123"/>
    </row>
    <row r="29" spans="1:4" ht="17.25" customHeight="1">
      <c r="A29" s="577">
        <v>14</v>
      </c>
      <c r="B29" s="581" t="s">
        <v>168</v>
      </c>
      <c r="C29" s="234">
        <f>'2. RC'!E23</f>
        <v>2992460461.3864999</v>
      </c>
      <c r="D29" s="120"/>
    </row>
    <row r="30" spans="1:4" ht="17.25" customHeight="1">
      <c r="A30" s="577">
        <v>15</v>
      </c>
      <c r="B30" s="581" t="s">
        <v>169</v>
      </c>
      <c r="C30" s="234">
        <f>'2. RC'!E24</f>
        <v>2944381674.6899996</v>
      </c>
      <c r="D30" s="120"/>
    </row>
    <row r="31" spans="1:4" ht="17.25" customHeight="1">
      <c r="A31" s="577">
        <v>16</v>
      </c>
      <c r="B31" s="581" t="s">
        <v>170</v>
      </c>
      <c r="C31" s="234">
        <f>'2. RC'!E25</f>
        <v>7506627385.3400002</v>
      </c>
      <c r="D31" s="120"/>
    </row>
    <row r="32" spans="1:4" ht="17.25" customHeight="1">
      <c r="A32" s="577">
        <v>17</v>
      </c>
      <c r="B32" s="581" t="s">
        <v>171</v>
      </c>
      <c r="C32" s="234">
        <f>'2. RC'!E26</f>
        <v>1035349129.26</v>
      </c>
      <c r="D32" s="120"/>
    </row>
    <row r="33" spans="1:4" ht="17.25" customHeight="1">
      <c r="A33" s="577">
        <v>18</v>
      </c>
      <c r="B33" s="581" t="s">
        <v>172</v>
      </c>
      <c r="C33" s="234">
        <f>'2. RC'!E27</f>
        <v>1704504455.1700001</v>
      </c>
      <c r="D33" s="120"/>
    </row>
    <row r="34" spans="1:4" ht="17.25" customHeight="1">
      <c r="A34" s="577">
        <v>19</v>
      </c>
      <c r="B34" s="581" t="s">
        <v>173</v>
      </c>
      <c r="C34" s="234">
        <f>'2. RC'!E28</f>
        <v>95180522.729999989</v>
      </c>
      <c r="D34" s="120"/>
    </row>
    <row r="35" spans="1:4" ht="17.25" customHeight="1">
      <c r="A35" s="577">
        <v>20</v>
      </c>
      <c r="B35" s="581" t="s">
        <v>95</v>
      </c>
      <c r="C35" s="234">
        <f>'2. RC'!E29</f>
        <v>390078667.14789999</v>
      </c>
      <c r="D35" s="120"/>
    </row>
    <row r="36" spans="1:4" ht="17.25" customHeight="1">
      <c r="A36" s="577">
        <v>20.100000000000001</v>
      </c>
      <c r="B36" s="587" t="s">
        <v>486</v>
      </c>
      <c r="C36" s="232">
        <v>29990718.702</v>
      </c>
      <c r="D36" s="121"/>
    </row>
    <row r="37" spans="1:4" ht="17.25" customHeight="1">
      <c r="A37" s="577">
        <v>21</v>
      </c>
      <c r="B37" s="583" t="s">
        <v>174</v>
      </c>
      <c r="C37" s="232" t="s">
        <v>969</v>
      </c>
      <c r="D37" s="121"/>
    </row>
    <row r="38" spans="1:4" ht="17.25" customHeight="1">
      <c r="A38" s="577">
        <v>21.1</v>
      </c>
      <c r="B38" s="587" t="s">
        <v>233</v>
      </c>
      <c r="C38" s="235">
        <v>597296700</v>
      </c>
      <c r="D38" s="124"/>
    </row>
    <row r="39" spans="1:4" ht="17.25" customHeight="1">
      <c r="A39" s="577"/>
      <c r="B39" s="588"/>
      <c r="C39" s="589">
        <f>'9. Capital'!C34</f>
        <v>316030000</v>
      </c>
      <c r="D39" s="124"/>
    </row>
    <row r="40" spans="1:4" ht="17.25" customHeight="1">
      <c r="A40" s="577">
        <v>22</v>
      </c>
      <c r="B40" s="586" t="s">
        <v>175</v>
      </c>
      <c r="C40" s="233">
        <f>SUM(C28:C37)</f>
        <v>16944705628.146399</v>
      </c>
      <c r="D40" s="122"/>
    </row>
    <row r="41" spans="1:4" ht="17.25" customHeight="1">
      <c r="A41" s="577">
        <v>23</v>
      </c>
      <c r="B41" s="583" t="s">
        <v>176</v>
      </c>
      <c r="C41" s="230">
        <f>'2. RC'!E33</f>
        <v>27993660.18</v>
      </c>
      <c r="D41" s="120"/>
    </row>
    <row r="42" spans="1:4" ht="17.25" customHeight="1">
      <c r="A42" s="577">
        <v>24</v>
      </c>
      <c r="B42" s="583" t="s">
        <v>177</v>
      </c>
      <c r="C42" s="230">
        <f>'2. RC'!E34</f>
        <v>0</v>
      </c>
      <c r="D42" s="120"/>
    </row>
    <row r="43" spans="1:4" ht="17.25" customHeight="1">
      <c r="A43" s="577">
        <v>25</v>
      </c>
      <c r="B43" s="583" t="s">
        <v>232</v>
      </c>
      <c r="C43" s="230">
        <f>'2. RC'!E35</f>
        <v>-2793285.2</v>
      </c>
      <c r="D43" s="120"/>
    </row>
    <row r="44" spans="1:4" ht="17.25" customHeight="1">
      <c r="A44" s="577">
        <v>26</v>
      </c>
      <c r="B44" s="583" t="s">
        <v>179</v>
      </c>
      <c r="C44" s="230">
        <f>'2. RC'!E36</f>
        <v>215698241.75</v>
      </c>
      <c r="D44" s="120"/>
    </row>
    <row r="45" spans="1:4" ht="17.25" customHeight="1">
      <c r="A45" s="577">
        <v>27</v>
      </c>
      <c r="B45" s="583" t="s">
        <v>180</v>
      </c>
      <c r="C45" s="230">
        <f>'2. RC'!E37</f>
        <v>0</v>
      </c>
      <c r="D45" s="120"/>
    </row>
    <row r="46" spans="1:4" ht="17.25" customHeight="1">
      <c r="A46" s="577">
        <v>28</v>
      </c>
      <c r="B46" s="583" t="s">
        <v>181</v>
      </c>
      <c r="C46" s="230">
        <f>'2. RC'!E38</f>
        <v>1982144167.0197029</v>
      </c>
      <c r="D46" s="120"/>
    </row>
    <row r="47" spans="1:4" ht="17.25" customHeight="1">
      <c r="A47" s="577">
        <v>29</v>
      </c>
      <c r="B47" s="583" t="s">
        <v>35</v>
      </c>
      <c r="C47" s="230">
        <f>'2. RC'!E39</f>
        <v>5799065.1700000018</v>
      </c>
      <c r="D47" s="120"/>
    </row>
    <row r="48" spans="1:4" ht="17.25" customHeight="1" thickBot="1">
      <c r="A48" s="125">
        <v>30</v>
      </c>
      <c r="B48" s="590" t="s">
        <v>182</v>
      </c>
      <c r="C48" s="236">
        <f>SUM(C41:C47)</f>
        <v>2228841848.919703</v>
      </c>
      <c r="D48" s="1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S22"/>
  <sheetViews>
    <sheetView showGridLines="0" zoomScaleNormal="100" workbookViewId="0">
      <pane xSplit="2" ySplit="7" topLeftCell="C8" activePane="bottomRight" state="frozen"/>
      <selection activeCell="B1" sqref="B1"/>
      <selection pane="topRight" activeCell="B1" sqref="B1"/>
      <selection pane="bottomLeft" activeCell="B1" sqref="B1"/>
      <selection pane="bottomRight" activeCell="C8" sqref="C8"/>
    </sheetView>
  </sheetViews>
  <sheetFormatPr defaultColWidth="9.140625" defaultRowHeight="12.75"/>
  <cols>
    <col min="1" max="1" width="10.5703125" style="1" bestFit="1" customWidth="1"/>
    <col min="2" max="2" width="105.140625" style="1" bestFit="1" customWidth="1"/>
    <col min="3" max="3" width="12.7109375" style="692" bestFit="1" customWidth="1"/>
    <col min="4" max="4" width="13.28515625" style="692" bestFit="1" customWidth="1"/>
    <col min="5" max="5" width="12.28515625" style="692" bestFit="1" customWidth="1"/>
    <col min="6" max="6" width="13.28515625" style="692" bestFit="1" customWidth="1"/>
    <col min="7" max="7" width="12.7109375" style="692" bestFit="1" customWidth="1"/>
    <col min="8" max="8" width="13.28515625" style="692" bestFit="1" customWidth="1"/>
    <col min="9" max="9" width="11.28515625" style="692" bestFit="1" customWidth="1"/>
    <col min="10" max="10" width="13.28515625" style="692" bestFit="1" customWidth="1"/>
    <col min="11" max="11" width="12.7109375" style="692" bestFit="1" customWidth="1"/>
    <col min="12" max="12" width="13.28515625" style="692" bestFit="1" customWidth="1"/>
    <col min="13" max="13" width="12.7109375" style="692" bestFit="1" customWidth="1"/>
    <col min="14" max="14" width="13.28515625" style="692" bestFit="1" customWidth="1"/>
    <col min="15" max="15" width="11.28515625" style="692" bestFit="1" customWidth="1"/>
    <col min="16" max="16" width="13.28515625" style="692" bestFit="1" customWidth="1"/>
    <col min="17" max="17" width="11.28515625" style="692" bestFit="1" customWidth="1"/>
    <col min="18" max="18" width="13.28515625" style="692" bestFit="1" customWidth="1"/>
    <col min="19" max="19" width="29.140625" style="692" bestFit="1" customWidth="1"/>
    <col min="20" max="16384" width="9.140625" style="8"/>
  </cols>
  <sheetData>
    <row r="1" spans="1:19">
      <c r="A1" s="1" t="s">
        <v>188</v>
      </c>
      <c r="B1" s="277" t="s">
        <v>1003</v>
      </c>
    </row>
    <row r="2" spans="1:19">
      <c r="A2" s="1" t="s">
        <v>189</v>
      </c>
      <c r="B2" s="383">
        <f>'1. key ratios'!B2</f>
        <v>44377</v>
      </c>
    </row>
    <row r="3" spans="1:19">
      <c r="H3" s="692">
        <v>0</v>
      </c>
    </row>
    <row r="4" spans="1:19" ht="26.25" thickBot="1">
      <c r="A4" s="57" t="s">
        <v>414</v>
      </c>
      <c r="B4" s="252" t="s">
        <v>457</v>
      </c>
    </row>
    <row r="5" spans="1:19">
      <c r="A5" s="109"/>
      <c r="B5" s="111"/>
      <c r="C5" s="649" t="s">
        <v>0</v>
      </c>
      <c r="D5" s="649" t="s">
        <v>1</v>
      </c>
      <c r="E5" s="649" t="s">
        <v>2</v>
      </c>
      <c r="F5" s="649" t="s">
        <v>3</v>
      </c>
      <c r="G5" s="649" t="s">
        <v>4</v>
      </c>
      <c r="H5" s="649" t="s">
        <v>5</v>
      </c>
      <c r="I5" s="649" t="s">
        <v>238</v>
      </c>
      <c r="J5" s="649" t="s">
        <v>239</v>
      </c>
      <c r="K5" s="649" t="s">
        <v>240</v>
      </c>
      <c r="L5" s="649" t="s">
        <v>241</v>
      </c>
      <c r="M5" s="649" t="s">
        <v>242</v>
      </c>
      <c r="N5" s="649" t="s">
        <v>243</v>
      </c>
      <c r="O5" s="649" t="s">
        <v>444</v>
      </c>
      <c r="P5" s="649" t="s">
        <v>445</v>
      </c>
      <c r="Q5" s="649" t="s">
        <v>446</v>
      </c>
      <c r="R5" s="648" t="s">
        <v>447</v>
      </c>
      <c r="S5" s="647" t="s">
        <v>448</v>
      </c>
    </row>
    <row r="6" spans="1:19">
      <c r="A6" s="129"/>
      <c r="B6" s="768" t="s">
        <v>449</v>
      </c>
      <c r="C6" s="766">
        <v>0</v>
      </c>
      <c r="D6" s="767"/>
      <c r="E6" s="766">
        <v>0.2</v>
      </c>
      <c r="F6" s="767"/>
      <c r="G6" s="766">
        <v>0.35</v>
      </c>
      <c r="H6" s="767"/>
      <c r="I6" s="766">
        <v>0.5</v>
      </c>
      <c r="J6" s="767"/>
      <c r="K6" s="766">
        <v>0.75</v>
      </c>
      <c r="L6" s="767"/>
      <c r="M6" s="766">
        <v>1</v>
      </c>
      <c r="N6" s="767"/>
      <c r="O6" s="766">
        <v>1.5</v>
      </c>
      <c r="P6" s="767"/>
      <c r="Q6" s="766">
        <v>2.5</v>
      </c>
      <c r="R6" s="767"/>
      <c r="S6" s="764" t="s">
        <v>251</v>
      </c>
    </row>
    <row r="7" spans="1:19">
      <c r="A7" s="129"/>
      <c r="B7" s="769"/>
      <c r="C7" s="646" t="s">
        <v>442</v>
      </c>
      <c r="D7" s="646" t="s">
        <v>443</v>
      </c>
      <c r="E7" s="646" t="s">
        <v>442</v>
      </c>
      <c r="F7" s="646" t="s">
        <v>443</v>
      </c>
      <c r="G7" s="646" t="s">
        <v>442</v>
      </c>
      <c r="H7" s="646" t="s">
        <v>443</v>
      </c>
      <c r="I7" s="646" t="s">
        <v>442</v>
      </c>
      <c r="J7" s="646" t="s">
        <v>443</v>
      </c>
      <c r="K7" s="646" t="s">
        <v>442</v>
      </c>
      <c r="L7" s="646" t="s">
        <v>443</v>
      </c>
      <c r="M7" s="646" t="s">
        <v>442</v>
      </c>
      <c r="N7" s="646" t="s">
        <v>443</v>
      </c>
      <c r="O7" s="646" t="s">
        <v>442</v>
      </c>
      <c r="P7" s="646" t="s">
        <v>443</v>
      </c>
      <c r="Q7" s="646" t="s">
        <v>442</v>
      </c>
      <c r="R7" s="646" t="s">
        <v>443</v>
      </c>
      <c r="S7" s="765"/>
    </row>
    <row r="8" spans="1:19" s="133" customFormat="1">
      <c r="A8" s="99">
        <v>1</v>
      </c>
      <c r="B8" s="150" t="s">
        <v>216</v>
      </c>
      <c r="C8" s="645">
        <v>1326525701.1099999</v>
      </c>
      <c r="D8" s="645"/>
      <c r="E8" s="645">
        <v>33384474.8257</v>
      </c>
      <c r="F8" s="644"/>
      <c r="G8" s="645">
        <v>0</v>
      </c>
      <c r="H8" s="645"/>
      <c r="I8" s="645">
        <v>0</v>
      </c>
      <c r="J8" s="645"/>
      <c r="K8" s="645">
        <v>0</v>
      </c>
      <c r="L8" s="645"/>
      <c r="M8" s="645">
        <v>1975243597.3000002</v>
      </c>
      <c r="N8" s="645"/>
      <c r="O8" s="645">
        <v>0</v>
      </c>
      <c r="P8" s="645"/>
      <c r="Q8" s="645">
        <v>0</v>
      </c>
      <c r="R8" s="644"/>
      <c r="S8" s="643">
        <f>$C$6*SUM(C8:D8)+$E$6*SUM(E8:F8)+$G$6*SUM(G8:H8)+$I$6*SUM(I8:J8)+$K$6*SUM(K8:L8)+$M$6*SUM(M8:N8)+$O$6*SUM(O8:P8)+$Q$6*SUM(Q8:R8)</f>
        <v>1981920492.2651403</v>
      </c>
    </row>
    <row r="9" spans="1:19" s="133" customFormat="1">
      <c r="A9" s="99">
        <v>2</v>
      </c>
      <c r="B9" s="150" t="s">
        <v>217</v>
      </c>
      <c r="C9" s="645">
        <v>0</v>
      </c>
      <c r="D9" s="645"/>
      <c r="E9" s="645">
        <v>0</v>
      </c>
      <c r="F9" s="645"/>
      <c r="G9" s="645">
        <v>0</v>
      </c>
      <c r="H9" s="645"/>
      <c r="I9" s="645">
        <v>0</v>
      </c>
      <c r="J9" s="645"/>
      <c r="K9" s="645">
        <v>0</v>
      </c>
      <c r="L9" s="645"/>
      <c r="M9" s="645">
        <v>0</v>
      </c>
      <c r="N9" s="645"/>
      <c r="O9" s="645">
        <v>0</v>
      </c>
      <c r="P9" s="645"/>
      <c r="Q9" s="645">
        <v>0</v>
      </c>
      <c r="R9" s="644"/>
      <c r="S9" s="643">
        <f t="shared" ref="S9:S21" si="0">$C$6*SUM(C9:D9)+$E$6*SUM(E9:F9)+$G$6*SUM(G9:H9)+$I$6*SUM(I9:J9)+$K$6*SUM(K9:L9)+$M$6*SUM(M9:N9)+$O$6*SUM(O9:P9)+$Q$6*SUM(Q9:R9)</f>
        <v>0</v>
      </c>
    </row>
    <row r="10" spans="1:19" s="133" customFormat="1">
      <c r="A10" s="99">
        <v>3</v>
      </c>
      <c r="B10" s="150" t="s">
        <v>218</v>
      </c>
      <c r="C10" s="645"/>
      <c r="D10" s="645"/>
      <c r="E10" s="645">
        <v>0</v>
      </c>
      <c r="F10" s="645"/>
      <c r="G10" s="645">
        <v>0</v>
      </c>
      <c r="H10" s="645"/>
      <c r="I10" s="645">
        <v>0</v>
      </c>
      <c r="J10" s="645"/>
      <c r="K10" s="645">
        <v>0</v>
      </c>
      <c r="L10" s="645"/>
      <c r="M10" s="645">
        <v>0</v>
      </c>
      <c r="N10" s="645"/>
      <c r="O10" s="645">
        <v>0</v>
      </c>
      <c r="P10" s="645"/>
      <c r="Q10" s="645">
        <v>0</v>
      </c>
      <c r="R10" s="644"/>
      <c r="S10" s="643">
        <f t="shared" si="0"/>
        <v>0</v>
      </c>
    </row>
    <row r="11" spans="1:19" s="133" customFormat="1">
      <c r="A11" s="99">
        <v>4</v>
      </c>
      <c r="B11" s="150" t="s">
        <v>219</v>
      </c>
      <c r="C11" s="645">
        <v>645603728.47000003</v>
      </c>
      <c r="D11" s="645"/>
      <c r="E11" s="645">
        <v>60964840.719999999</v>
      </c>
      <c r="F11" s="645"/>
      <c r="G11" s="645">
        <v>0</v>
      </c>
      <c r="H11" s="645"/>
      <c r="I11" s="645">
        <v>65414481.790000007</v>
      </c>
      <c r="J11" s="645"/>
      <c r="K11" s="645">
        <v>0</v>
      </c>
      <c r="L11" s="645"/>
      <c r="M11" s="645">
        <v>0</v>
      </c>
      <c r="N11" s="645"/>
      <c r="O11" s="645">
        <v>0</v>
      </c>
      <c r="P11" s="645"/>
      <c r="Q11" s="645">
        <v>0</v>
      </c>
      <c r="R11" s="644"/>
      <c r="S11" s="643">
        <f t="shared" si="0"/>
        <v>44900209.039000005</v>
      </c>
    </row>
    <row r="12" spans="1:19" s="133" customFormat="1">
      <c r="A12" s="99">
        <v>5</v>
      </c>
      <c r="B12" s="150" t="s">
        <v>220</v>
      </c>
      <c r="C12" s="645">
        <v>0</v>
      </c>
      <c r="D12" s="645"/>
      <c r="E12" s="645">
        <v>0</v>
      </c>
      <c r="F12" s="645"/>
      <c r="G12" s="645">
        <v>0</v>
      </c>
      <c r="H12" s="645"/>
      <c r="I12" s="645">
        <v>0</v>
      </c>
      <c r="J12" s="645"/>
      <c r="K12" s="645">
        <v>0</v>
      </c>
      <c r="L12" s="645"/>
      <c r="M12" s="645">
        <v>0</v>
      </c>
      <c r="N12" s="645"/>
      <c r="O12" s="645">
        <v>0</v>
      </c>
      <c r="P12" s="645"/>
      <c r="Q12" s="645">
        <v>0</v>
      </c>
      <c r="R12" s="644"/>
      <c r="S12" s="643">
        <f t="shared" si="0"/>
        <v>0</v>
      </c>
    </row>
    <row r="13" spans="1:19" s="133" customFormat="1">
      <c r="A13" s="99">
        <v>6</v>
      </c>
      <c r="B13" s="150" t="s">
        <v>221</v>
      </c>
      <c r="C13" s="645"/>
      <c r="D13" s="645"/>
      <c r="E13" s="645">
        <v>826194756.20089996</v>
      </c>
      <c r="F13" s="645"/>
      <c r="G13" s="645">
        <v>0</v>
      </c>
      <c r="H13" s="645"/>
      <c r="I13" s="645">
        <v>92203635.060000002</v>
      </c>
      <c r="J13" s="645"/>
      <c r="K13" s="645">
        <v>0</v>
      </c>
      <c r="L13" s="645"/>
      <c r="M13" s="645">
        <v>342396.98</v>
      </c>
      <c r="N13" s="645"/>
      <c r="O13" s="645">
        <v>60627.9</v>
      </c>
      <c r="P13" s="645"/>
      <c r="Q13" s="645">
        <v>0</v>
      </c>
      <c r="R13" s="644"/>
      <c r="S13" s="643">
        <f t="shared" si="0"/>
        <v>211774107.60018</v>
      </c>
    </row>
    <row r="14" spans="1:19" s="133" customFormat="1">
      <c r="A14" s="99">
        <v>7</v>
      </c>
      <c r="B14" s="150" t="s">
        <v>73</v>
      </c>
      <c r="C14" s="645"/>
      <c r="D14" s="645"/>
      <c r="E14" s="645">
        <v>0</v>
      </c>
      <c r="F14" s="645"/>
      <c r="G14" s="645">
        <v>0</v>
      </c>
      <c r="H14" s="645"/>
      <c r="I14" s="645">
        <v>0</v>
      </c>
      <c r="J14" s="645"/>
      <c r="K14" s="645">
        <v>0</v>
      </c>
      <c r="L14" s="645"/>
      <c r="M14" s="645">
        <v>5237975759.5507002</v>
      </c>
      <c r="N14" s="645">
        <v>847174636.65799999</v>
      </c>
      <c r="O14" s="645">
        <v>111115222.5675</v>
      </c>
      <c r="P14" s="645"/>
      <c r="Q14" s="645">
        <v>0</v>
      </c>
      <c r="R14" s="644"/>
      <c r="S14" s="643">
        <f t="shared" si="0"/>
        <v>6251823230.0599499</v>
      </c>
    </row>
    <row r="15" spans="1:19" s="133" customFormat="1">
      <c r="A15" s="99">
        <v>8</v>
      </c>
      <c r="B15" s="150" t="s">
        <v>74</v>
      </c>
      <c r="C15" s="645"/>
      <c r="D15" s="645"/>
      <c r="E15" s="645">
        <v>0</v>
      </c>
      <c r="F15" s="645"/>
      <c r="G15" s="645">
        <v>0</v>
      </c>
      <c r="H15" s="645"/>
      <c r="I15" s="645">
        <v>0</v>
      </c>
      <c r="J15" s="645"/>
      <c r="K15" s="645">
        <v>3794962870.4783001</v>
      </c>
      <c r="L15" s="645">
        <v>118448830.60384999</v>
      </c>
      <c r="M15" s="645">
        <v>0</v>
      </c>
      <c r="N15" s="645">
        <v>0</v>
      </c>
      <c r="O15" s="645"/>
      <c r="P15" s="645"/>
      <c r="Q15" s="645">
        <v>0</v>
      </c>
      <c r="R15" s="644"/>
      <c r="S15" s="643">
        <f t="shared" si="0"/>
        <v>2935058775.8116126</v>
      </c>
    </row>
    <row r="16" spans="1:19" s="133" customFormat="1">
      <c r="A16" s="99">
        <v>9</v>
      </c>
      <c r="B16" s="150" t="s">
        <v>75</v>
      </c>
      <c r="C16" s="645"/>
      <c r="D16" s="645"/>
      <c r="E16" s="645">
        <v>0</v>
      </c>
      <c r="F16" s="645"/>
      <c r="G16" s="645">
        <v>3204765749.2581</v>
      </c>
      <c r="H16" s="645"/>
      <c r="I16" s="645">
        <v>0</v>
      </c>
      <c r="J16" s="645"/>
      <c r="K16" s="645">
        <v>0</v>
      </c>
      <c r="L16" s="645"/>
      <c r="M16" s="645">
        <v>0</v>
      </c>
      <c r="N16" s="645"/>
      <c r="O16" s="645">
        <v>0</v>
      </c>
      <c r="P16" s="645"/>
      <c r="Q16" s="645">
        <v>0</v>
      </c>
      <c r="R16" s="644"/>
      <c r="S16" s="643">
        <f t="shared" si="0"/>
        <v>1121668012.240335</v>
      </c>
    </row>
    <row r="17" spans="1:19" s="133" customFormat="1">
      <c r="A17" s="99">
        <v>10</v>
      </c>
      <c r="B17" s="150" t="s">
        <v>69</v>
      </c>
      <c r="C17" s="645"/>
      <c r="D17" s="645"/>
      <c r="E17" s="645">
        <v>0</v>
      </c>
      <c r="F17" s="645"/>
      <c r="G17" s="645">
        <v>0</v>
      </c>
      <c r="H17" s="645"/>
      <c r="I17" s="645">
        <v>14214625.143999999</v>
      </c>
      <c r="J17" s="645"/>
      <c r="K17" s="645">
        <v>0</v>
      </c>
      <c r="L17" s="645"/>
      <c r="M17" s="645">
        <v>116003539.9736</v>
      </c>
      <c r="N17" s="645"/>
      <c r="O17" s="645">
        <v>6656667.3735999996</v>
      </c>
      <c r="P17" s="645"/>
      <c r="Q17" s="645">
        <v>0</v>
      </c>
      <c r="R17" s="644"/>
      <c r="S17" s="643">
        <f t="shared" si="0"/>
        <v>133095853.60599999</v>
      </c>
    </row>
    <row r="18" spans="1:19" s="133" customFormat="1">
      <c r="A18" s="99">
        <v>11</v>
      </c>
      <c r="B18" s="150" t="s">
        <v>70</v>
      </c>
      <c r="C18" s="645"/>
      <c r="D18" s="645"/>
      <c r="E18" s="645">
        <v>0</v>
      </c>
      <c r="F18" s="645"/>
      <c r="G18" s="645">
        <v>0</v>
      </c>
      <c r="H18" s="645"/>
      <c r="I18" s="645">
        <v>0</v>
      </c>
      <c r="J18" s="645"/>
      <c r="K18" s="645">
        <v>0</v>
      </c>
      <c r="L18" s="645"/>
      <c r="M18" s="645">
        <v>955672933.59519994</v>
      </c>
      <c r="N18" s="645"/>
      <c r="O18" s="645">
        <v>349696740.33530003</v>
      </c>
      <c r="P18" s="645"/>
      <c r="Q18" s="645">
        <v>36964274.759999998</v>
      </c>
      <c r="R18" s="644"/>
      <c r="S18" s="643">
        <f t="shared" si="0"/>
        <v>1572628730.9981501</v>
      </c>
    </row>
    <row r="19" spans="1:19" s="133" customFormat="1">
      <c r="A19" s="99">
        <v>12</v>
      </c>
      <c r="B19" s="150" t="s">
        <v>71</v>
      </c>
      <c r="C19" s="645"/>
      <c r="D19" s="645"/>
      <c r="E19" s="645">
        <v>0</v>
      </c>
      <c r="F19" s="645"/>
      <c r="G19" s="645">
        <v>0</v>
      </c>
      <c r="H19" s="645"/>
      <c r="I19" s="645">
        <v>0</v>
      </c>
      <c r="J19" s="645"/>
      <c r="K19" s="645">
        <v>0</v>
      </c>
      <c r="L19" s="645"/>
      <c r="M19" s="645">
        <v>0</v>
      </c>
      <c r="N19" s="645"/>
      <c r="O19" s="645">
        <v>0</v>
      </c>
      <c r="P19" s="645"/>
      <c r="Q19" s="645">
        <v>0</v>
      </c>
      <c r="R19" s="644"/>
      <c r="S19" s="643">
        <f t="shared" si="0"/>
        <v>0</v>
      </c>
    </row>
    <row r="20" spans="1:19" s="133" customFormat="1">
      <c r="A20" s="99">
        <v>13</v>
      </c>
      <c r="B20" s="150" t="s">
        <v>72</v>
      </c>
      <c r="C20" s="645"/>
      <c r="D20" s="645"/>
      <c r="E20" s="645">
        <v>0</v>
      </c>
      <c r="F20" s="645"/>
      <c r="G20" s="645">
        <v>0</v>
      </c>
      <c r="H20" s="645"/>
      <c r="I20" s="645">
        <v>0</v>
      </c>
      <c r="J20" s="645"/>
      <c r="K20" s="645">
        <v>0</v>
      </c>
      <c r="L20" s="645"/>
      <c r="M20" s="645">
        <v>0</v>
      </c>
      <c r="N20" s="645"/>
      <c r="O20" s="645">
        <v>0</v>
      </c>
      <c r="P20" s="645"/>
      <c r="Q20" s="645">
        <v>0</v>
      </c>
      <c r="R20" s="644"/>
      <c r="S20" s="643">
        <f t="shared" si="0"/>
        <v>0</v>
      </c>
    </row>
    <row r="21" spans="1:19" s="133" customFormat="1">
      <c r="A21" s="99">
        <v>14</v>
      </c>
      <c r="B21" s="150" t="s">
        <v>249</v>
      </c>
      <c r="C21" s="645">
        <v>698697897.17999995</v>
      </c>
      <c r="D21" s="645"/>
      <c r="E21" s="645">
        <v>0</v>
      </c>
      <c r="F21" s="645"/>
      <c r="G21" s="645">
        <v>0</v>
      </c>
      <c r="H21" s="645"/>
      <c r="I21" s="645">
        <v>0</v>
      </c>
      <c r="J21" s="645"/>
      <c r="K21" s="645">
        <v>0</v>
      </c>
      <c r="L21" s="645"/>
      <c r="M21" s="645">
        <v>584508970.17831802</v>
      </c>
      <c r="N21" s="645"/>
      <c r="O21" s="645">
        <v>0</v>
      </c>
      <c r="P21" s="645"/>
      <c r="Q21" s="645">
        <v>138643385.69</v>
      </c>
      <c r="R21" s="644"/>
      <c r="S21" s="643">
        <f t="shared" si="0"/>
        <v>931117434.40331805</v>
      </c>
    </row>
    <row r="22" spans="1:19" ht="13.5" thickBot="1">
      <c r="A22" s="85"/>
      <c r="B22" s="135" t="s">
        <v>68</v>
      </c>
      <c r="C22" s="642">
        <f>SUM(C8:C21)</f>
        <v>2670827326.7599998</v>
      </c>
      <c r="D22" s="642">
        <f t="shared" ref="D22:S22" si="1">SUM(D8:D21)</f>
        <v>0</v>
      </c>
      <c r="E22" s="642">
        <f t="shared" si="1"/>
        <v>920544071.74659991</v>
      </c>
      <c r="F22" s="642">
        <f t="shared" si="1"/>
        <v>0</v>
      </c>
      <c r="G22" s="642">
        <f t="shared" si="1"/>
        <v>3204765749.2581</v>
      </c>
      <c r="H22" s="642">
        <f t="shared" si="1"/>
        <v>0</v>
      </c>
      <c r="I22" s="642">
        <f t="shared" si="1"/>
        <v>171832741.99400002</v>
      </c>
      <c r="J22" s="642">
        <f t="shared" si="1"/>
        <v>0</v>
      </c>
      <c r="K22" s="642">
        <f t="shared" si="1"/>
        <v>3794962870.4783001</v>
      </c>
      <c r="L22" s="642">
        <f t="shared" si="1"/>
        <v>118448830.60384999</v>
      </c>
      <c r="M22" s="642">
        <f t="shared" si="1"/>
        <v>8869747197.5778179</v>
      </c>
      <c r="N22" s="642">
        <f t="shared" si="1"/>
        <v>847174636.65799999</v>
      </c>
      <c r="O22" s="642">
        <f t="shared" si="1"/>
        <v>467529258.17640007</v>
      </c>
      <c r="P22" s="642">
        <f t="shared" si="1"/>
        <v>0</v>
      </c>
      <c r="Q22" s="642">
        <f t="shared" si="1"/>
        <v>175607660.44999999</v>
      </c>
      <c r="R22" s="642">
        <f t="shared" si="1"/>
        <v>0</v>
      </c>
      <c r="S22" s="641">
        <f t="shared" si="1"/>
        <v>15183986846.023687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V28"/>
  <sheetViews>
    <sheetView showGridLines="0" zoomScaleNormal="100" workbookViewId="0">
      <pane xSplit="2" ySplit="6" topLeftCell="C7" activePane="bottomRight" state="frozen"/>
      <selection activeCell="B1" sqref="B1"/>
      <selection pane="topRight" activeCell="B1" sqref="B1"/>
      <selection pane="bottomLeft" activeCell="B1" sqref="B1"/>
      <selection pane="bottomRight" activeCell="C7" sqref="C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188</v>
      </c>
      <c r="B1" s="277" t="s">
        <v>1003</v>
      </c>
    </row>
    <row r="2" spans="1:22">
      <c r="A2" s="1" t="s">
        <v>189</v>
      </c>
      <c r="B2" s="383">
        <f>'1. key ratios'!B2</f>
        <v>44377</v>
      </c>
    </row>
    <row r="3" spans="1:22">
      <c r="H3" s="1">
        <v>0</v>
      </c>
    </row>
    <row r="4" spans="1:22" ht="27.75" thickBot="1">
      <c r="A4" s="1" t="s">
        <v>415</v>
      </c>
      <c r="B4" s="253" t="s">
        <v>458</v>
      </c>
      <c r="V4" s="175" t="s">
        <v>93</v>
      </c>
    </row>
    <row r="5" spans="1:22">
      <c r="A5" s="83"/>
      <c r="B5" s="84"/>
      <c r="C5" s="770" t="s">
        <v>198</v>
      </c>
      <c r="D5" s="771"/>
      <c r="E5" s="771"/>
      <c r="F5" s="771"/>
      <c r="G5" s="771"/>
      <c r="H5" s="771"/>
      <c r="I5" s="771"/>
      <c r="J5" s="771"/>
      <c r="K5" s="771"/>
      <c r="L5" s="772"/>
      <c r="M5" s="770" t="s">
        <v>199</v>
      </c>
      <c r="N5" s="771"/>
      <c r="O5" s="771"/>
      <c r="P5" s="771"/>
      <c r="Q5" s="771"/>
      <c r="R5" s="771"/>
      <c r="S5" s="772"/>
      <c r="T5" s="775" t="s">
        <v>456</v>
      </c>
      <c r="U5" s="775" t="s">
        <v>455</v>
      </c>
      <c r="V5" s="773" t="s">
        <v>200</v>
      </c>
    </row>
    <row r="6" spans="1:22" s="57" customFormat="1" ht="140.25">
      <c r="A6" s="97"/>
      <c r="B6" s="152"/>
      <c r="C6" s="81" t="s">
        <v>201</v>
      </c>
      <c r="D6" s="80" t="s">
        <v>202</v>
      </c>
      <c r="E6" s="77" t="s">
        <v>203</v>
      </c>
      <c r="F6" s="254" t="s">
        <v>450</v>
      </c>
      <c r="G6" s="80" t="s">
        <v>204</v>
      </c>
      <c r="H6" s="80" t="s">
        <v>205</v>
      </c>
      <c r="I6" s="80" t="s">
        <v>206</v>
      </c>
      <c r="J6" s="80" t="s">
        <v>248</v>
      </c>
      <c r="K6" s="80" t="s">
        <v>207</v>
      </c>
      <c r="L6" s="82" t="s">
        <v>208</v>
      </c>
      <c r="M6" s="81" t="s">
        <v>209</v>
      </c>
      <c r="N6" s="80" t="s">
        <v>210</v>
      </c>
      <c r="O6" s="80" t="s">
        <v>211</v>
      </c>
      <c r="P6" s="80" t="s">
        <v>212</v>
      </c>
      <c r="Q6" s="80" t="s">
        <v>213</v>
      </c>
      <c r="R6" s="80" t="s">
        <v>214</v>
      </c>
      <c r="S6" s="82" t="s">
        <v>215</v>
      </c>
      <c r="T6" s="776"/>
      <c r="U6" s="776"/>
      <c r="V6" s="774"/>
    </row>
    <row r="7" spans="1:22" s="133" customFormat="1">
      <c r="A7" s="134">
        <v>1</v>
      </c>
      <c r="B7" s="132" t="s">
        <v>216</v>
      </c>
      <c r="C7" s="593"/>
      <c r="D7" s="592">
        <v>0</v>
      </c>
      <c r="E7" s="592"/>
      <c r="F7" s="592"/>
      <c r="G7" s="592"/>
      <c r="H7" s="592"/>
      <c r="I7" s="592"/>
      <c r="J7" s="592"/>
      <c r="K7" s="592"/>
      <c r="L7" s="592"/>
      <c r="M7" s="592">
        <v>0</v>
      </c>
      <c r="N7" s="592"/>
      <c r="O7" s="592"/>
      <c r="P7" s="592"/>
      <c r="Q7" s="592"/>
      <c r="R7" s="592">
        <v>0</v>
      </c>
      <c r="S7" s="592"/>
      <c r="T7" s="249"/>
      <c r="U7" s="248"/>
      <c r="V7" s="239">
        <f>SUM(C7:S7)</f>
        <v>0</v>
      </c>
    </row>
    <row r="8" spans="1:22" s="133" customFormat="1">
      <c r="A8" s="134">
        <v>2</v>
      </c>
      <c r="B8" s="132" t="s">
        <v>217</v>
      </c>
      <c r="C8" s="593">
        <v>0</v>
      </c>
      <c r="D8" s="592">
        <v>0</v>
      </c>
      <c r="E8" s="592"/>
      <c r="F8" s="592"/>
      <c r="G8" s="592"/>
      <c r="H8" s="592"/>
      <c r="I8" s="592"/>
      <c r="J8" s="592"/>
      <c r="K8" s="592"/>
      <c r="L8" s="592"/>
      <c r="M8" s="592"/>
      <c r="N8" s="592"/>
      <c r="O8" s="592"/>
      <c r="P8" s="592"/>
      <c r="Q8" s="592"/>
      <c r="R8" s="592">
        <v>0</v>
      </c>
      <c r="S8" s="592"/>
      <c r="T8" s="248"/>
      <c r="U8" s="248"/>
      <c r="V8" s="239">
        <f t="shared" ref="V8:V20" si="0">SUM(C8:S8)</f>
        <v>0</v>
      </c>
    </row>
    <row r="9" spans="1:22" s="133" customFormat="1">
      <c r="A9" s="134">
        <v>3</v>
      </c>
      <c r="B9" s="132" t="s">
        <v>218</v>
      </c>
      <c r="C9" s="593"/>
      <c r="D9" s="592">
        <v>0</v>
      </c>
      <c r="E9" s="592"/>
      <c r="F9" s="592"/>
      <c r="G9" s="592"/>
      <c r="H9" s="592"/>
      <c r="I9" s="592"/>
      <c r="J9" s="592"/>
      <c r="K9" s="592"/>
      <c r="L9" s="592"/>
      <c r="M9" s="592"/>
      <c r="N9" s="592"/>
      <c r="O9" s="592"/>
      <c r="P9" s="592"/>
      <c r="Q9" s="592"/>
      <c r="R9" s="592">
        <v>0</v>
      </c>
      <c r="S9" s="592"/>
      <c r="T9" s="248"/>
      <c r="U9" s="248"/>
      <c r="V9" s="239">
        <f>SUM(C9:S9)</f>
        <v>0</v>
      </c>
    </row>
    <row r="10" spans="1:22" s="133" customFormat="1">
      <c r="A10" s="134">
        <v>4</v>
      </c>
      <c r="B10" s="132" t="s">
        <v>219</v>
      </c>
      <c r="C10" s="593"/>
      <c r="D10" s="592">
        <v>0</v>
      </c>
      <c r="E10" s="592"/>
      <c r="F10" s="592"/>
      <c r="G10" s="592"/>
      <c r="H10" s="592"/>
      <c r="I10" s="592"/>
      <c r="J10" s="592"/>
      <c r="K10" s="592"/>
      <c r="L10" s="592"/>
      <c r="M10" s="592"/>
      <c r="N10" s="592"/>
      <c r="O10" s="592"/>
      <c r="P10" s="592"/>
      <c r="Q10" s="592"/>
      <c r="R10" s="592">
        <v>0</v>
      </c>
      <c r="S10" s="592"/>
      <c r="T10" s="248"/>
      <c r="U10" s="248"/>
      <c r="V10" s="239">
        <f t="shared" si="0"/>
        <v>0</v>
      </c>
    </row>
    <row r="11" spans="1:22" s="133" customFormat="1">
      <c r="A11" s="134">
        <v>5</v>
      </c>
      <c r="B11" s="132" t="s">
        <v>220</v>
      </c>
      <c r="C11" s="593" t="s">
        <v>970</v>
      </c>
      <c r="D11" s="592">
        <v>0</v>
      </c>
      <c r="E11" s="592"/>
      <c r="F11" s="592"/>
      <c r="G11" s="592"/>
      <c r="H11" s="592"/>
      <c r="I11" s="592"/>
      <c r="J11" s="592"/>
      <c r="K11" s="592"/>
      <c r="L11" s="592"/>
      <c r="M11" s="592"/>
      <c r="N11" s="592"/>
      <c r="O11" s="592"/>
      <c r="P11" s="592"/>
      <c r="Q11" s="592"/>
      <c r="R11" s="592">
        <v>0</v>
      </c>
      <c r="S11" s="592"/>
      <c r="T11" s="248"/>
      <c r="U11" s="248"/>
      <c r="V11" s="239">
        <f t="shared" si="0"/>
        <v>0</v>
      </c>
    </row>
    <row r="12" spans="1:22" s="133" customFormat="1">
      <c r="A12" s="134">
        <v>6</v>
      </c>
      <c r="B12" s="132" t="s">
        <v>221</v>
      </c>
      <c r="C12" s="593"/>
      <c r="D12" s="592">
        <v>0</v>
      </c>
      <c r="E12" s="592"/>
      <c r="F12" s="592"/>
      <c r="G12" s="592"/>
      <c r="H12" s="592"/>
      <c r="I12" s="592"/>
      <c r="J12" s="592"/>
      <c r="K12" s="592"/>
      <c r="L12" s="592"/>
      <c r="M12" s="592"/>
      <c r="N12" s="592"/>
      <c r="O12" s="592"/>
      <c r="P12" s="592"/>
      <c r="Q12" s="592"/>
      <c r="R12" s="592">
        <v>0</v>
      </c>
      <c r="S12" s="592"/>
      <c r="T12" s="248"/>
      <c r="U12" s="248"/>
      <c r="V12" s="239">
        <f t="shared" si="0"/>
        <v>0</v>
      </c>
    </row>
    <row r="13" spans="1:22" s="133" customFormat="1">
      <c r="A13" s="134">
        <v>7</v>
      </c>
      <c r="B13" s="132" t="s">
        <v>73</v>
      </c>
      <c r="C13" s="593"/>
      <c r="D13" s="592">
        <v>110433737.1468</v>
      </c>
      <c r="E13" s="592"/>
      <c r="F13" s="592"/>
      <c r="G13" s="592"/>
      <c r="H13" s="592"/>
      <c r="I13" s="592"/>
      <c r="J13" s="592"/>
      <c r="K13" s="592"/>
      <c r="L13" s="592"/>
      <c r="M13" s="592">
        <v>7261348.0033999998</v>
      </c>
      <c r="N13" s="592"/>
      <c r="O13" s="592">
        <v>25072542.180399999</v>
      </c>
      <c r="P13" s="592"/>
      <c r="Q13" s="592"/>
      <c r="R13" s="592">
        <v>202117180.61930001</v>
      </c>
      <c r="S13" s="592"/>
      <c r="T13" s="248"/>
      <c r="U13" s="248"/>
      <c r="V13" s="239">
        <f t="shared" si="0"/>
        <v>344884807.94990003</v>
      </c>
    </row>
    <row r="14" spans="1:22" s="133" customFormat="1">
      <c r="A14" s="134">
        <v>8</v>
      </c>
      <c r="B14" s="132" t="s">
        <v>74</v>
      </c>
      <c r="C14" s="593"/>
      <c r="D14" s="592">
        <v>0</v>
      </c>
      <c r="E14" s="592"/>
      <c r="F14" s="592"/>
      <c r="G14" s="592"/>
      <c r="H14" s="592"/>
      <c r="I14" s="592"/>
      <c r="J14" s="592">
        <v>0</v>
      </c>
      <c r="K14" s="592"/>
      <c r="L14" s="592"/>
      <c r="M14" s="592">
        <v>905356.97750000004</v>
      </c>
      <c r="N14" s="592"/>
      <c r="O14" s="592">
        <v>3381981.5614</v>
      </c>
      <c r="P14" s="592"/>
      <c r="Q14" s="592"/>
      <c r="R14" s="592">
        <v>0</v>
      </c>
      <c r="S14" s="592"/>
      <c r="T14" s="248"/>
      <c r="U14" s="248"/>
      <c r="V14" s="239">
        <f t="shared" si="0"/>
        <v>4287338.5389</v>
      </c>
    </row>
    <row r="15" spans="1:22" s="133" customFormat="1">
      <c r="A15" s="134">
        <v>9</v>
      </c>
      <c r="B15" s="132" t="s">
        <v>75</v>
      </c>
      <c r="C15" s="593"/>
      <c r="D15" s="592">
        <v>37163605.028499998</v>
      </c>
      <c r="E15" s="592"/>
      <c r="F15" s="592"/>
      <c r="G15" s="592"/>
      <c r="H15" s="592"/>
      <c r="I15" s="592"/>
      <c r="J15" s="592"/>
      <c r="K15" s="592"/>
      <c r="L15" s="592"/>
      <c r="M15" s="592">
        <v>702046.34609999997</v>
      </c>
      <c r="N15" s="592"/>
      <c r="O15" s="592">
        <v>190848.1954</v>
      </c>
      <c r="P15" s="592"/>
      <c r="Q15" s="592"/>
      <c r="R15" s="592">
        <v>0</v>
      </c>
      <c r="S15" s="592"/>
      <c r="T15" s="248"/>
      <c r="U15" s="248"/>
      <c r="V15" s="239">
        <f t="shared" si="0"/>
        <v>38056499.57</v>
      </c>
    </row>
    <row r="16" spans="1:22" s="133" customFormat="1">
      <c r="A16" s="134">
        <v>10</v>
      </c>
      <c r="B16" s="132" t="s">
        <v>69</v>
      </c>
      <c r="C16" s="593"/>
      <c r="D16" s="592">
        <v>0</v>
      </c>
      <c r="E16" s="592"/>
      <c r="F16" s="592"/>
      <c r="G16" s="592"/>
      <c r="H16" s="592"/>
      <c r="I16" s="592"/>
      <c r="J16" s="592"/>
      <c r="K16" s="592"/>
      <c r="L16" s="592"/>
      <c r="M16" s="592"/>
      <c r="N16" s="592"/>
      <c r="O16" s="592"/>
      <c r="P16" s="592"/>
      <c r="Q16" s="592"/>
      <c r="R16" s="592">
        <v>0</v>
      </c>
      <c r="S16" s="592"/>
      <c r="T16" s="248"/>
      <c r="U16" s="248"/>
      <c r="V16" s="239">
        <f t="shared" si="0"/>
        <v>0</v>
      </c>
    </row>
    <row r="17" spans="1:22" s="133" customFormat="1">
      <c r="A17" s="134">
        <v>11</v>
      </c>
      <c r="B17" s="132" t="s">
        <v>70</v>
      </c>
      <c r="C17" s="593"/>
      <c r="D17" s="592">
        <v>32002.750599999999</v>
      </c>
      <c r="E17" s="592"/>
      <c r="F17" s="592"/>
      <c r="G17" s="592"/>
      <c r="H17" s="592"/>
      <c r="I17" s="592"/>
      <c r="J17" s="592"/>
      <c r="K17" s="592"/>
      <c r="L17" s="592"/>
      <c r="M17" s="592">
        <v>1874772.0423000001</v>
      </c>
      <c r="N17" s="592"/>
      <c r="O17" s="592">
        <v>0</v>
      </c>
      <c r="P17" s="592"/>
      <c r="Q17" s="592"/>
      <c r="R17" s="592">
        <v>0</v>
      </c>
      <c r="S17" s="592"/>
      <c r="T17" s="248"/>
      <c r="U17" s="248"/>
      <c r="V17" s="239">
        <f t="shared" si="0"/>
        <v>1906774.7929</v>
      </c>
    </row>
    <row r="18" spans="1:22" s="133" customFormat="1">
      <c r="A18" s="134">
        <v>12</v>
      </c>
      <c r="B18" s="132" t="s">
        <v>71</v>
      </c>
      <c r="C18" s="593"/>
      <c r="D18" s="592">
        <v>62089.941299999999</v>
      </c>
      <c r="E18" s="592"/>
      <c r="F18" s="592"/>
      <c r="G18" s="592"/>
      <c r="H18" s="592"/>
      <c r="I18" s="592"/>
      <c r="J18" s="592"/>
      <c r="K18" s="592"/>
      <c r="L18" s="592"/>
      <c r="M18" s="592"/>
      <c r="N18" s="592"/>
      <c r="O18" s="592"/>
      <c r="P18" s="592"/>
      <c r="Q18" s="592"/>
      <c r="R18" s="592">
        <v>0</v>
      </c>
      <c r="S18" s="592"/>
      <c r="T18" s="248"/>
      <c r="U18" s="248"/>
      <c r="V18" s="239">
        <f t="shared" si="0"/>
        <v>62089.941299999999</v>
      </c>
    </row>
    <row r="19" spans="1:22" s="133" customFormat="1">
      <c r="A19" s="134">
        <v>13</v>
      </c>
      <c r="B19" s="132" t="s">
        <v>72</v>
      </c>
      <c r="C19" s="593"/>
      <c r="D19" s="592">
        <v>0</v>
      </c>
      <c r="E19" s="592"/>
      <c r="F19" s="592"/>
      <c r="G19" s="592"/>
      <c r="H19" s="592"/>
      <c r="I19" s="592"/>
      <c r="J19" s="592"/>
      <c r="K19" s="592"/>
      <c r="L19" s="592"/>
      <c r="M19" s="592"/>
      <c r="N19" s="592"/>
      <c r="O19" s="592"/>
      <c r="P19" s="592"/>
      <c r="Q19" s="592"/>
      <c r="R19" s="592">
        <v>0</v>
      </c>
      <c r="S19" s="592"/>
      <c r="T19" s="248"/>
      <c r="U19" s="248"/>
      <c r="V19" s="239">
        <f t="shared" si="0"/>
        <v>0</v>
      </c>
    </row>
    <row r="20" spans="1:22" s="133" customFormat="1">
      <c r="A20" s="134">
        <v>14</v>
      </c>
      <c r="B20" s="132" t="s">
        <v>249</v>
      </c>
      <c r="C20" s="593"/>
      <c r="D20" s="592">
        <v>0</v>
      </c>
      <c r="E20" s="592"/>
      <c r="F20" s="592"/>
      <c r="G20" s="592"/>
      <c r="H20" s="592"/>
      <c r="I20" s="592"/>
      <c r="J20" s="592"/>
      <c r="K20" s="592"/>
      <c r="L20" s="592"/>
      <c r="M20" s="592"/>
      <c r="N20" s="592"/>
      <c r="O20" s="592"/>
      <c r="P20" s="592"/>
      <c r="Q20" s="592"/>
      <c r="R20" s="592">
        <v>0</v>
      </c>
      <c r="S20" s="592"/>
      <c r="T20" s="248"/>
      <c r="U20" s="248"/>
      <c r="V20" s="239">
        <f t="shared" si="0"/>
        <v>0</v>
      </c>
    </row>
    <row r="21" spans="1:22" ht="13.5" thickBot="1">
      <c r="A21" s="85"/>
      <c r="B21" s="86" t="s">
        <v>68</v>
      </c>
      <c r="C21" s="240">
        <f>SUM(C7:C20)</f>
        <v>0</v>
      </c>
      <c r="D21" s="238">
        <f t="shared" ref="D21:V21" si="1">SUM(D7:D20)</f>
        <v>147691434.86720002</v>
      </c>
      <c r="E21" s="238">
        <f t="shared" si="1"/>
        <v>0</v>
      </c>
      <c r="F21" s="238">
        <f t="shared" si="1"/>
        <v>0</v>
      </c>
      <c r="G21" s="238">
        <f t="shared" si="1"/>
        <v>0</v>
      </c>
      <c r="H21" s="238">
        <f t="shared" si="1"/>
        <v>0</v>
      </c>
      <c r="I21" s="238">
        <f t="shared" si="1"/>
        <v>0</v>
      </c>
      <c r="J21" s="238">
        <f t="shared" si="1"/>
        <v>0</v>
      </c>
      <c r="K21" s="238">
        <f t="shared" si="1"/>
        <v>0</v>
      </c>
      <c r="L21" s="241">
        <f t="shared" si="1"/>
        <v>0</v>
      </c>
      <c r="M21" s="240">
        <f t="shared" si="1"/>
        <v>10743523.3693</v>
      </c>
      <c r="N21" s="238">
        <f t="shared" si="1"/>
        <v>0</v>
      </c>
      <c r="O21" s="238">
        <f t="shared" si="1"/>
        <v>28645371.937199999</v>
      </c>
      <c r="P21" s="238">
        <f t="shared" si="1"/>
        <v>0</v>
      </c>
      <c r="Q21" s="238">
        <f t="shared" si="1"/>
        <v>0</v>
      </c>
      <c r="R21" s="238">
        <f t="shared" si="1"/>
        <v>202117180.61930001</v>
      </c>
      <c r="S21" s="241">
        <f t="shared" si="1"/>
        <v>0</v>
      </c>
      <c r="T21" s="241">
        <f>SUM(T7:T20)</f>
        <v>0</v>
      </c>
      <c r="U21" s="241">
        <f t="shared" si="1"/>
        <v>0</v>
      </c>
      <c r="V21" s="242">
        <f t="shared" si="1"/>
        <v>389197510.79300004</v>
      </c>
    </row>
    <row r="24" spans="1:22">
      <c r="A24" s="12"/>
      <c r="B24" s="12"/>
      <c r="C24" s="61"/>
      <c r="D24" s="61"/>
      <c r="E24" s="61"/>
    </row>
    <row r="25" spans="1:22">
      <c r="A25" s="78"/>
      <c r="B25" s="78"/>
      <c r="C25" s="12"/>
      <c r="D25" s="61"/>
      <c r="E25" s="61"/>
    </row>
    <row r="26" spans="1:22">
      <c r="A26" s="78"/>
      <c r="B26" s="79"/>
      <c r="C26" s="12"/>
      <c r="D26" s="61"/>
      <c r="E26" s="61"/>
    </row>
    <row r="27" spans="1:22">
      <c r="A27" s="78"/>
      <c r="B27" s="78"/>
      <c r="C27" s="12"/>
      <c r="D27" s="61"/>
      <c r="E27" s="61"/>
    </row>
    <row r="28" spans="1:22">
      <c r="A28" s="78"/>
      <c r="B28" s="79"/>
      <c r="C28" s="12"/>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I28"/>
  <sheetViews>
    <sheetView showGridLines="0" zoomScaleNormal="100" workbookViewId="0">
      <pane xSplit="1" ySplit="7" topLeftCell="B8" activePane="bottomRight" state="frozen"/>
      <selection activeCell="B1" sqref="B1"/>
      <selection pane="topRight" activeCell="B1" sqref="B1"/>
      <selection pane="bottomLeft" activeCell="B1" sqref="B1"/>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188</v>
      </c>
      <c r="B1" s="277" t="s">
        <v>1003</v>
      </c>
    </row>
    <row r="2" spans="1:9">
      <c r="A2" s="1" t="s">
        <v>189</v>
      </c>
      <c r="B2" s="383">
        <f>'1. key ratios'!B2</f>
        <v>44377</v>
      </c>
    </row>
    <row r="3" spans="1:9">
      <c r="H3" s="1">
        <v>0</v>
      </c>
    </row>
    <row r="4" spans="1:9" ht="13.5" thickBot="1">
      <c r="A4" s="1" t="s">
        <v>416</v>
      </c>
      <c r="B4" s="251" t="s">
        <v>459</v>
      </c>
    </row>
    <row r="5" spans="1:9">
      <c r="A5" s="83"/>
      <c r="B5" s="130"/>
      <c r="C5" s="136" t="s">
        <v>0</v>
      </c>
      <c r="D5" s="136" t="s">
        <v>1</v>
      </c>
      <c r="E5" s="136" t="s">
        <v>2</v>
      </c>
      <c r="F5" s="136" t="s">
        <v>3</v>
      </c>
      <c r="G5" s="247" t="s">
        <v>4</v>
      </c>
      <c r="H5" s="137" t="s">
        <v>5</v>
      </c>
      <c r="I5" s="18"/>
    </row>
    <row r="6" spans="1:9" ht="15" customHeight="1">
      <c r="A6" s="129"/>
      <c r="B6" s="16"/>
      <c r="C6" s="777" t="s">
        <v>451</v>
      </c>
      <c r="D6" s="781" t="s">
        <v>472</v>
      </c>
      <c r="E6" s="782"/>
      <c r="F6" s="777" t="s">
        <v>478</v>
      </c>
      <c r="G6" s="777" t="s">
        <v>479</v>
      </c>
      <c r="H6" s="779" t="s">
        <v>453</v>
      </c>
      <c r="I6" s="18"/>
    </row>
    <row r="7" spans="1:9" ht="76.5">
      <c r="A7" s="129"/>
      <c r="B7" s="16"/>
      <c r="C7" s="778"/>
      <c r="D7" s="250" t="s">
        <v>454</v>
      </c>
      <c r="E7" s="250" t="s">
        <v>452</v>
      </c>
      <c r="F7" s="778"/>
      <c r="G7" s="778"/>
      <c r="H7" s="780"/>
      <c r="I7" s="18"/>
    </row>
    <row r="8" spans="1:9">
      <c r="A8" s="74">
        <v>1</v>
      </c>
      <c r="B8" s="63" t="s">
        <v>216</v>
      </c>
      <c r="C8" s="594">
        <v>3335153773.2357001</v>
      </c>
      <c r="D8" s="595"/>
      <c r="E8" s="595"/>
      <c r="F8" s="595">
        <f>'11. CRWA'!S8</f>
        <v>1981920492.2651403</v>
      </c>
      <c r="G8" s="596">
        <f>F8</f>
        <v>1981920492.2651403</v>
      </c>
      <c r="H8" s="255">
        <f>G8/(C8+E8)</f>
        <v>0.59425160787783415</v>
      </c>
    </row>
    <row r="9" spans="1:9" ht="15" customHeight="1">
      <c r="A9" s="74">
        <v>2</v>
      </c>
      <c r="B9" s="63" t="s">
        <v>217</v>
      </c>
      <c r="C9" s="594">
        <v>0</v>
      </c>
      <c r="D9" s="595"/>
      <c r="E9" s="595"/>
      <c r="F9" s="595"/>
      <c r="G9" s="596">
        <f t="shared" ref="G9:G20" si="0">F9</f>
        <v>0</v>
      </c>
      <c r="H9" s="255" t="e">
        <f t="shared" ref="H9:H21" si="1">G9/(C9+E9)</f>
        <v>#DIV/0!</v>
      </c>
    </row>
    <row r="10" spans="1:9">
      <c r="A10" s="74">
        <v>3</v>
      </c>
      <c r="B10" s="63" t="s">
        <v>218</v>
      </c>
      <c r="C10" s="594"/>
      <c r="D10" s="595"/>
      <c r="E10" s="595"/>
      <c r="F10" s="595"/>
      <c r="G10" s="596">
        <f t="shared" si="0"/>
        <v>0</v>
      </c>
      <c r="H10" s="255" t="e">
        <f t="shared" si="1"/>
        <v>#DIV/0!</v>
      </c>
    </row>
    <row r="11" spans="1:9">
      <c r="A11" s="74">
        <v>4</v>
      </c>
      <c r="B11" s="63" t="s">
        <v>219</v>
      </c>
      <c r="C11" s="594">
        <v>771983050.98000002</v>
      </c>
      <c r="D11" s="595"/>
      <c r="E11" s="595"/>
      <c r="F11" s="595">
        <f>'11. CRWA'!S11</f>
        <v>44900209.039000005</v>
      </c>
      <c r="G11" s="596">
        <f>F11</f>
        <v>44900209.039000005</v>
      </c>
      <c r="H11" s="255">
        <f t="shared" si="1"/>
        <v>5.8162169469913982E-2</v>
      </c>
    </row>
    <row r="12" spans="1:9">
      <c r="A12" s="74">
        <v>5</v>
      </c>
      <c r="B12" s="63" t="s">
        <v>220</v>
      </c>
      <c r="C12" s="594">
        <v>0</v>
      </c>
      <c r="D12" s="595"/>
      <c r="E12" s="595"/>
      <c r="F12" s="595">
        <v>0</v>
      </c>
      <c r="G12" s="596">
        <f t="shared" si="0"/>
        <v>0</v>
      </c>
      <c r="H12" s="255" t="e">
        <f t="shared" si="1"/>
        <v>#DIV/0!</v>
      </c>
    </row>
    <row r="13" spans="1:9">
      <c r="A13" s="74">
        <v>6</v>
      </c>
      <c r="B13" s="63" t="s">
        <v>221</v>
      </c>
      <c r="C13" s="594">
        <v>918801416.14090002</v>
      </c>
      <c r="D13" s="595"/>
      <c r="E13" s="595"/>
      <c r="F13" s="595">
        <v>211774107.60018</v>
      </c>
      <c r="G13" s="596">
        <f t="shared" si="0"/>
        <v>211774107.60018</v>
      </c>
      <c r="H13" s="255">
        <f t="shared" si="1"/>
        <v>0.23048953112160203</v>
      </c>
    </row>
    <row r="14" spans="1:9">
      <c r="A14" s="74">
        <v>7</v>
      </c>
      <c r="B14" s="63" t="s">
        <v>73</v>
      </c>
      <c r="C14" s="594">
        <v>5349090982.1182003</v>
      </c>
      <c r="D14" s="595">
        <v>2040929232.962925</v>
      </c>
      <c r="E14" s="595">
        <v>847174636.65799999</v>
      </c>
      <c r="F14" s="595">
        <f>'11. CRWA'!S14</f>
        <v>6251823230.0599499</v>
      </c>
      <c r="G14" s="596">
        <v>5906938422.1100492</v>
      </c>
      <c r="H14" s="255">
        <f>G14/(C14+E14)</f>
        <v>0.95330619852876886</v>
      </c>
    </row>
    <row r="15" spans="1:9">
      <c r="A15" s="74">
        <v>8</v>
      </c>
      <c r="B15" s="63" t="s">
        <v>74</v>
      </c>
      <c r="C15" s="594">
        <v>3794962870.4783001</v>
      </c>
      <c r="D15" s="595">
        <v>241543389.264175</v>
      </c>
      <c r="E15" s="595">
        <v>118448830.60384999</v>
      </c>
      <c r="F15" s="595">
        <f>'11. CRWA'!S15</f>
        <v>2935058775.8116126</v>
      </c>
      <c r="G15" s="596">
        <v>2893607832.2442126</v>
      </c>
      <c r="H15" s="255">
        <f t="shared" si="1"/>
        <v>0.73940797781231715</v>
      </c>
    </row>
    <row r="16" spans="1:9">
      <c r="A16" s="74">
        <v>9</v>
      </c>
      <c r="B16" s="63" t="s">
        <v>75</v>
      </c>
      <c r="C16" s="594">
        <v>3204765749.2581</v>
      </c>
      <c r="D16" s="595"/>
      <c r="E16" s="595"/>
      <c r="F16" s="595">
        <f>'11. CRWA'!S16</f>
        <v>1121668012.240335</v>
      </c>
      <c r="G16" s="596">
        <v>1120743114.948235</v>
      </c>
      <c r="H16" s="255">
        <f t="shared" si="1"/>
        <v>0.34971139940811147</v>
      </c>
    </row>
    <row r="17" spans="1:8">
      <c r="A17" s="74">
        <v>10</v>
      </c>
      <c r="B17" s="63" t="s">
        <v>69</v>
      </c>
      <c r="C17" s="594">
        <v>136874832.4912</v>
      </c>
      <c r="D17" s="595"/>
      <c r="E17" s="595"/>
      <c r="F17" s="595">
        <f>'11. CRWA'!S17</f>
        <v>133095853.60599999</v>
      </c>
      <c r="G17" s="596">
        <v>133033763.66469999</v>
      </c>
      <c r="H17" s="255">
        <f t="shared" si="1"/>
        <v>0.97193736235807293</v>
      </c>
    </row>
    <row r="18" spans="1:8">
      <c r="A18" s="74">
        <v>11</v>
      </c>
      <c r="B18" s="63" t="s">
        <v>70</v>
      </c>
      <c r="C18" s="594">
        <v>1342333948.6905</v>
      </c>
      <c r="D18" s="595"/>
      <c r="E18" s="595"/>
      <c r="F18" s="595">
        <f>'11. CRWA'!S18</f>
        <v>1572628730.9981501</v>
      </c>
      <c r="G18" s="596">
        <v>1570753958.9558501</v>
      </c>
      <c r="H18" s="255">
        <f t="shared" si="1"/>
        <v>1.1701663065947061</v>
      </c>
    </row>
    <row r="19" spans="1:8">
      <c r="A19" s="74">
        <v>12</v>
      </c>
      <c r="B19" s="63" t="s">
        <v>71</v>
      </c>
      <c r="C19" s="594">
        <v>0</v>
      </c>
      <c r="D19" s="595"/>
      <c r="E19" s="595"/>
      <c r="F19" s="595"/>
      <c r="G19" s="596">
        <f t="shared" si="0"/>
        <v>0</v>
      </c>
      <c r="H19" s="255" t="e">
        <f t="shared" si="1"/>
        <v>#DIV/0!</v>
      </c>
    </row>
    <row r="20" spans="1:8">
      <c r="A20" s="74">
        <v>13</v>
      </c>
      <c r="B20" s="63" t="s">
        <v>72</v>
      </c>
      <c r="C20" s="594">
        <v>0</v>
      </c>
      <c r="D20" s="595"/>
      <c r="E20" s="595"/>
      <c r="F20" s="595"/>
      <c r="G20" s="596">
        <f t="shared" si="0"/>
        <v>0</v>
      </c>
      <c r="H20" s="255" t="e">
        <f t="shared" si="1"/>
        <v>#DIV/0!</v>
      </c>
    </row>
    <row r="21" spans="1:8">
      <c r="A21" s="74">
        <v>14</v>
      </c>
      <c r="B21" s="63" t="s">
        <v>249</v>
      </c>
      <c r="C21" s="594">
        <v>1421850253.0483179</v>
      </c>
      <c r="D21" s="595"/>
      <c r="E21" s="595"/>
      <c r="F21" s="595">
        <f>'11. CRWA'!S21</f>
        <v>931117434.40331805</v>
      </c>
      <c r="G21" s="596">
        <f>F21</f>
        <v>931117434.40331805</v>
      </c>
      <c r="H21" s="255">
        <f t="shared" si="1"/>
        <v>0.65486321953179438</v>
      </c>
    </row>
    <row r="22" spans="1:8" ht="13.5" thickBot="1">
      <c r="A22" s="131"/>
      <c r="B22" s="138" t="s">
        <v>68</v>
      </c>
      <c r="C22" s="678">
        <f>SUM(C8:C21)</f>
        <v>20275816876.441216</v>
      </c>
      <c r="D22" s="238">
        <f>SUM(D8:D21)</f>
        <v>2282472622.2270999</v>
      </c>
      <c r="E22" s="238">
        <f>SUM(E8:E21)</f>
        <v>965623467.26185</v>
      </c>
      <c r="F22" s="238">
        <f>SUM(F8:F21)</f>
        <v>15183986846.023687</v>
      </c>
      <c r="G22" s="238">
        <f>SUM(G8:G21)</f>
        <v>14794789335.230686</v>
      </c>
      <c r="H22" s="256">
        <f>G22/(C22+E22)</f>
        <v>0.69650593819625506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L28"/>
  <sheetViews>
    <sheetView showGridLines="0" zoomScaleNormal="100" workbookViewId="0">
      <pane xSplit="2" ySplit="6" topLeftCell="C7" activePane="bottomRight" state="frozen"/>
      <selection activeCell="B1" sqref="B1"/>
      <selection pane="topRight" activeCell="B1" sqref="B1"/>
      <selection pane="bottomLeft" activeCell="B1" sqref="B1"/>
      <selection pane="bottomRight" activeCell="C7" sqref="C7"/>
    </sheetView>
  </sheetViews>
  <sheetFormatPr defaultColWidth="9.140625" defaultRowHeight="12.75"/>
  <cols>
    <col min="1" max="1" width="10.5703125" style="277" bestFit="1" customWidth="1"/>
    <col min="2" max="2" width="104.140625" style="277" customWidth="1"/>
    <col min="3" max="11" width="12.7109375" style="692" customWidth="1"/>
    <col min="12" max="12" width="9.140625" style="692"/>
    <col min="13" max="16384" width="9.140625" style="277"/>
  </cols>
  <sheetData>
    <row r="1" spans="1:11">
      <c r="A1" s="277" t="s">
        <v>188</v>
      </c>
      <c r="B1" s="277" t="s">
        <v>1003</v>
      </c>
    </row>
    <row r="2" spans="1:11">
      <c r="A2" s="277" t="s">
        <v>189</v>
      </c>
      <c r="B2" s="383">
        <f>'1. key ratios'!B2</f>
        <v>44377</v>
      </c>
      <c r="C2" s="640"/>
      <c r="D2" s="640"/>
    </row>
    <row r="3" spans="1:11">
      <c r="B3" s="278"/>
      <c r="C3" s="640"/>
      <c r="D3" s="640"/>
      <c r="H3" s="692">
        <v>0</v>
      </c>
    </row>
    <row r="4" spans="1:11" ht="13.5" thickBot="1">
      <c r="A4" s="277" t="s">
        <v>521</v>
      </c>
      <c r="B4" s="251" t="s">
        <v>520</v>
      </c>
      <c r="C4" s="640"/>
      <c r="D4" s="640"/>
    </row>
    <row r="5" spans="1:11" ht="30" customHeight="1">
      <c r="A5" s="786"/>
      <c r="B5" s="787"/>
      <c r="C5" s="784" t="s">
        <v>553</v>
      </c>
      <c r="D5" s="784"/>
      <c r="E5" s="784"/>
      <c r="F5" s="784" t="s">
        <v>554</v>
      </c>
      <c r="G5" s="784"/>
      <c r="H5" s="784"/>
      <c r="I5" s="784" t="s">
        <v>555</v>
      </c>
      <c r="J5" s="784"/>
      <c r="K5" s="785"/>
    </row>
    <row r="6" spans="1:11">
      <c r="A6" s="275"/>
      <c r="B6" s="276"/>
      <c r="C6" s="639" t="s">
        <v>27</v>
      </c>
      <c r="D6" s="639" t="s">
        <v>96</v>
      </c>
      <c r="E6" s="639" t="s">
        <v>68</v>
      </c>
      <c r="F6" s="639" t="s">
        <v>27</v>
      </c>
      <c r="G6" s="639" t="s">
        <v>96</v>
      </c>
      <c r="H6" s="639" t="s">
        <v>68</v>
      </c>
      <c r="I6" s="639" t="s">
        <v>27</v>
      </c>
      <c r="J6" s="639" t="s">
        <v>96</v>
      </c>
      <c r="K6" s="638" t="s">
        <v>68</v>
      </c>
    </row>
    <row r="7" spans="1:11">
      <c r="A7" s="280" t="s">
        <v>491</v>
      </c>
      <c r="B7" s="274"/>
      <c r="C7" s="637"/>
      <c r="D7" s="637"/>
      <c r="E7" s="637"/>
      <c r="F7" s="637"/>
      <c r="G7" s="637"/>
      <c r="H7" s="637"/>
      <c r="I7" s="637"/>
      <c r="J7" s="637"/>
      <c r="K7" s="636"/>
    </row>
    <row r="8" spans="1:11">
      <c r="A8" s="273">
        <v>1</v>
      </c>
      <c r="B8" s="261" t="s">
        <v>491</v>
      </c>
      <c r="C8" s="635"/>
      <c r="D8" s="635"/>
      <c r="E8" s="635"/>
      <c r="F8" s="634">
        <v>1468805275.7826192</v>
      </c>
      <c r="G8" s="634">
        <v>3530906276.7839556</v>
      </c>
      <c r="H8" s="634">
        <v>4999711552.5665751</v>
      </c>
      <c r="I8" s="634">
        <v>1430613737.3210809</v>
      </c>
      <c r="J8" s="634">
        <v>2469354258.6274719</v>
      </c>
      <c r="K8" s="633">
        <v>3899967995.9485526</v>
      </c>
    </row>
    <row r="9" spans="1:11">
      <c r="A9" s="280" t="s">
        <v>492</v>
      </c>
      <c r="B9" s="274"/>
      <c r="C9" s="637"/>
      <c r="D9" s="637"/>
      <c r="E9" s="637"/>
      <c r="F9" s="637"/>
      <c r="G9" s="637"/>
      <c r="H9" s="637"/>
      <c r="I9" s="637"/>
      <c r="J9" s="637"/>
      <c r="K9" s="636"/>
    </row>
    <row r="10" spans="1:11">
      <c r="A10" s="281">
        <v>2</v>
      </c>
      <c r="B10" s="262" t="s">
        <v>493</v>
      </c>
      <c r="C10" s="632">
        <v>1798985680.205934</v>
      </c>
      <c r="D10" s="631">
        <v>4718510356.2349243</v>
      </c>
      <c r="E10" s="631">
        <v>6407147046.2059107</v>
      </c>
      <c r="F10" s="631">
        <v>338026732.32628453</v>
      </c>
      <c r="G10" s="631">
        <v>1021302188.5470957</v>
      </c>
      <c r="H10" s="631">
        <v>1338918211.820689</v>
      </c>
      <c r="I10" s="631">
        <v>97448512.559175804</v>
      </c>
      <c r="J10" s="631">
        <v>292492458.06769145</v>
      </c>
      <c r="K10" s="666">
        <v>384030381.18166906</v>
      </c>
    </row>
    <row r="11" spans="1:11">
      <c r="A11" s="281">
        <v>3</v>
      </c>
      <c r="B11" s="262" t="s">
        <v>494</v>
      </c>
      <c r="C11" s="632">
        <v>3683960230.0285692</v>
      </c>
      <c r="D11" s="631">
        <v>6947847286.1041136</v>
      </c>
      <c r="E11" s="631">
        <v>10400312896.924812</v>
      </c>
      <c r="F11" s="631">
        <v>1270227022.8908706</v>
      </c>
      <c r="G11" s="631">
        <v>2071240338.528754</v>
      </c>
      <c r="H11" s="631">
        <v>3341467361.41962</v>
      </c>
      <c r="I11" s="631">
        <v>988162316.1567086</v>
      </c>
      <c r="J11" s="631">
        <v>1202475660.8324437</v>
      </c>
      <c r="K11" s="666">
        <v>2190637976.989152</v>
      </c>
    </row>
    <row r="12" spans="1:11">
      <c r="A12" s="281">
        <v>4</v>
      </c>
      <c r="B12" s="262" t="s">
        <v>495</v>
      </c>
      <c r="C12" s="632">
        <v>1870180879.1208792</v>
      </c>
      <c r="D12" s="631">
        <v>60230769.230769232</v>
      </c>
      <c r="E12" s="631">
        <v>1809950109.8901098</v>
      </c>
      <c r="F12" s="631">
        <v>0</v>
      </c>
      <c r="G12" s="631">
        <v>0</v>
      </c>
      <c r="H12" s="631">
        <v>0</v>
      </c>
      <c r="I12" s="631">
        <v>0</v>
      </c>
      <c r="J12" s="631">
        <v>0</v>
      </c>
      <c r="K12" s="666">
        <v>0</v>
      </c>
    </row>
    <row r="13" spans="1:11">
      <c r="A13" s="281">
        <v>5</v>
      </c>
      <c r="B13" s="262" t="s">
        <v>496</v>
      </c>
      <c r="C13" s="632">
        <v>1132439729.2177415</v>
      </c>
      <c r="D13" s="631">
        <v>1168644361.8162816</v>
      </c>
      <c r="E13" s="631">
        <v>2228960871.7144623</v>
      </c>
      <c r="F13" s="631">
        <v>173629694.90338901</v>
      </c>
      <c r="G13" s="631">
        <v>168818047.7880128</v>
      </c>
      <c r="H13" s="631">
        <v>342447742.6914019</v>
      </c>
      <c r="I13" s="631">
        <v>67402696.138785735</v>
      </c>
      <c r="J13" s="631">
        <v>70200680.503173769</v>
      </c>
      <c r="K13" s="666">
        <v>137603376.64195949</v>
      </c>
    </row>
    <row r="14" spans="1:11">
      <c r="A14" s="281">
        <v>6</v>
      </c>
      <c r="B14" s="262" t="s">
        <v>511</v>
      </c>
      <c r="C14" s="632"/>
      <c r="D14" s="631"/>
      <c r="E14" s="631"/>
      <c r="F14" s="631"/>
      <c r="G14" s="631"/>
      <c r="H14" s="631"/>
      <c r="I14" s="631"/>
      <c r="J14" s="631"/>
      <c r="K14" s="666"/>
    </row>
    <row r="15" spans="1:11">
      <c r="A15" s="281">
        <v>7</v>
      </c>
      <c r="B15" s="262" t="s">
        <v>498</v>
      </c>
      <c r="C15" s="632">
        <v>78102316.13619785</v>
      </c>
      <c r="D15" s="631">
        <v>193302713.75626373</v>
      </c>
      <c r="E15" s="631">
        <v>266980008.82520878</v>
      </c>
      <c r="F15" s="631">
        <v>72977413.570813239</v>
      </c>
      <c r="G15" s="631">
        <v>196215105.78802198</v>
      </c>
      <c r="H15" s="631">
        <v>269192519.3588351</v>
      </c>
      <c r="I15" s="631">
        <v>72977413.570813239</v>
      </c>
      <c r="J15" s="631">
        <v>196215105.78802198</v>
      </c>
      <c r="K15" s="666">
        <v>269192519.3588351</v>
      </c>
    </row>
    <row r="16" spans="1:11">
      <c r="A16" s="281">
        <v>8</v>
      </c>
      <c r="B16" s="263" t="s">
        <v>499</v>
      </c>
      <c r="C16" s="632">
        <v>6764683154.5033884</v>
      </c>
      <c r="D16" s="631">
        <v>8370025130.9074278</v>
      </c>
      <c r="E16" s="631">
        <v>14706203887.354593</v>
      </c>
      <c r="F16" s="631">
        <v>1516834131.3650727</v>
      </c>
      <c r="G16" s="631">
        <v>2436273492.1047888</v>
      </c>
      <c r="H16" s="631">
        <v>3953107623.4698572</v>
      </c>
      <c r="I16" s="631">
        <v>1128542425.8663075</v>
      </c>
      <c r="J16" s="631">
        <v>1468891447.1236396</v>
      </c>
      <c r="K16" s="666">
        <v>2597433872.9899468</v>
      </c>
    </row>
    <row r="17" spans="1:11">
      <c r="A17" s="280" t="s">
        <v>500</v>
      </c>
      <c r="B17" s="274"/>
      <c r="C17" s="637"/>
      <c r="D17" s="637"/>
      <c r="E17" s="637"/>
      <c r="F17" s="637"/>
      <c r="G17" s="637"/>
      <c r="H17" s="637"/>
      <c r="I17" s="637"/>
      <c r="J17" s="637"/>
      <c r="K17" s="636"/>
    </row>
    <row r="18" spans="1:11">
      <c r="A18" s="281">
        <v>9</v>
      </c>
      <c r="B18" s="262" t="s">
        <v>501</v>
      </c>
      <c r="C18" s="632"/>
      <c r="D18" s="631"/>
      <c r="E18" s="631"/>
      <c r="F18" s="631"/>
      <c r="G18" s="631"/>
      <c r="H18" s="631"/>
      <c r="I18" s="631"/>
      <c r="J18" s="631"/>
      <c r="K18" s="666"/>
    </row>
    <row r="19" spans="1:11">
      <c r="A19" s="281">
        <v>10</v>
      </c>
      <c r="B19" s="262" t="s">
        <v>502</v>
      </c>
      <c r="C19" s="632">
        <v>328799032.77343094</v>
      </c>
      <c r="D19" s="631">
        <v>212677275.11269006</v>
      </c>
      <c r="E19" s="631">
        <v>519732386.78941721</v>
      </c>
      <c r="F19" s="631">
        <v>163672902.79486257</v>
      </c>
      <c r="G19" s="631">
        <v>104064028.34084943</v>
      </c>
      <c r="H19" s="631">
        <v>267736931.13571206</v>
      </c>
      <c r="I19" s="631">
        <v>208397893.46200562</v>
      </c>
      <c r="J19" s="631">
        <v>1173759936.1265638</v>
      </c>
      <c r="K19" s="666">
        <v>1382157829.5885701</v>
      </c>
    </row>
    <row r="20" spans="1:11">
      <c r="A20" s="281">
        <v>11</v>
      </c>
      <c r="B20" s="262" t="s">
        <v>503</v>
      </c>
      <c r="C20" s="632">
        <v>7487733.9705065964</v>
      </c>
      <c r="D20" s="631">
        <v>290338.92633846158</v>
      </c>
      <c r="E20" s="631">
        <v>7197395.0441681342</v>
      </c>
      <c r="F20" s="631">
        <v>7487733.9705065964</v>
      </c>
      <c r="G20" s="631">
        <v>0</v>
      </c>
      <c r="H20" s="631">
        <v>7487733.9705065964</v>
      </c>
      <c r="I20" s="631">
        <v>7487733.9705065964</v>
      </c>
      <c r="J20" s="631">
        <v>0</v>
      </c>
      <c r="K20" s="666">
        <v>7487733.9705065964</v>
      </c>
    </row>
    <row r="21" spans="1:11" ht="13.5" thickBot="1">
      <c r="A21" s="182">
        <v>12</v>
      </c>
      <c r="B21" s="282" t="s">
        <v>504</v>
      </c>
      <c r="C21" s="630">
        <v>336286766.74393755</v>
      </c>
      <c r="D21" s="667">
        <v>212967614.03902853</v>
      </c>
      <c r="E21" s="630">
        <v>526929781.83358532</v>
      </c>
      <c r="F21" s="667">
        <v>171160636.76536918</v>
      </c>
      <c r="G21" s="667">
        <v>104064028.34084943</v>
      </c>
      <c r="H21" s="667">
        <v>275224665.10621864</v>
      </c>
      <c r="I21" s="667">
        <v>215885627.43251222</v>
      </c>
      <c r="J21" s="667">
        <v>1173759936.1265638</v>
      </c>
      <c r="K21" s="629">
        <v>1389645563.5590768</v>
      </c>
    </row>
    <row r="22" spans="1:11" ht="38.25" customHeight="1" thickBot="1">
      <c r="A22" s="271"/>
      <c r="B22" s="272"/>
      <c r="C22" s="628"/>
      <c r="D22" s="628"/>
      <c r="E22" s="628"/>
      <c r="F22" s="783" t="s">
        <v>505</v>
      </c>
      <c r="G22" s="784"/>
      <c r="H22" s="784"/>
      <c r="I22" s="783" t="s">
        <v>506</v>
      </c>
      <c r="J22" s="784"/>
      <c r="K22" s="785"/>
    </row>
    <row r="23" spans="1:11">
      <c r="A23" s="267">
        <v>13</v>
      </c>
      <c r="B23" s="264" t="s">
        <v>491</v>
      </c>
      <c r="C23" s="627"/>
      <c r="D23" s="627"/>
      <c r="E23" s="627"/>
      <c r="F23" s="688">
        <v>1468805275.7826192</v>
      </c>
      <c r="G23" s="688">
        <v>3530906276.7839556</v>
      </c>
      <c r="H23" s="688">
        <v>4999711552.5665751</v>
      </c>
      <c r="I23" s="688">
        <v>1430613737.3210809</v>
      </c>
      <c r="J23" s="688">
        <v>2469354258.6274719</v>
      </c>
      <c r="K23" s="689">
        <v>3899967995.9485526</v>
      </c>
    </row>
    <row r="24" spans="1:11" ht="13.5" thickBot="1">
      <c r="A24" s="268">
        <v>14</v>
      </c>
      <c r="B24" s="265" t="s">
        <v>507</v>
      </c>
      <c r="C24" s="626"/>
      <c r="D24" s="625"/>
      <c r="E24" s="624"/>
      <c r="F24" s="690">
        <v>1345673494.5997031</v>
      </c>
      <c r="G24" s="690">
        <v>2332209463.763937</v>
      </c>
      <c r="H24" s="690">
        <v>3677882958.3636408</v>
      </c>
      <c r="I24" s="690">
        <v>912656798.43379629</v>
      </c>
      <c r="J24" s="690">
        <v>488257080.13205433</v>
      </c>
      <c r="K24" s="691">
        <v>1214105445.1126873</v>
      </c>
    </row>
    <row r="25" spans="1:11" ht="13.5" thickBot="1">
      <c r="A25" s="269">
        <v>15</v>
      </c>
      <c r="B25" s="266" t="s">
        <v>508</v>
      </c>
      <c r="C25" s="623"/>
      <c r="D25" s="623"/>
      <c r="E25" s="623"/>
      <c r="F25" s="731">
        <v>1.091501974050209</v>
      </c>
      <c r="G25" s="731">
        <v>1.5139747658366201</v>
      </c>
      <c r="H25" s="731">
        <v>1.3593993091044529</v>
      </c>
      <c r="I25" s="731">
        <v>1.5675265223204897</v>
      </c>
      <c r="J25" s="731">
        <v>5.0574878667598817</v>
      </c>
      <c r="K25" s="730">
        <v>3.2122152253312533</v>
      </c>
    </row>
    <row r="28" spans="1:11" ht="38.25">
      <c r="B28" s="17"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sheetPr>
  <dimension ref="A1:N22"/>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ColWidth="9.140625" defaultRowHeight="15"/>
  <cols>
    <col min="1" max="1" width="10.5703125" style="58" bestFit="1" customWidth="1"/>
    <col min="2" max="2" width="95" style="58" customWidth="1"/>
    <col min="3" max="3" width="13.85546875" style="58" customWidth="1"/>
    <col min="4" max="4" width="10" style="58" bestFit="1" customWidth="1"/>
    <col min="5" max="5" width="18.28515625" style="58" bestFit="1" customWidth="1"/>
    <col min="6" max="13" width="10.7109375" style="58" customWidth="1"/>
    <col min="14" max="14" width="31" style="58" bestFit="1" customWidth="1"/>
    <col min="15" max="16384" width="9.140625" style="8"/>
  </cols>
  <sheetData>
    <row r="1" spans="1:14">
      <c r="A1" s="4" t="s">
        <v>188</v>
      </c>
      <c r="B1" s="58" t="s">
        <v>1003</v>
      </c>
    </row>
    <row r="2" spans="1:14" ht="14.25" customHeight="1">
      <c r="A2" s="58" t="s">
        <v>189</v>
      </c>
      <c r="B2" s="383">
        <f>'1. key ratios'!B2</f>
        <v>44377</v>
      </c>
    </row>
    <row r="3" spans="1:14" ht="14.25" customHeight="1">
      <c r="H3" s="58">
        <v>0</v>
      </c>
    </row>
    <row r="4" spans="1:14" ht="15.75" thickBot="1">
      <c r="A4" s="1" t="s">
        <v>417</v>
      </c>
      <c r="B4" s="76" t="s">
        <v>77</v>
      </c>
    </row>
    <row r="5" spans="1:14" s="19" customFormat="1" ht="12.75">
      <c r="A5" s="146"/>
      <c r="B5" s="147"/>
      <c r="C5" s="148" t="s">
        <v>0</v>
      </c>
      <c r="D5" s="148" t="s">
        <v>1</v>
      </c>
      <c r="E5" s="148" t="s">
        <v>2</v>
      </c>
      <c r="F5" s="148" t="s">
        <v>3</v>
      </c>
      <c r="G5" s="148" t="s">
        <v>4</v>
      </c>
      <c r="H5" s="148" t="s">
        <v>5</v>
      </c>
      <c r="I5" s="148" t="s">
        <v>238</v>
      </c>
      <c r="J5" s="148" t="s">
        <v>239</v>
      </c>
      <c r="K5" s="148" t="s">
        <v>240</v>
      </c>
      <c r="L5" s="148" t="s">
        <v>241</v>
      </c>
      <c r="M5" s="148" t="s">
        <v>242</v>
      </c>
      <c r="N5" s="149" t="s">
        <v>243</v>
      </c>
    </row>
    <row r="6" spans="1:14" ht="45">
      <c r="A6" s="139"/>
      <c r="B6" s="88"/>
      <c r="C6" s="89" t="s">
        <v>87</v>
      </c>
      <c r="D6" s="90" t="s">
        <v>76</v>
      </c>
      <c r="E6" s="91" t="s">
        <v>86</v>
      </c>
      <c r="F6" s="92">
        <v>0</v>
      </c>
      <c r="G6" s="92">
        <v>0.2</v>
      </c>
      <c r="H6" s="92">
        <v>0.35</v>
      </c>
      <c r="I6" s="92">
        <v>0.5</v>
      </c>
      <c r="J6" s="92">
        <v>0.75</v>
      </c>
      <c r="K6" s="92">
        <v>1</v>
      </c>
      <c r="L6" s="92">
        <v>1.5</v>
      </c>
      <c r="M6" s="92">
        <v>2.5</v>
      </c>
      <c r="N6" s="140" t="s">
        <v>77</v>
      </c>
    </row>
    <row r="7" spans="1:14">
      <c r="A7" s="141">
        <v>1</v>
      </c>
      <c r="B7" s="93" t="s">
        <v>78</v>
      </c>
      <c r="C7" s="597">
        <f>SUM(C8:C13)</f>
        <v>155920255.07939997</v>
      </c>
      <c r="D7" s="598"/>
      <c r="E7" s="599">
        <f t="shared" ref="E7:M7" si="0">SUM(E8:E13)</f>
        <v>3383718.939971</v>
      </c>
      <c r="F7" s="597">
        <f>SUM(F8:F13)</f>
        <v>0</v>
      </c>
      <c r="G7" s="597">
        <f t="shared" si="0"/>
        <v>19549334.387839999</v>
      </c>
      <c r="H7" s="597">
        <f t="shared" si="0"/>
        <v>0</v>
      </c>
      <c r="I7" s="597">
        <f t="shared" si="0"/>
        <v>31858505.209174</v>
      </c>
      <c r="J7" s="597">
        <f t="shared" si="0"/>
        <v>0</v>
      </c>
      <c r="K7" s="597">
        <f t="shared" si="0"/>
        <v>2667825.6074179998</v>
      </c>
      <c r="L7" s="597">
        <f t="shared" si="0"/>
        <v>0</v>
      </c>
      <c r="M7" s="597">
        <f t="shared" si="0"/>
        <v>0</v>
      </c>
      <c r="N7" s="600">
        <f>SUM(N8:N13)</f>
        <v>22506945.089572996</v>
      </c>
    </row>
    <row r="8" spans="1:14">
      <c r="A8" s="141">
        <v>1.1000000000000001</v>
      </c>
      <c r="B8" s="94" t="s">
        <v>79</v>
      </c>
      <c r="C8" s="601">
        <v>147363666.34999999</v>
      </c>
      <c r="D8" s="602">
        <v>0.02</v>
      </c>
      <c r="E8" s="599">
        <f>C8*D8</f>
        <v>2947273.327</v>
      </c>
      <c r="F8" s="601">
        <v>0</v>
      </c>
      <c r="G8" s="601">
        <v>19549334.387839999</v>
      </c>
      <c r="H8" s="601">
        <v>0</v>
      </c>
      <c r="I8" s="601">
        <v>31858505.209174</v>
      </c>
      <c r="J8" s="601">
        <v>0</v>
      </c>
      <c r="K8" s="601">
        <v>2227929.5043219998</v>
      </c>
      <c r="L8" s="601">
        <v>0</v>
      </c>
      <c r="M8" s="601">
        <v>0</v>
      </c>
      <c r="N8" s="600">
        <f>SUMPRODUCT($F$6:$M$6,F8:M8)</f>
        <v>22067048.986476999</v>
      </c>
    </row>
    <row r="9" spans="1:14">
      <c r="A9" s="141">
        <v>1.2</v>
      </c>
      <c r="B9" s="94" t="s">
        <v>80</v>
      </c>
      <c r="C9" s="601">
        <v>6833353.4292000001</v>
      </c>
      <c r="D9" s="602">
        <v>0.05</v>
      </c>
      <c r="E9" s="599">
        <f>C9*D9</f>
        <v>341667.67146000004</v>
      </c>
      <c r="F9" s="601">
        <v>0</v>
      </c>
      <c r="G9" s="601">
        <v>0</v>
      </c>
      <c r="H9" s="601">
        <v>0</v>
      </c>
      <c r="I9" s="601">
        <v>0</v>
      </c>
      <c r="J9" s="601">
        <v>0</v>
      </c>
      <c r="K9" s="601">
        <v>341667.67145999998</v>
      </c>
      <c r="L9" s="601">
        <v>0</v>
      </c>
      <c r="M9" s="601">
        <v>0</v>
      </c>
      <c r="N9" s="600">
        <f t="shared" ref="N9:N12" si="1">SUMPRODUCT($F$6:$M$6,F9:M9)</f>
        <v>341667.67145999998</v>
      </c>
    </row>
    <row r="10" spans="1:14">
      <c r="A10" s="141">
        <v>1.3</v>
      </c>
      <c r="B10" s="94" t="s">
        <v>81</v>
      </c>
      <c r="C10" s="601"/>
      <c r="D10" s="602">
        <v>0.08</v>
      </c>
      <c r="E10" s="599">
        <f>C10*D10</f>
        <v>0</v>
      </c>
      <c r="F10" s="601">
        <v>0</v>
      </c>
      <c r="G10" s="601">
        <v>0</v>
      </c>
      <c r="H10" s="601">
        <v>0</v>
      </c>
      <c r="I10" s="601">
        <v>0</v>
      </c>
      <c r="J10" s="601">
        <v>0</v>
      </c>
      <c r="K10" s="601">
        <v>35927.018528000001</v>
      </c>
      <c r="L10" s="601">
        <v>0</v>
      </c>
      <c r="M10" s="601">
        <v>0</v>
      </c>
      <c r="N10" s="600">
        <f>SUMPRODUCT($F$6:$M$6,F10:M10)</f>
        <v>35927.018528000001</v>
      </c>
    </row>
    <row r="11" spans="1:14">
      <c r="A11" s="141">
        <v>1.4</v>
      </c>
      <c r="B11" s="94" t="s">
        <v>82</v>
      </c>
      <c r="C11" s="601">
        <v>861617.65009999997</v>
      </c>
      <c r="D11" s="602">
        <v>0.11</v>
      </c>
      <c r="E11" s="599">
        <f>C11*D11</f>
        <v>94777.941510999997</v>
      </c>
      <c r="F11" s="601">
        <v>0</v>
      </c>
      <c r="G11" s="601">
        <v>0</v>
      </c>
      <c r="H11" s="601">
        <v>0</v>
      </c>
      <c r="I11" s="601">
        <v>0</v>
      </c>
      <c r="J11" s="601">
        <v>0</v>
      </c>
      <c r="K11" s="601">
        <v>62301.413108000001</v>
      </c>
      <c r="L11" s="601">
        <v>0</v>
      </c>
      <c r="M11" s="601">
        <v>0</v>
      </c>
      <c r="N11" s="600">
        <f t="shared" si="1"/>
        <v>62301.413108000001</v>
      </c>
    </row>
    <row r="12" spans="1:14">
      <c r="A12" s="141">
        <v>1.5</v>
      </c>
      <c r="B12" s="94" t="s">
        <v>83</v>
      </c>
      <c r="C12" s="601">
        <v>0</v>
      </c>
      <c r="D12" s="602">
        <v>0.14000000000000001</v>
      </c>
      <c r="E12" s="599">
        <f>C12*D12</f>
        <v>0</v>
      </c>
      <c r="F12" s="601">
        <v>0</v>
      </c>
      <c r="G12" s="601">
        <v>0</v>
      </c>
      <c r="H12" s="601">
        <v>0</v>
      </c>
      <c r="I12" s="601">
        <v>0</v>
      </c>
      <c r="J12" s="601">
        <v>0</v>
      </c>
      <c r="K12" s="601">
        <v>0</v>
      </c>
      <c r="L12" s="601">
        <v>0</v>
      </c>
      <c r="M12" s="601">
        <v>0</v>
      </c>
      <c r="N12" s="600">
        <f t="shared" si="1"/>
        <v>0</v>
      </c>
    </row>
    <row r="13" spans="1:14">
      <c r="A13" s="141">
        <v>1.6</v>
      </c>
      <c r="B13" s="95" t="s">
        <v>84</v>
      </c>
      <c r="C13" s="601">
        <v>861617.65009999997</v>
      </c>
      <c r="D13" s="603"/>
      <c r="E13" s="601"/>
      <c r="F13" s="601"/>
      <c r="G13" s="601"/>
      <c r="H13" s="601"/>
      <c r="I13" s="601"/>
      <c r="J13" s="601"/>
      <c r="K13" s="601"/>
      <c r="L13" s="601"/>
      <c r="M13" s="601"/>
      <c r="N13" s="600">
        <f>SUMPRODUCT($F$6:$M$6,F13:M13)</f>
        <v>0</v>
      </c>
    </row>
    <row r="14" spans="1:14">
      <c r="A14" s="141">
        <v>2</v>
      </c>
      <c r="B14" s="96" t="s">
        <v>85</v>
      </c>
      <c r="C14" s="597">
        <f>SUM(C15:C20)</f>
        <v>7584720</v>
      </c>
      <c r="D14" s="598"/>
      <c r="E14" s="599">
        <f t="shared" ref="E14:M14" si="2">SUM(E15:E20)</f>
        <v>37923.599999999999</v>
      </c>
      <c r="F14" s="601">
        <f t="shared" si="2"/>
        <v>0</v>
      </c>
      <c r="G14" s="601">
        <f t="shared" si="2"/>
        <v>0</v>
      </c>
      <c r="H14" s="601">
        <f t="shared" si="2"/>
        <v>0</v>
      </c>
      <c r="I14" s="601">
        <f t="shared" si="2"/>
        <v>37923.599999999999</v>
      </c>
      <c r="J14" s="601">
        <f t="shared" si="2"/>
        <v>0</v>
      </c>
      <c r="K14" s="601">
        <f t="shared" si="2"/>
        <v>0</v>
      </c>
      <c r="L14" s="601">
        <f t="shared" si="2"/>
        <v>0</v>
      </c>
      <c r="M14" s="601">
        <f t="shared" si="2"/>
        <v>0</v>
      </c>
      <c r="N14" s="600">
        <f>SUM(N15:N20)</f>
        <v>18961.8</v>
      </c>
    </row>
    <row r="15" spans="1:14">
      <c r="A15" s="141">
        <v>2.1</v>
      </c>
      <c r="B15" s="95" t="s">
        <v>79</v>
      </c>
      <c r="C15" s="601">
        <v>7584720</v>
      </c>
      <c r="D15" s="602">
        <v>5.0000000000000001E-3</v>
      </c>
      <c r="E15" s="599">
        <f>C15*D15</f>
        <v>37923.599999999999</v>
      </c>
      <c r="F15" s="601">
        <v>0</v>
      </c>
      <c r="G15" s="601">
        <v>0</v>
      </c>
      <c r="H15" s="601">
        <v>0</v>
      </c>
      <c r="I15" s="601">
        <v>37923.599999999999</v>
      </c>
      <c r="J15" s="601">
        <v>0</v>
      </c>
      <c r="K15" s="601">
        <v>0</v>
      </c>
      <c r="L15" s="601">
        <v>0</v>
      </c>
      <c r="M15" s="601">
        <v>0</v>
      </c>
      <c r="N15" s="600">
        <f>SUMPRODUCT($F$6:$M$6,F15:M15)</f>
        <v>18961.8</v>
      </c>
    </row>
    <row r="16" spans="1:14">
      <c r="A16" s="141">
        <v>2.2000000000000002</v>
      </c>
      <c r="B16" s="95" t="s">
        <v>80</v>
      </c>
      <c r="C16" s="601">
        <v>0</v>
      </c>
      <c r="D16" s="602">
        <v>0.01</v>
      </c>
      <c r="E16" s="599">
        <f>C16*D16</f>
        <v>0</v>
      </c>
      <c r="F16" s="601">
        <v>0</v>
      </c>
      <c r="G16" s="601">
        <v>0</v>
      </c>
      <c r="H16" s="601">
        <v>0</v>
      </c>
      <c r="I16" s="601">
        <v>0</v>
      </c>
      <c r="J16" s="601">
        <v>0</v>
      </c>
      <c r="K16" s="601">
        <v>0</v>
      </c>
      <c r="L16" s="601">
        <v>0</v>
      </c>
      <c r="M16" s="601">
        <v>0</v>
      </c>
      <c r="N16" s="600">
        <f t="shared" ref="N16:N20" si="3">SUMPRODUCT($F$6:$M$6,F16:M16)</f>
        <v>0</v>
      </c>
    </row>
    <row r="17" spans="1:14">
      <c r="A17" s="141">
        <v>2.2999999999999998</v>
      </c>
      <c r="B17" s="95" t="s">
        <v>81</v>
      </c>
      <c r="C17" s="601">
        <v>0</v>
      </c>
      <c r="D17" s="602">
        <v>0.02</v>
      </c>
      <c r="E17" s="599">
        <f>C17*D17</f>
        <v>0</v>
      </c>
      <c r="F17" s="601">
        <v>0</v>
      </c>
      <c r="G17" s="601">
        <v>0</v>
      </c>
      <c r="H17" s="601">
        <v>0</v>
      </c>
      <c r="I17" s="601">
        <v>0</v>
      </c>
      <c r="J17" s="601">
        <v>0</v>
      </c>
      <c r="K17" s="601">
        <v>0</v>
      </c>
      <c r="L17" s="601">
        <v>0</v>
      </c>
      <c r="M17" s="601">
        <v>0</v>
      </c>
      <c r="N17" s="600">
        <f t="shared" si="3"/>
        <v>0</v>
      </c>
    </row>
    <row r="18" spans="1:14">
      <c r="A18" s="141">
        <v>2.4</v>
      </c>
      <c r="B18" s="95" t="s">
        <v>82</v>
      </c>
      <c r="C18" s="601">
        <v>0</v>
      </c>
      <c r="D18" s="602">
        <v>0.03</v>
      </c>
      <c r="E18" s="599">
        <f>C18*D18</f>
        <v>0</v>
      </c>
      <c r="F18" s="601">
        <v>0</v>
      </c>
      <c r="G18" s="601">
        <v>0</v>
      </c>
      <c r="H18" s="601">
        <v>0</v>
      </c>
      <c r="I18" s="601">
        <v>0</v>
      </c>
      <c r="J18" s="601">
        <v>0</v>
      </c>
      <c r="K18" s="601">
        <v>0</v>
      </c>
      <c r="L18" s="601">
        <v>0</v>
      </c>
      <c r="M18" s="601">
        <v>0</v>
      </c>
      <c r="N18" s="600">
        <f t="shared" si="3"/>
        <v>0</v>
      </c>
    </row>
    <row r="19" spans="1:14">
      <c r="A19" s="141">
        <v>2.5</v>
      </c>
      <c r="B19" s="95" t="s">
        <v>83</v>
      </c>
      <c r="C19" s="601">
        <v>0</v>
      </c>
      <c r="D19" s="602">
        <v>0.04</v>
      </c>
      <c r="E19" s="599">
        <f>C19*D19</f>
        <v>0</v>
      </c>
      <c r="F19" s="601">
        <v>0</v>
      </c>
      <c r="G19" s="601">
        <v>0</v>
      </c>
      <c r="H19" s="601">
        <v>0</v>
      </c>
      <c r="I19" s="601">
        <v>0</v>
      </c>
      <c r="J19" s="601">
        <v>0</v>
      </c>
      <c r="K19" s="601">
        <v>0</v>
      </c>
      <c r="L19" s="601">
        <v>0</v>
      </c>
      <c r="M19" s="601">
        <v>0</v>
      </c>
      <c r="N19" s="600">
        <f t="shared" si="3"/>
        <v>0</v>
      </c>
    </row>
    <row r="20" spans="1:14">
      <c r="A20" s="141">
        <v>2.6</v>
      </c>
      <c r="B20" s="95" t="s">
        <v>84</v>
      </c>
      <c r="C20" s="601">
        <v>0</v>
      </c>
      <c r="D20" s="603"/>
      <c r="E20" s="604"/>
      <c r="F20" s="601"/>
      <c r="G20" s="601"/>
      <c r="H20" s="601"/>
      <c r="I20" s="601"/>
      <c r="J20" s="601"/>
      <c r="K20" s="601"/>
      <c r="L20" s="601"/>
      <c r="M20" s="601"/>
      <c r="N20" s="600">
        <f t="shared" si="3"/>
        <v>0</v>
      </c>
    </row>
    <row r="21" spans="1:14" ht="15.75" thickBot="1">
      <c r="A21" s="142">
        <v>3</v>
      </c>
      <c r="B21" s="143" t="s">
        <v>68</v>
      </c>
      <c r="C21" s="243">
        <f>C14+C7</f>
        <v>163504975.07939997</v>
      </c>
      <c r="D21" s="144"/>
      <c r="E21" s="244">
        <f>E14+E7</f>
        <v>3421642.539971</v>
      </c>
      <c r="F21" s="245">
        <f>F7+F14</f>
        <v>0</v>
      </c>
      <c r="G21" s="245">
        <f t="shared" ref="G21:L21" si="4">G7+G14</f>
        <v>19549334.387839999</v>
      </c>
      <c r="H21" s="245">
        <f t="shared" si="4"/>
        <v>0</v>
      </c>
      <c r="I21" s="245">
        <f>I7+I14</f>
        <v>31896428.809174001</v>
      </c>
      <c r="J21" s="245">
        <f t="shared" si="4"/>
        <v>0</v>
      </c>
      <c r="K21" s="245">
        <f>K7+K14</f>
        <v>2667825.6074179998</v>
      </c>
      <c r="L21" s="245">
        <f t="shared" si="4"/>
        <v>0</v>
      </c>
      <c r="M21" s="245">
        <f>M7+M14</f>
        <v>0</v>
      </c>
      <c r="N21" s="145">
        <f>N14+N7</f>
        <v>22525906.889572997</v>
      </c>
    </row>
    <row r="22" spans="1:14">
      <c r="E22" s="246"/>
      <c r="F22" s="246"/>
      <c r="G22" s="246"/>
      <c r="H22" s="246"/>
      <c r="I22" s="246"/>
      <c r="J22" s="246"/>
      <c r="K22" s="246"/>
      <c r="L22" s="246"/>
      <c r="M22" s="246"/>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9.9978637043366805E-2"/>
  </sheetPr>
  <dimension ref="A1:H43"/>
  <sheetViews>
    <sheetView showGridLines="0" zoomScaleNormal="100" workbookViewId="0"/>
  </sheetViews>
  <sheetFormatPr defaultRowHeight="15"/>
  <cols>
    <col min="1" max="1" width="11.42578125" customWidth="1"/>
    <col min="2" max="2" width="76.85546875" style="3" customWidth="1"/>
    <col min="3" max="3" width="22.85546875" customWidth="1"/>
  </cols>
  <sheetData>
    <row r="1" spans="1:8">
      <c r="A1" s="277" t="s">
        <v>188</v>
      </c>
      <c r="B1" t="s">
        <v>1003</v>
      </c>
    </row>
    <row r="2" spans="1:8">
      <c r="A2" s="277" t="s">
        <v>189</v>
      </c>
      <c r="B2" s="383">
        <f>'1. key ratios'!B2</f>
        <v>44377</v>
      </c>
    </row>
    <row r="3" spans="1:8">
      <c r="A3" s="277"/>
      <c r="B3"/>
      <c r="H3">
        <v>0</v>
      </c>
    </row>
    <row r="4" spans="1:8">
      <c r="A4" s="277" t="s">
        <v>597</v>
      </c>
      <c r="B4" t="s">
        <v>556</v>
      </c>
    </row>
    <row r="5" spans="1:8">
      <c r="A5" s="329"/>
      <c r="B5" s="329" t="s">
        <v>557</v>
      </c>
      <c r="C5" s="341"/>
    </row>
    <row r="6" spans="1:8">
      <c r="A6" s="330">
        <v>1</v>
      </c>
      <c r="B6" s="342" t="s">
        <v>609</v>
      </c>
      <c r="C6" s="343">
        <v>20425299639.941219</v>
      </c>
    </row>
    <row r="7" spans="1:8">
      <c r="A7" s="330">
        <v>2</v>
      </c>
      <c r="B7" s="342" t="s">
        <v>558</v>
      </c>
      <c r="C7" s="343">
        <v>-158075113.75</v>
      </c>
    </row>
    <row r="8" spans="1:8">
      <c r="A8" s="331">
        <v>3</v>
      </c>
      <c r="B8" s="344" t="s">
        <v>559</v>
      </c>
      <c r="C8" s="345">
        <f>C6+C7</f>
        <v>20267224526.191219</v>
      </c>
    </row>
    <row r="9" spans="1:8">
      <c r="A9" s="332"/>
      <c r="B9" s="332" t="s">
        <v>560</v>
      </c>
      <c r="C9" s="346"/>
    </row>
    <row r="10" spans="1:8">
      <c r="A10" s="333">
        <v>4</v>
      </c>
      <c r="B10" s="347" t="s">
        <v>561</v>
      </c>
      <c r="C10" s="343"/>
    </row>
    <row r="11" spans="1:8">
      <c r="A11" s="333">
        <v>5</v>
      </c>
      <c r="B11" s="348" t="s">
        <v>562</v>
      </c>
      <c r="C11" s="343"/>
    </row>
    <row r="12" spans="1:8">
      <c r="A12" s="333" t="s">
        <v>563</v>
      </c>
      <c r="B12" s="342" t="s">
        <v>564</v>
      </c>
      <c r="C12" s="345">
        <v>54144597.468927003</v>
      </c>
    </row>
    <row r="13" spans="1:8">
      <c r="A13" s="334">
        <v>6</v>
      </c>
      <c r="B13" s="349" t="s">
        <v>565</v>
      </c>
      <c r="C13" s="343"/>
    </row>
    <row r="14" spans="1:8">
      <c r="A14" s="334">
        <v>7</v>
      </c>
      <c r="B14" s="350" t="s">
        <v>566</v>
      </c>
      <c r="C14" s="343"/>
    </row>
    <row r="15" spans="1:8">
      <c r="A15" s="335">
        <v>8</v>
      </c>
      <c r="B15" s="342" t="s">
        <v>567</v>
      </c>
      <c r="C15" s="343"/>
    </row>
    <row r="16" spans="1:8" ht="24">
      <c r="A16" s="334">
        <v>9</v>
      </c>
      <c r="B16" s="350" t="s">
        <v>568</v>
      </c>
      <c r="C16" s="343"/>
    </row>
    <row r="17" spans="1:3">
      <c r="A17" s="334">
        <v>10</v>
      </c>
      <c r="B17" s="350" t="s">
        <v>569</v>
      </c>
      <c r="C17" s="343"/>
    </row>
    <row r="18" spans="1:3">
      <c r="A18" s="336">
        <v>11</v>
      </c>
      <c r="B18" s="351" t="s">
        <v>570</v>
      </c>
      <c r="C18" s="345">
        <f>SUM(C10:C17)</f>
        <v>54144597.468927003</v>
      </c>
    </row>
    <row r="19" spans="1:3">
      <c r="A19" s="332"/>
      <c r="B19" s="332" t="s">
        <v>571</v>
      </c>
      <c r="C19" s="352"/>
    </row>
    <row r="20" spans="1:3">
      <c r="A20" s="334">
        <v>12</v>
      </c>
      <c r="B20" s="347" t="s">
        <v>572</v>
      </c>
      <c r="C20" s="343"/>
    </row>
    <row r="21" spans="1:3">
      <c r="A21" s="334">
        <v>13</v>
      </c>
      <c r="B21" s="347" t="s">
        <v>573</v>
      </c>
      <c r="C21" s="343"/>
    </row>
    <row r="22" spans="1:3">
      <c r="A22" s="334">
        <v>14</v>
      </c>
      <c r="B22" s="347" t="s">
        <v>574</v>
      </c>
      <c r="C22" s="343"/>
    </row>
    <row r="23" spans="1:3" ht="24">
      <c r="A23" s="334" t="s">
        <v>575</v>
      </c>
      <c r="B23" s="347" t="s">
        <v>576</v>
      </c>
      <c r="C23" s="343"/>
    </row>
    <row r="24" spans="1:3">
      <c r="A24" s="334">
        <v>15</v>
      </c>
      <c r="B24" s="347" t="s">
        <v>577</v>
      </c>
      <c r="C24" s="343"/>
    </row>
    <row r="25" spans="1:3">
      <c r="A25" s="334" t="s">
        <v>578</v>
      </c>
      <c r="B25" s="342" t="s">
        <v>579</v>
      </c>
      <c r="C25" s="343"/>
    </row>
    <row r="26" spans="1:3">
      <c r="A26" s="336">
        <v>16</v>
      </c>
      <c r="B26" s="351" t="s">
        <v>580</v>
      </c>
      <c r="C26" s="345">
        <f>SUM(C20:C25)</f>
        <v>0</v>
      </c>
    </row>
    <row r="27" spans="1:3">
      <c r="A27" s="332"/>
      <c r="B27" s="332" t="s">
        <v>581</v>
      </c>
      <c r="C27" s="346"/>
    </row>
    <row r="28" spans="1:3">
      <c r="A28" s="333">
        <v>17</v>
      </c>
      <c r="B28" s="342" t="s">
        <v>582</v>
      </c>
      <c r="C28" s="343">
        <v>2282472622.2270999</v>
      </c>
    </row>
    <row r="29" spans="1:3">
      <c r="A29" s="333">
        <v>18</v>
      </c>
      <c r="B29" s="342" t="s">
        <v>583</v>
      </c>
      <c r="C29" s="343">
        <v>-1274248114.8316898</v>
      </c>
    </row>
    <row r="30" spans="1:3">
      <c r="A30" s="336">
        <v>19</v>
      </c>
      <c r="B30" s="351" t="s">
        <v>584</v>
      </c>
      <c r="C30" s="345">
        <f>C28+C29</f>
        <v>1008224507.3954101</v>
      </c>
    </row>
    <row r="31" spans="1:3">
      <c r="A31" s="337"/>
      <c r="B31" s="332" t="s">
        <v>585</v>
      </c>
      <c r="C31" s="346"/>
    </row>
    <row r="32" spans="1:3">
      <c r="A32" s="333" t="s">
        <v>586</v>
      </c>
      <c r="B32" s="347" t="s">
        <v>587</v>
      </c>
      <c r="C32" s="353"/>
    </row>
    <row r="33" spans="1:3">
      <c r="A33" s="333" t="s">
        <v>588</v>
      </c>
      <c r="B33" s="348" t="s">
        <v>589</v>
      </c>
      <c r="C33" s="353"/>
    </row>
    <row r="34" spans="1:3">
      <c r="A34" s="332"/>
      <c r="B34" s="332" t="s">
        <v>590</v>
      </c>
      <c r="C34" s="346"/>
    </row>
    <row r="35" spans="1:3">
      <c r="A35" s="336">
        <v>20</v>
      </c>
      <c r="B35" s="351" t="s">
        <v>89</v>
      </c>
      <c r="C35" s="345">
        <v>2389590020.1997027</v>
      </c>
    </row>
    <row r="36" spans="1:3">
      <c r="A36" s="336">
        <v>21</v>
      </c>
      <c r="B36" s="351" t="s">
        <v>591</v>
      </c>
      <c r="C36" s="345">
        <f>C8+C18+C26+C30</f>
        <v>21329593631.055553</v>
      </c>
    </row>
    <row r="37" spans="1:3">
      <c r="A37" s="338"/>
      <c r="B37" s="338" t="s">
        <v>556</v>
      </c>
      <c r="C37" s="346"/>
    </row>
    <row r="38" spans="1:3">
      <c r="A38" s="336">
        <v>22</v>
      </c>
      <c r="B38" s="351" t="s">
        <v>556</v>
      </c>
      <c r="C38" s="605">
        <f>IFERROR(C35/C36,0)</f>
        <v>0.11203167118573217</v>
      </c>
    </row>
    <row r="39" spans="1:3">
      <c r="A39" s="338"/>
      <c r="B39" s="338" t="s">
        <v>592</v>
      </c>
      <c r="C39" s="346"/>
    </row>
    <row r="40" spans="1:3">
      <c r="A40" s="339" t="s">
        <v>593</v>
      </c>
      <c r="B40" s="347" t="s">
        <v>594</v>
      </c>
      <c r="C40" s="353"/>
    </row>
    <row r="41" spans="1:3">
      <c r="A41" s="340" t="s">
        <v>595</v>
      </c>
      <c r="B41" s="348" t="s">
        <v>596</v>
      </c>
      <c r="C41" s="353"/>
    </row>
    <row r="43" spans="1:3">
      <c r="B43" s="362"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2" tint="-9.9978637043366805E-2"/>
  </sheetPr>
  <dimension ref="A1:J48"/>
  <sheetViews>
    <sheetView showGridLines="0" zoomScaleNormal="100" workbookViewId="0">
      <pane xSplit="2" ySplit="6" topLeftCell="C7" activePane="bottomRight" state="frozen"/>
      <selection activeCell="B1" sqref="B1"/>
      <selection pane="topRight" activeCell="B1" sqref="B1"/>
      <selection pane="bottomLeft" activeCell="B1" sqref="B1"/>
      <selection pane="bottomRight" activeCell="C7" sqref="C7"/>
    </sheetView>
  </sheetViews>
  <sheetFormatPr defaultRowHeight="15"/>
  <cols>
    <col min="1" max="1" width="9.85546875" style="277" bestFit="1" customWidth="1"/>
    <col min="2" max="2" width="82.5703125" style="17" customWidth="1"/>
    <col min="3" max="7" width="17.5703125" style="277" customWidth="1"/>
    <col min="8" max="8" width="15.7109375" bestFit="1" customWidth="1"/>
    <col min="9" max="9" width="15" bestFit="1" customWidth="1"/>
    <col min="10" max="10" width="10.140625" bestFit="1" customWidth="1"/>
  </cols>
  <sheetData>
    <row r="1" spans="1:8">
      <c r="A1" s="277" t="s">
        <v>188</v>
      </c>
      <c r="B1" s="277" t="s">
        <v>1003</v>
      </c>
    </row>
    <row r="2" spans="1:8">
      <c r="A2" s="277" t="s">
        <v>189</v>
      </c>
      <c r="B2" s="383">
        <f>'1. key ratios'!B2</f>
        <v>44377</v>
      </c>
    </row>
    <row r="3" spans="1:8">
      <c r="B3" s="383"/>
      <c r="H3">
        <v>0</v>
      </c>
    </row>
    <row r="4" spans="1:8" ht="15.75" thickBot="1">
      <c r="A4" s="277" t="s">
        <v>659</v>
      </c>
      <c r="B4" s="385" t="s">
        <v>624</v>
      </c>
    </row>
    <row r="5" spans="1:8" ht="15" customHeight="1">
      <c r="A5" s="386"/>
      <c r="B5" s="387"/>
      <c r="C5" s="788" t="s">
        <v>625</v>
      </c>
      <c r="D5" s="788"/>
      <c r="E5" s="788"/>
      <c r="F5" s="788"/>
      <c r="G5" s="789" t="s">
        <v>626</v>
      </c>
    </row>
    <row r="6" spans="1:8">
      <c r="A6" s="388"/>
      <c r="B6" s="389"/>
      <c r="C6" s="390" t="s">
        <v>627</v>
      </c>
      <c r="D6" s="391" t="s">
        <v>628</v>
      </c>
      <c r="E6" s="391" t="s">
        <v>629</v>
      </c>
      <c r="F6" s="391" t="s">
        <v>630</v>
      </c>
      <c r="G6" s="790"/>
    </row>
    <row r="7" spans="1:8">
      <c r="A7" s="392"/>
      <c r="B7" s="393" t="s">
        <v>631</v>
      </c>
      <c r="C7" s="394"/>
      <c r="D7" s="394"/>
      <c r="E7" s="394"/>
      <c r="F7" s="394"/>
      <c r="G7" s="395"/>
    </row>
    <row r="8" spans="1:8">
      <c r="A8" s="396">
        <v>1</v>
      </c>
      <c r="B8" s="397" t="s">
        <v>632</v>
      </c>
      <c r="C8" s="398">
        <f>SUM(C9:C10)</f>
        <v>2389590020.1997027</v>
      </c>
      <c r="D8" s="398">
        <f>SUM(D9:D10)</f>
        <v>0</v>
      </c>
      <c r="E8" s="398">
        <f>SUM(E9:E10)</f>
        <v>0</v>
      </c>
      <c r="F8" s="398">
        <f>SUM(F9:F10)</f>
        <v>3722444903.4505</v>
      </c>
      <c r="G8" s="399">
        <f>SUM(G9:G10)</f>
        <v>6112034923.6502028</v>
      </c>
    </row>
    <row r="9" spans="1:8">
      <c r="A9" s="396">
        <v>2</v>
      </c>
      <c r="B9" s="400" t="s">
        <v>88</v>
      </c>
      <c r="C9" s="398">
        <v>2389590020.1997027</v>
      </c>
      <c r="D9" s="398"/>
      <c r="E9" s="398"/>
      <c r="F9" s="398">
        <v>597296700</v>
      </c>
      <c r="G9" s="399">
        <v>2986886720.1997027</v>
      </c>
    </row>
    <row r="10" spans="1:8">
      <c r="A10" s="396">
        <v>3</v>
      </c>
      <c r="B10" s="400" t="s">
        <v>633</v>
      </c>
      <c r="C10" s="401"/>
      <c r="D10" s="401"/>
      <c r="E10" s="401"/>
      <c r="F10" s="398">
        <v>3125148203.4505</v>
      </c>
      <c r="G10" s="399">
        <v>3125148203.4505</v>
      </c>
    </row>
    <row r="11" spans="1:8" ht="26.25">
      <c r="A11" s="396">
        <v>4</v>
      </c>
      <c r="B11" s="397" t="s">
        <v>634</v>
      </c>
      <c r="C11" s="398">
        <v>2562990700.5999999</v>
      </c>
      <c r="D11" s="398">
        <v>2899847019.7145004</v>
      </c>
      <c r="E11" s="398">
        <v>1220702417.0699999</v>
      </c>
      <c r="F11" s="398">
        <v>375795049.38999999</v>
      </c>
      <c r="G11" s="399">
        <v>5993308860.4067745</v>
      </c>
    </row>
    <row r="12" spans="1:8">
      <c r="A12" s="396">
        <v>5</v>
      </c>
      <c r="B12" s="400" t="s">
        <v>635</v>
      </c>
      <c r="C12" s="398">
        <v>1780468082.01</v>
      </c>
      <c r="D12" s="402">
        <v>2383395874.3945003</v>
      </c>
      <c r="E12" s="398">
        <v>999384084.87</v>
      </c>
      <c r="F12" s="398">
        <v>311510329.88</v>
      </c>
      <c r="G12" s="399">
        <v>5201020452.5967751</v>
      </c>
    </row>
    <row r="13" spans="1:8">
      <c r="A13" s="396">
        <v>6</v>
      </c>
      <c r="B13" s="400" t="s">
        <v>636</v>
      </c>
      <c r="C13" s="398">
        <v>782522618.59000003</v>
      </c>
      <c r="D13" s="402">
        <v>516451145.31999999</v>
      </c>
      <c r="E13" s="398">
        <v>221318332.19999999</v>
      </c>
      <c r="F13" s="398">
        <v>64284719.510000005</v>
      </c>
      <c r="G13" s="399">
        <v>792288407.80999994</v>
      </c>
    </row>
    <row r="14" spans="1:8">
      <c r="A14" s="396">
        <v>7</v>
      </c>
      <c r="B14" s="397" t="s">
        <v>637</v>
      </c>
      <c r="C14" s="398">
        <v>3325296249.0964999</v>
      </c>
      <c r="D14" s="398">
        <v>2415675773.3715</v>
      </c>
      <c r="E14" s="398">
        <v>214605622.90990001</v>
      </c>
      <c r="F14" s="398">
        <v>22122544.120000001</v>
      </c>
      <c r="G14" s="399">
        <v>2515863946.3589497</v>
      </c>
    </row>
    <row r="15" spans="1:8" ht="51.75">
      <c r="A15" s="396">
        <v>8</v>
      </c>
      <c r="B15" s="400" t="s">
        <v>638</v>
      </c>
      <c r="C15" s="398">
        <v>3107370852.1364999</v>
      </c>
      <c r="D15" s="402">
        <v>1687628873.5515001</v>
      </c>
      <c r="E15" s="398">
        <v>203789663.27990001</v>
      </c>
      <c r="F15" s="398">
        <v>22122544.120000001</v>
      </c>
      <c r="G15" s="399">
        <v>2510455966.5439496</v>
      </c>
    </row>
    <row r="16" spans="1:8" ht="26.25">
      <c r="A16" s="396">
        <v>9</v>
      </c>
      <c r="B16" s="400" t="s">
        <v>639</v>
      </c>
      <c r="C16" s="398">
        <v>217925396.95999998</v>
      </c>
      <c r="D16" s="402">
        <v>728046899.81999993</v>
      </c>
      <c r="E16" s="398">
        <v>10815959.630000001</v>
      </c>
      <c r="F16" s="398">
        <v>0</v>
      </c>
      <c r="G16" s="399">
        <v>5407979.8150000004</v>
      </c>
    </row>
    <row r="17" spans="1:10">
      <c r="A17" s="396">
        <v>10</v>
      </c>
      <c r="B17" s="397" t="s">
        <v>640</v>
      </c>
      <c r="C17" s="398"/>
      <c r="D17" s="402">
        <v>0</v>
      </c>
      <c r="E17" s="398"/>
      <c r="F17" s="398"/>
      <c r="G17" s="399">
        <v>0</v>
      </c>
    </row>
    <row r="18" spans="1:10">
      <c r="A18" s="396">
        <v>11</v>
      </c>
      <c r="B18" s="397" t="s">
        <v>95</v>
      </c>
      <c r="C18" s="398">
        <v>0</v>
      </c>
      <c r="D18" s="402">
        <v>733335625.56449997</v>
      </c>
      <c r="E18" s="398">
        <v>21960606.441700004</v>
      </c>
      <c r="F18" s="398">
        <v>29548187.997400004</v>
      </c>
      <c r="G18" s="399">
        <v>0</v>
      </c>
    </row>
    <row r="19" spans="1:10">
      <c r="A19" s="396">
        <v>12</v>
      </c>
      <c r="B19" s="400" t="s">
        <v>641</v>
      </c>
      <c r="C19" s="401"/>
      <c r="D19" s="402">
        <v>29088556.919999998</v>
      </c>
      <c r="E19" s="398">
        <v>9099716.1500000004</v>
      </c>
      <c r="F19" s="398">
        <v>702759.48</v>
      </c>
      <c r="G19" s="399">
        <v>0</v>
      </c>
    </row>
    <row r="20" spans="1:10" ht="26.25">
      <c r="A20" s="396">
        <v>13</v>
      </c>
      <c r="B20" s="400" t="s">
        <v>642</v>
      </c>
      <c r="C20" s="398"/>
      <c r="D20" s="398">
        <v>704247068.64450002</v>
      </c>
      <c r="E20" s="398">
        <v>12860890.291700002</v>
      </c>
      <c r="F20" s="398">
        <v>28845428.517400004</v>
      </c>
      <c r="G20" s="399">
        <v>0</v>
      </c>
    </row>
    <row r="21" spans="1:10">
      <c r="A21" s="403">
        <v>14</v>
      </c>
      <c r="B21" s="404" t="s">
        <v>643</v>
      </c>
      <c r="C21" s="401"/>
      <c r="D21" s="401"/>
      <c r="E21" s="401"/>
      <c r="F21" s="401"/>
      <c r="G21" s="405">
        <f>SUM(G8,G11,G14,G17,G18)</f>
        <v>14621207730.415926</v>
      </c>
      <c r="H21" s="713"/>
    </row>
    <row r="22" spans="1:10">
      <c r="A22" s="406"/>
      <c r="B22" s="422" t="s">
        <v>644</v>
      </c>
      <c r="C22" s="407"/>
      <c r="D22" s="408"/>
      <c r="E22" s="407"/>
      <c r="F22" s="407"/>
      <c r="G22" s="409"/>
    </row>
    <row r="23" spans="1:10">
      <c r="A23" s="396">
        <v>15</v>
      </c>
      <c r="B23" s="397" t="s">
        <v>491</v>
      </c>
      <c r="C23" s="713">
        <f>6282926301.16-D23</f>
        <v>4373096551.1599998</v>
      </c>
      <c r="D23" s="411">
        <v>1909829750</v>
      </c>
      <c r="E23" s="410"/>
      <c r="F23" s="410"/>
      <c r="G23" s="399">
        <v>177817293.98750001</v>
      </c>
      <c r="I23" s="713"/>
    </row>
    <row r="24" spans="1:10">
      <c r="A24" s="396">
        <v>16</v>
      </c>
      <c r="B24" s="397" t="s">
        <v>645</v>
      </c>
      <c r="C24" s="398">
        <v>16731025.189999998</v>
      </c>
      <c r="D24" s="402">
        <v>1956940201.4373746</v>
      </c>
      <c r="E24" s="398">
        <v>1363803591.7901528</v>
      </c>
      <c r="F24" s="398">
        <v>8307415306.0478783</v>
      </c>
      <c r="G24" s="399">
        <v>8351051832.1033764</v>
      </c>
    </row>
    <row r="25" spans="1:10" ht="26.25">
      <c r="A25" s="396">
        <v>17</v>
      </c>
      <c r="B25" s="400" t="s">
        <v>646</v>
      </c>
      <c r="C25" s="398"/>
      <c r="D25" s="402"/>
      <c r="E25" s="398"/>
      <c r="F25" s="398"/>
      <c r="G25" s="399"/>
    </row>
    <row r="26" spans="1:10" ht="39">
      <c r="A26" s="396">
        <v>18</v>
      </c>
      <c r="B26" s="400" t="s">
        <v>647</v>
      </c>
      <c r="C26" s="398">
        <v>16731025.189999998</v>
      </c>
      <c r="D26" s="402">
        <v>13678570.912600003</v>
      </c>
      <c r="E26" s="398">
        <v>29154103.5744</v>
      </c>
      <c r="F26" s="398">
        <v>12672969.715000002</v>
      </c>
      <c r="G26" s="399">
        <v>31811460.917590003</v>
      </c>
      <c r="J26" s="713"/>
    </row>
    <row r="27" spans="1:10">
      <c r="A27" s="396">
        <v>19</v>
      </c>
      <c r="B27" s="400" t="s">
        <v>648</v>
      </c>
      <c r="C27" s="398">
        <v>0</v>
      </c>
      <c r="D27" s="402">
        <v>1675509745.8646855</v>
      </c>
      <c r="E27" s="398">
        <v>1123316997.5198402</v>
      </c>
      <c r="F27" s="398">
        <v>5046668721.9035969</v>
      </c>
      <c r="G27" s="399">
        <v>5687807669.2242041</v>
      </c>
      <c r="J27" s="713"/>
    </row>
    <row r="28" spans="1:10">
      <c r="A28" s="396">
        <v>20</v>
      </c>
      <c r="B28" s="412" t="s">
        <v>649</v>
      </c>
      <c r="C28" s="398"/>
      <c r="D28" s="402"/>
      <c r="E28" s="398"/>
      <c r="F28" s="398"/>
      <c r="G28" s="399"/>
    </row>
    <row r="29" spans="1:10">
      <c r="A29" s="396">
        <v>21</v>
      </c>
      <c r="B29" s="400" t="s">
        <v>650</v>
      </c>
      <c r="C29" s="398"/>
      <c r="D29" s="402">
        <v>256719649.23598891</v>
      </c>
      <c r="E29" s="398">
        <v>208652839.69621265</v>
      </c>
      <c r="F29" s="398">
        <v>3122879071.033082</v>
      </c>
      <c r="G29" s="399">
        <v>2518161396.8629122</v>
      </c>
    </row>
    <row r="30" spans="1:10">
      <c r="A30" s="396">
        <v>22</v>
      </c>
      <c r="B30" s="412" t="s">
        <v>649</v>
      </c>
      <c r="C30" s="398"/>
      <c r="D30" s="402">
        <v>161596037.70225245</v>
      </c>
      <c r="E30" s="398">
        <v>134860616.72927105</v>
      </c>
      <c r="F30" s="398">
        <v>1844473546.3821957</v>
      </c>
      <c r="G30" s="399">
        <v>1347136132.3641865</v>
      </c>
    </row>
    <row r="31" spans="1:10" ht="26.25">
      <c r="A31" s="396">
        <v>23</v>
      </c>
      <c r="B31" s="400" t="s">
        <v>651</v>
      </c>
      <c r="C31" s="398"/>
      <c r="D31" s="402">
        <v>11032235.4241</v>
      </c>
      <c r="E31" s="398">
        <v>2679650.9997</v>
      </c>
      <c r="F31" s="398">
        <v>125194543.3962</v>
      </c>
      <c r="G31" s="399">
        <v>113271305.09866999</v>
      </c>
    </row>
    <row r="32" spans="1:10">
      <c r="A32" s="396">
        <v>24</v>
      </c>
      <c r="B32" s="397" t="s">
        <v>652</v>
      </c>
      <c r="C32" s="398"/>
      <c r="D32" s="402"/>
      <c r="E32" s="398"/>
      <c r="F32" s="398"/>
      <c r="G32" s="399">
        <v>0</v>
      </c>
    </row>
    <row r="33" spans="1:9">
      <c r="A33" s="396">
        <v>25</v>
      </c>
      <c r="B33" s="397" t="s">
        <v>165</v>
      </c>
      <c r="C33" s="398">
        <f>SUM(C34:C35)</f>
        <v>619764739.64900005</v>
      </c>
      <c r="D33" s="398">
        <f>SUM(D34:D35)</f>
        <v>348376345.5124836</v>
      </c>
      <c r="E33" s="398">
        <f>SUM(E34:E35)</f>
        <v>148051523.11543518</v>
      </c>
      <c r="F33" s="398">
        <f>SUM(F34:F35)</f>
        <v>992120156.43696642</v>
      </c>
      <c r="G33" s="399">
        <v>1923767181.4031198</v>
      </c>
    </row>
    <row r="34" spans="1:9">
      <c r="A34" s="396">
        <v>26</v>
      </c>
      <c r="B34" s="400" t="s">
        <v>653</v>
      </c>
      <c r="C34" s="401"/>
      <c r="D34" s="402">
        <v>10045281.189999998</v>
      </c>
      <c r="E34" s="398">
        <v>19900850.650000002</v>
      </c>
      <c r="F34" s="398"/>
      <c r="G34" s="399">
        <v>29946131.84</v>
      </c>
    </row>
    <row r="35" spans="1:9">
      <c r="A35" s="396">
        <v>27</v>
      </c>
      <c r="B35" s="400" t="s">
        <v>654</v>
      </c>
      <c r="C35" s="398">
        <v>619764739.64900005</v>
      </c>
      <c r="D35" s="402">
        <v>338331064.3224836</v>
      </c>
      <c r="E35" s="398">
        <v>128150672.46543519</v>
      </c>
      <c r="F35" s="398">
        <v>992120156.43696642</v>
      </c>
      <c r="G35" s="399">
        <v>1893821049.5631199</v>
      </c>
    </row>
    <row r="36" spans="1:9">
      <c r="A36" s="396">
        <v>28</v>
      </c>
      <c r="B36" s="397" t="s">
        <v>655</v>
      </c>
      <c r="C36" s="402">
        <v>669102366.61860001</v>
      </c>
      <c r="D36" s="402">
        <v>403339800.48809993</v>
      </c>
      <c r="E36" s="402">
        <v>285573831.72300005</v>
      </c>
      <c r="F36" s="402">
        <v>894465904.6954</v>
      </c>
      <c r="G36" s="399">
        <v>236516367.25635001</v>
      </c>
    </row>
    <row r="37" spans="1:9">
      <c r="A37" s="403">
        <v>29</v>
      </c>
      <c r="B37" s="404" t="s">
        <v>656</v>
      </c>
      <c r="C37" s="405">
        <f>SUM(C23:C24,C32:C33,C36)</f>
        <v>5678694682.6175995</v>
      </c>
      <c r="D37" s="405">
        <f>SUM(D23:D24,D32:D33,D36)</f>
        <v>4618486097.4379578</v>
      </c>
      <c r="E37" s="405">
        <f>SUM(E23:E24,E32:E33,E36)</f>
        <v>1797428946.628588</v>
      </c>
      <c r="F37" s="405">
        <f>SUM(F23:F24,F32:F33,F36)</f>
        <v>10194001367.180244</v>
      </c>
      <c r="G37" s="405">
        <f>SUM(G23:G24,G32:G33,G36)</f>
        <v>10689152674.750345</v>
      </c>
      <c r="I37" s="713"/>
    </row>
    <row r="38" spans="1:9">
      <c r="A38" s="392"/>
      <c r="B38" s="413"/>
      <c r="C38" s="402"/>
      <c r="D38" s="402"/>
      <c r="E38" s="402"/>
      <c r="F38" s="402"/>
      <c r="G38" s="414"/>
    </row>
    <row r="39" spans="1:9" ht="15.75" thickBot="1">
      <c r="A39" s="415">
        <v>30</v>
      </c>
      <c r="B39" s="416" t="s">
        <v>624</v>
      </c>
      <c r="C39" s="283"/>
      <c r="D39" s="270"/>
      <c r="E39" s="270"/>
      <c r="F39" s="417"/>
      <c r="G39" s="418">
        <f>IFERROR(G21/G37,0)</f>
        <v>1.367854700490319</v>
      </c>
    </row>
    <row r="42" spans="1:9" ht="39">
      <c r="B42" s="17" t="s">
        <v>657</v>
      </c>
    </row>
    <row r="47" spans="1:9">
      <c r="G47" s="668"/>
    </row>
    <row r="48" spans="1:9">
      <c r="C48" s="737"/>
      <c r="D48" s="737"/>
      <c r="E48" s="737"/>
      <c r="F48" s="737"/>
      <c r="G48" s="737"/>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sheetPr>
  <dimension ref="A1:G51"/>
  <sheetViews>
    <sheetView showGridLines="0" zoomScaleNormal="100" workbookViewId="0">
      <pane xSplit="1" ySplit="5" topLeftCell="B6" activePane="bottomRight" state="frozen"/>
      <selection activeCell="B17" sqref="B17"/>
      <selection pane="topRight" activeCell="B17" sqref="B17"/>
      <selection pane="bottomLeft" activeCell="B17" sqref="B17"/>
      <selection pane="bottomRight" activeCell="B6" sqref="B6"/>
    </sheetView>
  </sheetViews>
  <sheetFormatPr defaultRowHeight="15.75"/>
  <cols>
    <col min="1" max="1" width="9.5703125" style="13" bestFit="1" customWidth="1"/>
    <col min="2" max="2" width="88.42578125" style="10" customWidth="1"/>
    <col min="3" max="7" width="13.85546875" style="10" bestFit="1" customWidth="1"/>
  </cols>
  <sheetData>
    <row r="1" spans="1:7">
      <c r="A1" s="11" t="s">
        <v>188</v>
      </c>
      <c r="B1" s="361" t="s">
        <v>1003</v>
      </c>
    </row>
    <row r="2" spans="1:7">
      <c r="A2" s="11" t="s">
        <v>189</v>
      </c>
      <c r="B2" s="370">
        <v>44377</v>
      </c>
      <c r="C2" s="21"/>
      <c r="D2" s="21"/>
      <c r="E2" s="21"/>
      <c r="F2" s="21"/>
      <c r="G2" s="21"/>
    </row>
    <row r="3" spans="1:7">
      <c r="A3" s="11"/>
      <c r="C3" s="21"/>
      <c r="D3" s="21"/>
      <c r="E3" s="21"/>
      <c r="F3" s="21"/>
      <c r="G3" s="21"/>
    </row>
    <row r="4" spans="1:7" ht="16.5" thickBot="1">
      <c r="A4" s="59" t="s">
        <v>404</v>
      </c>
      <c r="B4" s="178" t="s">
        <v>223</v>
      </c>
      <c r="C4" s="179">
        <v>2</v>
      </c>
      <c r="D4" s="179"/>
      <c r="E4" s="179"/>
      <c r="F4" s="179"/>
      <c r="G4" s="179"/>
    </row>
    <row r="5" spans="1:7" ht="15">
      <c r="A5" s="258" t="s">
        <v>26</v>
      </c>
      <c r="B5" s="259"/>
      <c r="C5" s="371" t="str">
        <f>INT((MONTH($B$2))/3)&amp;"Q"&amp;"-"&amp;YEAR($B$2)</f>
        <v>2Q-2021</v>
      </c>
      <c r="D5" s="371" t="str">
        <f>IF(INT(MONTH($B$2))=3, "4"&amp;"Q"&amp;"-"&amp;YEAR($B$2)-1, IF(INT(MONTH($B$2))=6, "1"&amp;"Q"&amp;"-"&amp;YEAR($B$2), IF(INT(MONTH($B$2))=9, "2"&amp;"Q"&amp;"-"&amp;YEAR($B$2),IF(INT(MONTH($B$2))=12, "3"&amp;"Q"&amp;"-"&amp;YEAR($B$2), 0))))</f>
        <v>1Q-2021</v>
      </c>
      <c r="E5" s="371" t="str">
        <f>IF(INT(MONTH($B$2))=3, "3"&amp;"Q"&amp;"-"&amp;YEAR($B$2)-1, IF(INT(MONTH($B$2))=6, "4"&amp;"Q"&amp;"-"&amp;YEAR($B$2)-1, IF(INT(MONTH($B$2))=9, "1"&amp;"Q"&amp;"-"&amp;YEAR($B$2),IF(INT(MONTH($B$2))=12, "2"&amp;"Q"&amp;"-"&amp;YEAR($B$2), 0))))</f>
        <v>4Q-2020</v>
      </c>
      <c r="F5" s="371" t="str">
        <f>IF(INT(MONTH($B$2))=3, "2"&amp;"Q"&amp;"-"&amp;YEAR($B$2)-1, IF(INT(MONTH($B$2))=6, "3"&amp;"Q"&amp;"-"&amp;YEAR($B$2)-1, IF(INT(MONTH($B$2))=9, "4"&amp;"Q"&amp;"-"&amp;YEAR($B$2)-1,IF(INT(MONTH($B$2))=12, "1"&amp;"Q"&amp;"-"&amp;YEAR($B$2), 0))))</f>
        <v>3Q-2020</v>
      </c>
      <c r="G5" s="371" t="str">
        <f>IF(INT(MONTH($B$2))=3, "1"&amp;"Q"&amp;"-"&amp;YEAR($B$2)-1, IF(INT(MONTH($B$2))=6, "2"&amp;"Q"&amp;"-"&amp;YEAR($B$2)-1, IF(INT(MONTH($B$2))=9, "3"&amp;"Q"&amp;"-"&amp;YEAR($B$2)-1,IF(INT(MONTH($B$2))=12, "4"&amp;"Q"&amp;"-"&amp;YEAR($B$2)-1, 0))))</f>
        <v>2Q-2020</v>
      </c>
    </row>
    <row r="6" spans="1:7" ht="15">
      <c r="A6" s="373"/>
      <c r="B6" s="374" t="s">
        <v>186</v>
      </c>
      <c r="C6" s="260"/>
      <c r="D6" s="260"/>
      <c r="E6" s="260"/>
      <c r="F6" s="260"/>
      <c r="G6" s="260"/>
    </row>
    <row r="7" spans="1:7" ht="15">
      <c r="A7" s="373"/>
      <c r="B7" s="375" t="s">
        <v>190</v>
      </c>
      <c r="C7" s="260"/>
      <c r="D7" s="260"/>
      <c r="E7" s="260"/>
      <c r="F7" s="260"/>
      <c r="G7" s="260"/>
    </row>
    <row r="8" spans="1:7" ht="15">
      <c r="A8" s="364">
        <v>1</v>
      </c>
      <c r="B8" s="365" t="s">
        <v>23</v>
      </c>
      <c r="C8" s="376">
        <v>2073560020.1997027</v>
      </c>
      <c r="D8" s="376">
        <v>1854811874.7498977</v>
      </c>
      <c r="E8" s="376">
        <v>1661530109.5137014</v>
      </c>
      <c r="F8" s="376">
        <v>1496143769.3024974</v>
      </c>
      <c r="G8" s="376">
        <v>1389626153.6950002</v>
      </c>
    </row>
    <row r="9" spans="1:7" ht="15">
      <c r="A9" s="364">
        <v>2</v>
      </c>
      <c r="B9" s="365" t="s">
        <v>89</v>
      </c>
      <c r="C9" s="376">
        <v>2389590020.1997027</v>
      </c>
      <c r="D9" s="376">
        <v>2195991874.749898</v>
      </c>
      <c r="E9" s="376">
        <v>1989190109.5137014</v>
      </c>
      <c r="F9" s="376">
        <v>1824923769.3024974</v>
      </c>
      <c r="G9" s="376">
        <v>1695146153.6950002</v>
      </c>
    </row>
    <row r="10" spans="1:7" ht="15">
      <c r="A10" s="364">
        <v>3</v>
      </c>
      <c r="B10" s="365" t="s">
        <v>88</v>
      </c>
      <c r="C10" s="376">
        <v>3171657136.6684561</v>
      </c>
      <c r="D10" s="376">
        <v>3072725368.0715184</v>
      </c>
      <c r="E10" s="376">
        <v>2819334734.9281831</v>
      </c>
      <c r="F10" s="376">
        <v>2627685354.3039861</v>
      </c>
      <c r="G10" s="376">
        <v>2457145020.8415403</v>
      </c>
    </row>
    <row r="11" spans="1:7" ht="15">
      <c r="A11" s="364">
        <v>4</v>
      </c>
      <c r="B11" s="365" t="s">
        <v>615</v>
      </c>
      <c r="C11" s="376">
        <v>1850450551.2493849</v>
      </c>
      <c r="D11" s="376">
        <v>1292219484.3537927</v>
      </c>
      <c r="E11" s="376">
        <v>1182220009.8363709</v>
      </c>
      <c r="F11" s="376">
        <v>1042906996.9951419</v>
      </c>
      <c r="G11" s="376">
        <v>969957927.39580202</v>
      </c>
    </row>
    <row r="12" spans="1:7" ht="15">
      <c r="A12" s="364">
        <v>5</v>
      </c>
      <c r="B12" s="365" t="s">
        <v>616</v>
      </c>
      <c r="C12" s="376">
        <v>2219528838.6362357</v>
      </c>
      <c r="D12" s="376">
        <v>1613262218.3694394</v>
      </c>
      <c r="E12" s="376">
        <v>1469759957.4729631</v>
      </c>
      <c r="F12" s="376">
        <v>1315117946.7334988</v>
      </c>
      <c r="G12" s="376">
        <v>1223144365.6267693</v>
      </c>
    </row>
    <row r="13" spans="1:7" ht="15">
      <c r="A13" s="364">
        <v>6</v>
      </c>
      <c r="B13" s="365" t="s">
        <v>617</v>
      </c>
      <c r="C13" s="376">
        <v>2940042510.4769974</v>
      </c>
      <c r="D13" s="376">
        <v>2273246408.3944073</v>
      </c>
      <c r="E13" s="376">
        <v>2206301322.1168251</v>
      </c>
      <c r="F13" s="376">
        <v>2010722740.466332</v>
      </c>
      <c r="G13" s="376">
        <v>1868760792.4655383</v>
      </c>
    </row>
    <row r="14" spans="1:7" ht="15">
      <c r="A14" s="373"/>
      <c r="B14" s="374" t="s">
        <v>619</v>
      </c>
      <c r="C14" s="401"/>
      <c r="D14" s="401"/>
      <c r="E14" s="401"/>
      <c r="F14" s="401"/>
      <c r="G14" s="401"/>
    </row>
    <row r="15" spans="1:7" ht="15" customHeight="1">
      <c r="A15" s="364">
        <v>7</v>
      </c>
      <c r="B15" s="365" t="s">
        <v>618</v>
      </c>
      <c r="C15" s="377">
        <v>16598810400.340219</v>
      </c>
      <c r="D15" s="377">
        <v>16516430453.718294</v>
      </c>
      <c r="E15" s="377">
        <v>16040093856.907156</v>
      </c>
      <c r="F15" s="377">
        <v>15162374036.939989</v>
      </c>
      <c r="G15" s="377">
        <v>14099109995.224945</v>
      </c>
    </row>
    <row r="16" spans="1:7" ht="15">
      <c r="A16" s="373"/>
      <c r="B16" s="374" t="s">
        <v>623</v>
      </c>
      <c r="C16" s="401"/>
      <c r="D16" s="401"/>
      <c r="E16" s="401"/>
      <c r="F16" s="401"/>
      <c r="G16" s="401"/>
    </row>
    <row r="17" spans="1:7" s="2" customFormat="1" ht="15">
      <c r="A17" s="364"/>
      <c r="B17" s="375" t="s">
        <v>604</v>
      </c>
      <c r="C17" s="401"/>
      <c r="D17" s="401"/>
      <c r="E17" s="401"/>
      <c r="F17" s="401"/>
      <c r="G17" s="401"/>
    </row>
    <row r="18" spans="1:7" ht="15">
      <c r="A18" s="363">
        <v>8</v>
      </c>
      <c r="B18" s="378" t="s">
        <v>613</v>
      </c>
      <c r="C18" s="384">
        <f>C8/C15</f>
        <v>0.12492220648277311</v>
      </c>
      <c r="D18" s="384">
        <v>0.11230101322119088</v>
      </c>
      <c r="E18" s="384">
        <v>0.1035860590552727</v>
      </c>
      <c r="F18" s="384">
        <v>9.8674769904597559E-2</v>
      </c>
      <c r="G18" s="384">
        <v>9.8561267637860522E-2</v>
      </c>
    </row>
    <row r="19" spans="1:7" ht="15" customHeight="1">
      <c r="A19" s="363">
        <v>9</v>
      </c>
      <c r="B19" s="378" t="s">
        <v>612</v>
      </c>
      <c r="C19" s="548">
        <f>C9/C15</f>
        <v>0.14396152269747742</v>
      </c>
      <c r="D19" s="548">
        <v>0.13295801904070143</v>
      </c>
      <c r="E19" s="548">
        <v>0.12401362032287112</v>
      </c>
      <c r="F19" s="548">
        <v>0.12035870931929578</v>
      </c>
      <c r="G19" s="548">
        <v>0.12023072053974389</v>
      </c>
    </row>
    <row r="20" spans="1:7" ht="15">
      <c r="A20" s="363">
        <v>10</v>
      </c>
      <c r="B20" s="378" t="s">
        <v>614</v>
      </c>
      <c r="C20" s="384">
        <f>C10/C15</f>
        <v>0.19107737603915567</v>
      </c>
      <c r="D20" s="384">
        <v>0.18604052350668573</v>
      </c>
      <c r="E20" s="384">
        <v>0.17576796994327601</v>
      </c>
      <c r="F20" s="384">
        <v>0.17330302945318285</v>
      </c>
      <c r="G20" s="384">
        <v>0.17427660481219884</v>
      </c>
    </row>
    <row r="21" spans="1:7" ht="15">
      <c r="A21" s="363">
        <v>11</v>
      </c>
      <c r="B21" s="365" t="s">
        <v>615</v>
      </c>
      <c r="C21" s="384">
        <f>C11/C15</f>
        <v>0.11148091378954825</v>
      </c>
      <c r="D21" s="384">
        <v>7.8238423730527029E-2</v>
      </c>
      <c r="E21" s="384">
        <v>7.3704058117296203E-2</v>
      </c>
      <c r="F21" s="384">
        <v>6.8782566269260645E-2</v>
      </c>
      <c r="G21" s="384">
        <v>6.8795684814453195E-2</v>
      </c>
    </row>
    <row r="22" spans="1:7" ht="15">
      <c r="A22" s="363">
        <v>12</v>
      </c>
      <c r="B22" s="365" t="s">
        <v>616</v>
      </c>
      <c r="C22" s="384">
        <f>C12/C15</f>
        <v>0.1337161389945597</v>
      </c>
      <c r="D22" s="384">
        <v>9.7676203274676132E-2</v>
      </c>
      <c r="E22" s="384">
        <v>9.1630383873349833E-2</v>
      </c>
      <c r="F22" s="384">
        <v>8.6735622240256438E-2</v>
      </c>
      <c r="G22" s="384">
        <v>8.6753303296521631E-2</v>
      </c>
    </row>
    <row r="23" spans="1:7" ht="15">
      <c r="A23" s="363">
        <v>13</v>
      </c>
      <c r="B23" s="365" t="s">
        <v>617</v>
      </c>
      <c r="C23" s="384">
        <f>C13/C15</f>
        <v>0.17712368775636694</v>
      </c>
      <c r="D23" s="384">
        <v>0.13763545426866966</v>
      </c>
      <c r="E23" s="384">
        <v>0.13754915287897468</v>
      </c>
      <c r="F23" s="384">
        <v>0.13261265917643383</v>
      </c>
      <c r="G23" s="384">
        <v>0.13254459275077973</v>
      </c>
    </row>
    <row r="24" spans="1:7" ht="15">
      <c r="A24" s="373"/>
      <c r="B24" s="374" t="s">
        <v>6</v>
      </c>
      <c r="C24" s="401"/>
      <c r="D24" s="401"/>
      <c r="E24" s="401"/>
      <c r="F24" s="401"/>
      <c r="G24" s="401"/>
    </row>
    <row r="25" spans="1:7" ht="15" customHeight="1">
      <c r="A25" s="379">
        <v>14</v>
      </c>
      <c r="B25" s="380" t="s">
        <v>7</v>
      </c>
      <c r="C25" s="549">
        <v>7.7902862922053215E-2</v>
      </c>
      <c r="D25" s="549">
        <v>7.6043517607818426E-2</v>
      </c>
      <c r="E25" s="549">
        <v>7.7700000000000005E-2</v>
      </c>
      <c r="F25" s="549">
        <v>7.6700000000000004E-2</v>
      </c>
      <c r="G25" s="549">
        <v>7.5800000000000006E-2</v>
      </c>
    </row>
    <row r="26" spans="1:7" ht="15">
      <c r="A26" s="379">
        <v>15</v>
      </c>
      <c r="B26" s="380" t="s">
        <v>8</v>
      </c>
      <c r="C26" s="549">
        <v>3.9623754996395755E-2</v>
      </c>
      <c r="D26" s="549">
        <v>3.9721897649765685E-2</v>
      </c>
      <c r="E26" s="549">
        <v>4.3799999999999999E-2</v>
      </c>
      <c r="F26" s="549">
        <v>4.4200000000000003E-2</v>
      </c>
      <c r="G26" s="549">
        <v>4.4900000000000002E-2</v>
      </c>
    </row>
    <row r="27" spans="1:7" ht="15">
      <c r="A27" s="379">
        <v>16</v>
      </c>
      <c r="B27" s="380" t="s">
        <v>9</v>
      </c>
      <c r="C27" s="549">
        <v>3.2817464192626974E-2</v>
      </c>
      <c r="D27" s="549">
        <v>3.1804445931864149E-2</v>
      </c>
      <c r="E27" s="549">
        <v>2.6100000000000002E-2</v>
      </c>
      <c r="F27" s="549">
        <v>2.4899999999999999E-2</v>
      </c>
      <c r="G27" s="549">
        <v>2.7799999999999998E-2</v>
      </c>
    </row>
    <row r="28" spans="1:7" ht="15">
      <c r="A28" s="379">
        <v>17</v>
      </c>
      <c r="B28" s="380" t="s">
        <v>224</v>
      </c>
      <c r="C28" s="549">
        <v>3.827910792565746E-2</v>
      </c>
      <c r="D28" s="549">
        <v>3.6321619958052748E-2</v>
      </c>
      <c r="E28" s="549">
        <v>3.4000000000000002E-2</v>
      </c>
      <c r="F28" s="549">
        <v>3.2500000000000001E-2</v>
      </c>
      <c r="G28" s="549">
        <v>3.09E-2</v>
      </c>
    </row>
    <row r="29" spans="1:7" ht="15">
      <c r="A29" s="379">
        <v>18</v>
      </c>
      <c r="B29" s="380" t="s">
        <v>10</v>
      </c>
      <c r="C29" s="549">
        <v>4.2241961360901185E-2</v>
      </c>
      <c r="D29" s="549">
        <v>3.7657011219597018E-2</v>
      </c>
      <c r="E29" s="549">
        <v>3.0999999999999999E-3</v>
      </c>
      <c r="F29" s="549">
        <v>-5.7999999999999996E-3</v>
      </c>
      <c r="G29" s="549">
        <v>-1.8200000000000001E-2</v>
      </c>
    </row>
    <row r="30" spans="1:7" ht="15">
      <c r="A30" s="379">
        <v>19</v>
      </c>
      <c r="B30" s="380" t="s">
        <v>11</v>
      </c>
      <c r="C30" s="549">
        <v>0.42424591917042304</v>
      </c>
      <c r="D30" s="549">
        <v>0.39302036477068952</v>
      </c>
      <c r="E30" s="549">
        <v>3.4200000000000001E-2</v>
      </c>
      <c r="F30" s="549">
        <v>-6.3500000000000001E-2</v>
      </c>
      <c r="G30" s="549">
        <v>-0.19539999999999999</v>
      </c>
    </row>
    <row r="31" spans="1:7" ht="15">
      <c r="A31" s="373"/>
      <c r="B31" s="374" t="s">
        <v>12</v>
      </c>
      <c r="C31" s="401"/>
      <c r="D31" s="401"/>
      <c r="E31" s="401"/>
      <c r="F31" s="401"/>
      <c r="G31" s="401"/>
    </row>
    <row r="32" spans="1:7" ht="15">
      <c r="A32" s="379">
        <v>20</v>
      </c>
      <c r="B32" s="380" t="s">
        <v>13</v>
      </c>
      <c r="C32" s="549">
        <v>6.1887684230475366E-2</v>
      </c>
      <c r="D32" s="549">
        <v>8.2625882879420937E-2</v>
      </c>
      <c r="E32" s="549">
        <v>8.3500000000000005E-2</v>
      </c>
      <c r="F32" s="549">
        <v>5.91E-2</v>
      </c>
      <c r="G32" s="549">
        <v>5.3100000000000001E-2</v>
      </c>
    </row>
    <row r="33" spans="1:7" ht="15" customHeight="1">
      <c r="A33" s="379">
        <v>21</v>
      </c>
      <c r="B33" s="380" t="s">
        <v>14</v>
      </c>
      <c r="C33" s="549">
        <f>-'2. RC'!E13/'2. RC'!E12</f>
        <v>4.7140243816275164E-2</v>
      </c>
      <c r="D33" s="549">
        <v>5.3835392157695582E-2</v>
      </c>
      <c r="E33" s="549">
        <v>5.8299999999999998E-2</v>
      </c>
      <c r="F33" s="549">
        <v>6.1600000000000002E-2</v>
      </c>
      <c r="G33" s="549">
        <v>6.6000000000000003E-2</v>
      </c>
    </row>
    <row r="34" spans="1:7" ht="15">
      <c r="A34" s="379">
        <v>22</v>
      </c>
      <c r="B34" s="380" t="s">
        <v>15</v>
      </c>
      <c r="C34" s="549">
        <f>'2. RC'!D12/'2. RC'!E12</f>
        <v>0.54081494315375878</v>
      </c>
      <c r="D34" s="549">
        <v>0.56271366640593856</v>
      </c>
      <c r="E34" s="549">
        <v>0.56659999999999999</v>
      </c>
      <c r="F34" s="549">
        <v>0.58140000000000003</v>
      </c>
      <c r="G34" s="549">
        <v>0.5786</v>
      </c>
    </row>
    <row r="35" spans="1:7" ht="15" customHeight="1">
      <c r="A35" s="379">
        <v>23</v>
      </c>
      <c r="B35" s="380" t="s">
        <v>16</v>
      </c>
      <c r="C35" s="549">
        <f>'2. RC'!D20/'2. RC'!E20</f>
        <v>0.52569082111265031</v>
      </c>
      <c r="D35" s="549">
        <v>0.55616217923747668</v>
      </c>
      <c r="E35" s="549">
        <v>0.54659999999999997</v>
      </c>
      <c r="F35" s="549">
        <v>0.55869999999999997</v>
      </c>
      <c r="G35" s="549">
        <v>0.53859999999999997</v>
      </c>
    </row>
    <row r="36" spans="1:7" ht="15">
      <c r="A36" s="379">
        <v>24</v>
      </c>
      <c r="B36" s="380" t="s">
        <v>17</v>
      </c>
      <c r="C36" s="549">
        <f>('2. RC'!E12-13331727056.3351)/13331727056.3351</f>
        <v>4.6721691221349421E-2</v>
      </c>
      <c r="D36" s="549">
        <v>2.9082696768327313E-2</v>
      </c>
      <c r="E36" s="549">
        <v>0.19400000000000001</v>
      </c>
      <c r="F36" s="549">
        <v>0.13469999999999999</v>
      </c>
      <c r="G36" s="549">
        <v>5.1999999999999998E-2</v>
      </c>
    </row>
    <row r="37" spans="1:7" ht="15" customHeight="1">
      <c r="A37" s="373"/>
      <c r="B37" s="374" t="s">
        <v>18</v>
      </c>
      <c r="C37" s="401"/>
      <c r="D37" s="401"/>
      <c r="E37" s="401"/>
      <c r="F37" s="401"/>
      <c r="G37" s="401"/>
    </row>
    <row r="38" spans="1:7" ht="15" customHeight="1">
      <c r="A38" s="379">
        <v>25</v>
      </c>
      <c r="B38" s="380" t="s">
        <v>19</v>
      </c>
      <c r="C38" s="549">
        <v>0.1956356994047585</v>
      </c>
      <c r="D38" s="549">
        <v>0.22373956826986105</v>
      </c>
      <c r="E38" s="549">
        <v>0.20930000000000001</v>
      </c>
      <c r="F38" s="549">
        <v>0.24429999999999999</v>
      </c>
      <c r="G38" s="549">
        <v>0.2203</v>
      </c>
    </row>
    <row r="39" spans="1:7" ht="15" customHeight="1">
      <c r="A39" s="379">
        <v>26</v>
      </c>
      <c r="B39" s="380" t="s">
        <v>20</v>
      </c>
      <c r="C39" s="549">
        <f>'2. RC'!D31/'2. RC'!E31</f>
        <v>0.61006133827413767</v>
      </c>
      <c r="D39" s="549">
        <v>0.63518500116616761</v>
      </c>
      <c r="E39" s="549">
        <v>0.60580000000000001</v>
      </c>
      <c r="F39" s="549">
        <v>0.62380000000000002</v>
      </c>
      <c r="G39" s="549">
        <v>0.6119</v>
      </c>
    </row>
    <row r="40" spans="1:7" ht="15" customHeight="1">
      <c r="A40" s="379">
        <v>27</v>
      </c>
      <c r="B40" s="381" t="s">
        <v>21</v>
      </c>
      <c r="C40" s="549">
        <f>('2. RC'!E23+'2. RC'!E24)/'2. RC'!E20</f>
        <v>0.29470005209219308</v>
      </c>
      <c r="D40" s="549">
        <v>0.29930663083605497</v>
      </c>
      <c r="E40" s="549">
        <v>0.29049999999999998</v>
      </c>
      <c r="F40" s="549">
        <v>0.28639999999999999</v>
      </c>
      <c r="G40" s="549">
        <v>0.27789999999999998</v>
      </c>
    </row>
    <row r="41" spans="1:7" ht="15" customHeight="1">
      <c r="A41" s="382"/>
      <c r="B41" s="374" t="s">
        <v>525</v>
      </c>
      <c r="C41" s="401"/>
      <c r="D41" s="401"/>
      <c r="E41" s="401"/>
      <c r="F41" s="401"/>
      <c r="G41" s="401"/>
    </row>
    <row r="42" spans="1:7" ht="15" customHeight="1">
      <c r="A42" s="379">
        <v>28</v>
      </c>
      <c r="B42" s="421" t="s">
        <v>509</v>
      </c>
      <c r="C42" s="550">
        <f>'14. LCR'!H23</f>
        <v>4999711552.5665751</v>
      </c>
      <c r="D42" s="550">
        <v>4974429847.0233536</v>
      </c>
      <c r="E42" s="550">
        <v>4724925985</v>
      </c>
      <c r="F42" s="550">
        <v>4436678184</v>
      </c>
      <c r="G42" s="550">
        <v>3822186633</v>
      </c>
    </row>
    <row r="43" spans="1:7" ht="15">
      <c r="A43" s="379">
        <v>29</v>
      </c>
      <c r="B43" s="380" t="s">
        <v>510</v>
      </c>
      <c r="C43" s="550">
        <f>'14. LCR'!H24</f>
        <v>3677882958.3636408</v>
      </c>
      <c r="D43" s="550">
        <v>3484462549.7171888</v>
      </c>
      <c r="E43" s="550">
        <v>3411193233</v>
      </c>
      <c r="F43" s="550">
        <v>3127127806</v>
      </c>
      <c r="G43" s="550">
        <v>3012794566</v>
      </c>
    </row>
    <row r="44" spans="1:7" ht="15">
      <c r="A44" s="419">
        <v>30</v>
      </c>
      <c r="B44" s="420" t="s">
        <v>508</v>
      </c>
      <c r="C44" s="551">
        <f>C42/C43</f>
        <v>1.3593993091044529</v>
      </c>
      <c r="D44" s="551">
        <v>1.4276031887405694</v>
      </c>
      <c r="E44" s="551">
        <v>1.3851241082712362</v>
      </c>
      <c r="F44" s="551">
        <v>1.4187709806703053</v>
      </c>
      <c r="G44" s="551">
        <v>1.2686515954768884</v>
      </c>
    </row>
    <row r="45" spans="1:7" ht="15">
      <c r="A45" s="419"/>
      <c r="B45" s="374" t="s">
        <v>624</v>
      </c>
      <c r="C45" s="401"/>
      <c r="D45" s="401"/>
      <c r="E45" s="401"/>
      <c r="F45" s="401"/>
      <c r="G45" s="401"/>
    </row>
    <row r="46" spans="1:7" ht="15">
      <c r="A46" s="419">
        <v>31</v>
      </c>
      <c r="B46" s="420" t="s">
        <v>631</v>
      </c>
      <c r="C46" s="550">
        <v>14621207731.82093</v>
      </c>
      <c r="D46" s="550">
        <v>14757354181.663342</v>
      </c>
      <c r="E46" s="550">
        <v>14161211127.763449</v>
      </c>
      <c r="F46" s="550">
        <v>13406712899.002537</v>
      </c>
      <c r="G46" s="550">
        <v>12241300687.892048</v>
      </c>
    </row>
    <row r="47" spans="1:7" ht="15">
      <c r="A47" s="419">
        <v>32</v>
      </c>
      <c r="B47" s="420" t="s">
        <v>644</v>
      </c>
      <c r="C47" s="550">
        <v>10689152674.750345</v>
      </c>
      <c r="D47" s="550">
        <v>10532377786.909607</v>
      </c>
      <c r="E47" s="550">
        <v>10298020443.480051</v>
      </c>
      <c r="F47" s="550">
        <v>9753322545.5996742</v>
      </c>
      <c r="G47" s="550">
        <v>8960585803.8593292</v>
      </c>
    </row>
    <row r="48" spans="1:7" thickBot="1">
      <c r="A48" s="100">
        <v>33</v>
      </c>
      <c r="B48" s="199" t="s">
        <v>658</v>
      </c>
      <c r="C48" s="552">
        <f>C46/C47</f>
        <v>1.3678547006217612</v>
      </c>
      <c r="D48" s="552">
        <v>1.4011417440803193</v>
      </c>
      <c r="E48" s="552">
        <v>1.3751391547032017</v>
      </c>
      <c r="F48" s="552">
        <v>1.3745790561444247</v>
      </c>
      <c r="G48" s="552">
        <v>1.3661272773728379</v>
      </c>
    </row>
    <row r="49" spans="1:2">
      <c r="A49" s="14"/>
    </row>
    <row r="50" spans="1:2" ht="39.75">
      <c r="B50" s="17" t="s">
        <v>603</v>
      </c>
    </row>
    <row r="51" spans="1:2" ht="65.25">
      <c r="B51" s="296"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26"/>
  <sheetViews>
    <sheetView showGridLines="0" zoomScaleNormal="100" workbookViewId="0"/>
  </sheetViews>
  <sheetFormatPr defaultColWidth="9.140625" defaultRowHeight="12.75"/>
  <cols>
    <col min="1" max="1" width="11.85546875" style="427" bestFit="1" customWidth="1"/>
    <col min="2" max="2" width="105.140625" style="427" bestFit="1" customWidth="1"/>
    <col min="3" max="3" width="18.5703125" style="622" customWidth="1"/>
    <col min="4" max="4" width="21.7109375" style="622" customWidth="1"/>
    <col min="5" max="5" width="17.42578125" style="622" bestFit="1" customWidth="1"/>
    <col min="6" max="6" width="16.7109375" style="622" customWidth="1"/>
    <col min="7" max="7" width="30.42578125" style="622" customWidth="1"/>
    <col min="8" max="8" width="18.42578125" style="622" customWidth="1"/>
    <col min="9" max="9" width="15.5703125" style="427" bestFit="1" customWidth="1"/>
    <col min="10" max="10" width="10.85546875" style="427" bestFit="1" customWidth="1"/>
    <col min="11" max="11" width="9.140625" style="427"/>
    <col min="12" max="12" width="9.42578125" style="427" bestFit="1" customWidth="1"/>
    <col min="13" max="16384" width="9.140625" style="427"/>
  </cols>
  <sheetData>
    <row r="1" spans="1:12">
      <c r="A1" s="426" t="s">
        <v>188</v>
      </c>
    </row>
    <row r="2" spans="1:12">
      <c r="A2" s="428" t="s">
        <v>189</v>
      </c>
    </row>
    <row r="3" spans="1:12">
      <c r="A3" s="429" t="s">
        <v>664</v>
      </c>
      <c r="B3" s="430">
        <f>'1. key ratios'!B2</f>
        <v>44377</v>
      </c>
      <c r="H3" s="622">
        <v>0</v>
      </c>
    </row>
    <row r="5" spans="1:12">
      <c r="A5" s="791" t="s">
        <v>665</v>
      </c>
      <c r="B5" s="792"/>
      <c r="C5" s="797" t="s">
        <v>666</v>
      </c>
      <c r="D5" s="798"/>
      <c r="E5" s="798"/>
      <c r="F5" s="798"/>
      <c r="G5" s="798"/>
      <c r="H5" s="799"/>
    </row>
    <row r="6" spans="1:12">
      <c r="A6" s="793"/>
      <c r="B6" s="794"/>
      <c r="C6" s="800"/>
      <c r="D6" s="801"/>
      <c r="E6" s="801"/>
      <c r="F6" s="801"/>
      <c r="G6" s="801"/>
      <c r="H6" s="802"/>
    </row>
    <row r="7" spans="1:12" ht="25.5">
      <c r="A7" s="795"/>
      <c r="B7" s="796"/>
      <c r="C7" s="621" t="s">
        <v>667</v>
      </c>
      <c r="D7" s="621" t="s">
        <v>668</v>
      </c>
      <c r="E7" s="621" t="s">
        <v>669</v>
      </c>
      <c r="F7" s="621" t="s">
        <v>670</v>
      </c>
      <c r="G7" s="620" t="s">
        <v>942</v>
      </c>
      <c r="H7" s="621" t="s">
        <v>68</v>
      </c>
    </row>
    <row r="8" spans="1:12" ht="15">
      <c r="A8" s="432">
        <v>1</v>
      </c>
      <c r="B8" s="433" t="s">
        <v>216</v>
      </c>
      <c r="C8" s="619">
        <v>2122691524.23</v>
      </c>
      <c r="D8" s="619">
        <v>57058104.922618203</v>
      </c>
      <c r="E8" s="619">
        <v>1020601284.5239035</v>
      </c>
      <c r="F8" s="619">
        <v>134802859.55917829</v>
      </c>
      <c r="G8" s="619">
        <v>0</v>
      </c>
      <c r="H8" s="618">
        <f>SUM(C8:G8)</f>
        <v>3335153773.2357001</v>
      </c>
      <c r="I8" s="616"/>
    </row>
    <row r="9" spans="1:12" ht="15">
      <c r="A9" s="432">
        <v>2</v>
      </c>
      <c r="B9" s="433" t="s">
        <v>217</v>
      </c>
      <c r="C9" s="619">
        <v>0</v>
      </c>
      <c r="D9" s="619"/>
      <c r="E9" s="619"/>
      <c r="F9" s="619"/>
      <c r="G9" s="619">
        <v>0</v>
      </c>
      <c r="H9" s="618">
        <f t="shared" ref="H9:H21" si="0">SUM(C9:G9)</f>
        <v>0</v>
      </c>
      <c r="I9" s="673"/>
    </row>
    <row r="10" spans="1:12" ht="15">
      <c r="A10" s="432">
        <v>3</v>
      </c>
      <c r="B10" s="433" t="s">
        <v>218</v>
      </c>
      <c r="C10" s="619"/>
      <c r="D10" s="619"/>
      <c r="E10" s="619"/>
      <c r="F10" s="619"/>
      <c r="G10" s="619"/>
      <c r="H10" s="618">
        <f t="shared" si="0"/>
        <v>0</v>
      </c>
      <c r="I10" s="673"/>
    </row>
    <row r="11" spans="1:12" ht="15">
      <c r="A11" s="432">
        <v>4</v>
      </c>
      <c r="B11" s="433" t="s">
        <v>219</v>
      </c>
      <c r="C11" s="619"/>
      <c r="D11" s="619">
        <v>86187267.740000024</v>
      </c>
      <c r="E11" s="619">
        <v>685795783.24000001</v>
      </c>
      <c r="F11" s="619"/>
      <c r="G11" s="619"/>
      <c r="H11" s="618">
        <f t="shared" si="0"/>
        <v>771983050.98000002</v>
      </c>
      <c r="I11" s="616"/>
    </row>
    <row r="12" spans="1:12" ht="15">
      <c r="A12" s="432">
        <v>5</v>
      </c>
      <c r="B12" s="433" t="s">
        <v>220</v>
      </c>
      <c r="C12" s="619"/>
      <c r="D12" s="619"/>
      <c r="E12" s="619"/>
      <c r="F12" s="619"/>
      <c r="G12" s="619"/>
      <c r="H12" s="618">
        <f t="shared" si="0"/>
        <v>0</v>
      </c>
      <c r="I12" s="673"/>
    </row>
    <row r="13" spans="1:12" ht="15">
      <c r="A13" s="432">
        <v>6</v>
      </c>
      <c r="B13" s="433" t="s">
        <v>221</v>
      </c>
      <c r="C13" s="619">
        <v>513644778.30000001</v>
      </c>
      <c r="D13" s="619">
        <v>405156637.8409</v>
      </c>
      <c r="E13" s="619"/>
      <c r="F13" s="619"/>
      <c r="G13" s="619">
        <v>0</v>
      </c>
      <c r="H13" s="618">
        <f t="shared" si="0"/>
        <v>918801416.14090002</v>
      </c>
      <c r="I13" s="616"/>
    </row>
    <row r="14" spans="1:12" ht="15">
      <c r="A14" s="432">
        <v>7</v>
      </c>
      <c r="B14" s="433" t="s">
        <v>73</v>
      </c>
      <c r="C14" s="619">
        <v>0</v>
      </c>
      <c r="D14" s="619">
        <v>1225072584.4424865</v>
      </c>
      <c r="E14" s="619">
        <v>1895814893.6331038</v>
      </c>
      <c r="F14" s="619">
        <v>2246874620.2032399</v>
      </c>
      <c r="G14" s="619">
        <v>70618992.120710954</v>
      </c>
      <c r="H14" s="618">
        <f t="shared" si="0"/>
        <v>5438381090.3995409</v>
      </c>
      <c r="I14" s="616"/>
      <c r="J14" s="622"/>
      <c r="L14" s="622">
        <f>J14+J15+J16-I17</f>
        <v>0</v>
      </c>
    </row>
    <row r="15" spans="1:12" ht="15">
      <c r="A15" s="432">
        <v>8</v>
      </c>
      <c r="B15" s="435" t="s">
        <v>74</v>
      </c>
      <c r="C15" s="619">
        <v>0</v>
      </c>
      <c r="D15" s="619">
        <v>437178895.00667512</v>
      </c>
      <c r="E15" s="619">
        <v>2019195450.7350469</v>
      </c>
      <c r="F15" s="619">
        <v>1365664467.1262245</v>
      </c>
      <c r="G15" s="619">
        <v>5617174.5394539293</v>
      </c>
      <c r="H15" s="618">
        <f t="shared" si="0"/>
        <v>3827655987.4074006</v>
      </c>
      <c r="I15" s="616"/>
      <c r="J15" s="622"/>
    </row>
    <row r="16" spans="1:12" ht="15">
      <c r="A16" s="432">
        <v>9</v>
      </c>
      <c r="B16" s="433" t="s">
        <v>75</v>
      </c>
      <c r="C16" s="619"/>
      <c r="D16" s="619">
        <v>76840209.03014186</v>
      </c>
      <c r="E16" s="619">
        <v>704715623.55855942</v>
      </c>
      <c r="F16" s="619">
        <v>2436557553.6255355</v>
      </c>
      <c r="G16" s="619">
        <v>1543970.3246210711</v>
      </c>
      <c r="H16" s="618">
        <f t="shared" si="0"/>
        <v>3219657356.5388579</v>
      </c>
      <c r="I16" s="616"/>
      <c r="J16" s="622"/>
    </row>
    <row r="17" spans="1:10" ht="15">
      <c r="A17" s="432">
        <v>10</v>
      </c>
      <c r="B17" s="543" t="s">
        <v>692</v>
      </c>
      <c r="C17" s="619"/>
      <c r="D17" s="619">
        <v>13771761.447560009</v>
      </c>
      <c r="E17" s="619">
        <v>24239527.87861301</v>
      </c>
      <c r="F17" s="619">
        <v>32780820.336450979</v>
      </c>
      <c r="G17" s="619">
        <v>66082722.828575999</v>
      </c>
      <c r="H17" s="618">
        <f>SUM(C17:G17)</f>
        <v>136874832.4912</v>
      </c>
      <c r="I17" s="616"/>
      <c r="J17" s="622"/>
    </row>
    <row r="18" spans="1:10" ht="15">
      <c r="A18" s="432">
        <v>11</v>
      </c>
      <c r="B18" s="433" t="s">
        <v>70</v>
      </c>
      <c r="C18" s="619"/>
      <c r="D18" s="619">
        <v>56370402.421220005</v>
      </c>
      <c r="E18" s="619">
        <v>410443153.60865307</v>
      </c>
      <c r="F18" s="619">
        <v>837486875.37034607</v>
      </c>
      <c r="G18" s="619">
        <v>38033517.290211998</v>
      </c>
      <c r="H18" s="618">
        <f t="shared" si="0"/>
        <v>1342333948.6904311</v>
      </c>
      <c r="I18" s="616"/>
      <c r="J18" s="622"/>
    </row>
    <row r="19" spans="1:10" ht="15">
      <c r="A19" s="432">
        <v>12</v>
      </c>
      <c r="B19" s="433" t="s">
        <v>71</v>
      </c>
      <c r="C19" s="619"/>
      <c r="D19" s="619"/>
      <c r="E19" s="619"/>
      <c r="F19" s="619"/>
      <c r="G19" s="619"/>
      <c r="H19" s="618">
        <f t="shared" si="0"/>
        <v>0</v>
      </c>
      <c r="I19" s="673"/>
    </row>
    <row r="20" spans="1:10" ht="15">
      <c r="A20" s="436">
        <v>13</v>
      </c>
      <c r="B20" s="435" t="s">
        <v>72</v>
      </c>
      <c r="C20" s="619"/>
      <c r="D20" s="619"/>
      <c r="E20" s="619"/>
      <c r="F20" s="619"/>
      <c r="G20" s="619"/>
      <c r="H20" s="618">
        <f t="shared" si="0"/>
        <v>0</v>
      </c>
      <c r="I20" s="673"/>
    </row>
    <row r="21" spans="1:10" ht="15">
      <c r="A21" s="432">
        <v>14</v>
      </c>
      <c r="B21" s="433" t="s">
        <v>671</v>
      </c>
      <c r="C21" s="619">
        <f>'2. RC'!E7</f>
        <v>698697897.18000007</v>
      </c>
      <c r="D21" s="617">
        <v>204041989.77831787</v>
      </c>
      <c r="E21" s="619"/>
      <c r="F21" s="619"/>
      <c r="G21" s="619">
        <v>519110366.08999997</v>
      </c>
      <c r="H21" s="618">
        <f t="shared" si="0"/>
        <v>1421850253.0483179</v>
      </c>
      <c r="I21" s="616"/>
    </row>
    <row r="22" spans="1:10">
      <c r="A22" s="437">
        <v>15</v>
      </c>
      <c r="B22" s="434" t="s">
        <v>68</v>
      </c>
      <c r="C22" s="618">
        <f>SUM(C18:C21)+SUM(C8:C16)</f>
        <v>3335034199.71</v>
      </c>
      <c r="D22" s="618">
        <f t="shared" ref="D22:G22" si="1">SUM(D18:D21)+SUM(D8:D16)</f>
        <v>2547906091.1823597</v>
      </c>
      <c r="E22" s="618">
        <f t="shared" si="1"/>
        <v>6736566189.2992668</v>
      </c>
      <c r="F22" s="618">
        <f t="shared" si="1"/>
        <v>7021386375.8845243</v>
      </c>
      <c r="G22" s="618">
        <f t="shared" si="1"/>
        <v>634924020.36499786</v>
      </c>
      <c r="H22" s="618">
        <f>SUM(H18:H21)+SUM(H8:H16)</f>
        <v>20275816876.441151</v>
      </c>
      <c r="I22" s="622"/>
    </row>
    <row r="26" spans="1:10" ht="38.25">
      <c r="B26" s="542" t="s">
        <v>941</v>
      </c>
      <c r="I26" s="615"/>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28"/>
  <sheetViews>
    <sheetView showGridLines="0" zoomScaleNormal="100" workbookViewId="0"/>
  </sheetViews>
  <sheetFormatPr defaultColWidth="9.140625" defaultRowHeight="12.75"/>
  <cols>
    <col min="1" max="1" width="11.85546875" style="438" bestFit="1" customWidth="1"/>
    <col min="2" max="2" width="114.7109375" style="427" customWidth="1"/>
    <col min="3" max="3" width="22.42578125" style="698" customWidth="1"/>
    <col min="4" max="4" width="23.5703125" style="698" customWidth="1"/>
    <col min="5" max="8" width="22.140625" style="701" customWidth="1"/>
    <col min="9" max="9" width="41.42578125" style="427" customWidth="1"/>
    <col min="10" max="10" width="15.140625" style="427" bestFit="1" customWidth="1"/>
    <col min="11" max="11" width="18.140625" style="427" bestFit="1" customWidth="1"/>
    <col min="12" max="16384" width="9.140625" style="427"/>
  </cols>
  <sheetData>
    <row r="1" spans="1:11">
      <c r="A1" s="426" t="s">
        <v>188</v>
      </c>
      <c r="E1" s="698"/>
      <c r="F1" s="698"/>
      <c r="G1" s="698"/>
      <c r="H1" s="698"/>
    </row>
    <row r="2" spans="1:11">
      <c r="A2" s="428" t="s">
        <v>189</v>
      </c>
      <c r="E2" s="698"/>
      <c r="F2" s="698"/>
      <c r="G2" s="698"/>
      <c r="H2" s="698"/>
    </row>
    <row r="3" spans="1:11">
      <c r="A3" s="429" t="s">
        <v>672</v>
      </c>
      <c r="B3" s="430">
        <f>'1. key ratios'!B2</f>
        <v>44377</v>
      </c>
      <c r="E3" s="698"/>
      <c r="F3" s="698"/>
      <c r="G3" s="698"/>
      <c r="H3" s="698">
        <v>0</v>
      </c>
    </row>
    <row r="4" spans="1:11">
      <c r="C4" s="699" t="s">
        <v>673</v>
      </c>
      <c r="D4" s="699" t="s">
        <v>674</v>
      </c>
      <c r="E4" s="699" t="s">
        <v>675</v>
      </c>
      <c r="F4" s="699" t="s">
        <v>676</v>
      </c>
      <c r="G4" s="699" t="s">
        <v>677</v>
      </c>
      <c r="H4" s="699" t="s">
        <v>678</v>
      </c>
      <c r="I4" s="439" t="s">
        <v>679</v>
      </c>
    </row>
    <row r="5" spans="1:11" ht="33.950000000000003" customHeight="1">
      <c r="A5" s="791" t="s">
        <v>682</v>
      </c>
      <c r="B5" s="792"/>
      <c r="C5" s="803" t="s">
        <v>683</v>
      </c>
      <c r="D5" s="803"/>
      <c r="E5" s="803" t="s">
        <v>684</v>
      </c>
      <c r="F5" s="803" t="s">
        <v>685</v>
      </c>
      <c r="G5" s="804" t="s">
        <v>686</v>
      </c>
      <c r="H5" s="803" t="s">
        <v>687</v>
      </c>
      <c r="I5" s="440" t="s">
        <v>688</v>
      </c>
    </row>
    <row r="6" spans="1:11" ht="38.25">
      <c r="A6" s="795"/>
      <c r="B6" s="796"/>
      <c r="C6" s="700" t="s">
        <v>689</v>
      </c>
      <c r="D6" s="700" t="s">
        <v>690</v>
      </c>
      <c r="E6" s="803"/>
      <c r="F6" s="803"/>
      <c r="G6" s="805"/>
      <c r="H6" s="803"/>
      <c r="I6" s="440" t="s">
        <v>691</v>
      </c>
    </row>
    <row r="7" spans="1:11" ht="15">
      <c r="A7" s="441">
        <v>1</v>
      </c>
      <c r="B7" s="433" t="s">
        <v>216</v>
      </c>
      <c r="C7" s="614"/>
      <c r="D7" s="614">
        <v>3335153773.2357001</v>
      </c>
      <c r="E7" s="614"/>
      <c r="F7" s="614"/>
      <c r="G7" s="614"/>
      <c r="H7" s="614"/>
      <c r="I7" s="444">
        <f>C7+D7-E7-F7-G7</f>
        <v>3335153773.2357001</v>
      </c>
      <c r="J7" s="698"/>
    </row>
    <row r="8" spans="1:11" ht="15">
      <c r="A8" s="441">
        <v>2</v>
      </c>
      <c r="B8" s="433" t="s">
        <v>217</v>
      </c>
      <c r="C8" s="614"/>
      <c r="D8" s="614"/>
      <c r="E8" s="614"/>
      <c r="F8" s="614"/>
      <c r="G8" s="614"/>
      <c r="H8" s="614"/>
      <c r="I8" s="444">
        <f t="shared" ref="I8:I23" si="0">C8+D8-E8-F8-G8</f>
        <v>0</v>
      </c>
      <c r="J8" s="698"/>
    </row>
    <row r="9" spans="1:11" ht="15">
      <c r="A9" s="441">
        <v>3</v>
      </c>
      <c r="B9" s="433" t="s">
        <v>218</v>
      </c>
      <c r="C9" s="614"/>
      <c r="D9" s="614"/>
      <c r="E9" s="614"/>
      <c r="F9" s="614"/>
      <c r="G9" s="614"/>
      <c r="H9" s="614"/>
      <c r="I9" s="444">
        <f t="shared" si="0"/>
        <v>0</v>
      </c>
      <c r="J9" s="698"/>
    </row>
    <row r="10" spans="1:11" ht="15">
      <c r="A10" s="441">
        <v>4</v>
      </c>
      <c r="B10" s="433" t="s">
        <v>219</v>
      </c>
      <c r="C10" s="614"/>
      <c r="D10" s="614">
        <v>771983050.98000002</v>
      </c>
      <c r="E10" s="614"/>
      <c r="F10" s="614"/>
      <c r="G10" s="614"/>
      <c r="H10" s="614"/>
      <c r="I10" s="444">
        <f t="shared" si="0"/>
        <v>771983050.98000002</v>
      </c>
      <c r="J10" s="698"/>
    </row>
    <row r="11" spans="1:11" ht="15">
      <c r="A11" s="441">
        <v>5</v>
      </c>
      <c r="B11" s="433" t="s">
        <v>220</v>
      </c>
      <c r="C11" s="614"/>
      <c r="D11" s="614"/>
      <c r="E11" s="614"/>
      <c r="F11" s="614"/>
      <c r="G11" s="614"/>
      <c r="H11" s="614"/>
      <c r="I11" s="444">
        <f t="shared" si="0"/>
        <v>0</v>
      </c>
      <c r="J11" s="698"/>
    </row>
    <row r="12" spans="1:11" ht="15">
      <c r="A12" s="441">
        <v>6</v>
      </c>
      <c r="B12" s="433" t="s">
        <v>221</v>
      </c>
      <c r="C12" s="614"/>
      <c r="D12" s="614">
        <v>918801416.14090002</v>
      </c>
      <c r="E12" s="614"/>
      <c r="F12" s="614"/>
      <c r="G12" s="614"/>
      <c r="H12" s="614"/>
      <c r="I12" s="444">
        <f t="shared" si="0"/>
        <v>918801416.14090002</v>
      </c>
      <c r="J12" s="698"/>
    </row>
    <row r="13" spans="1:11" ht="15">
      <c r="A13" s="441">
        <v>7</v>
      </c>
      <c r="B13" s="433" t="s">
        <v>73</v>
      </c>
      <c r="C13" s="614">
        <v>357223796.40999997</v>
      </c>
      <c r="D13" s="614">
        <v>5239370380.8933897</v>
      </c>
      <c r="E13" s="614">
        <v>158213086.90384817</v>
      </c>
      <c r="F13" s="614">
        <v>94094749.678499997</v>
      </c>
      <c r="G13" s="614"/>
      <c r="H13" s="614">
        <v>2508743.2799999998</v>
      </c>
      <c r="I13" s="444">
        <f t="shared" si="0"/>
        <v>5344286340.7210417</v>
      </c>
      <c r="J13" s="698"/>
      <c r="K13" s="698"/>
    </row>
    <row r="14" spans="1:11" ht="15">
      <c r="A14" s="441">
        <v>8</v>
      </c>
      <c r="B14" s="435" t="s">
        <v>74</v>
      </c>
      <c r="C14" s="614">
        <v>331609243.77740848</v>
      </c>
      <c r="D14" s="614">
        <v>3646282974.1070261</v>
      </c>
      <c r="E14" s="614">
        <v>150236230.4770343</v>
      </c>
      <c r="F14" s="614">
        <v>65690583.648978479</v>
      </c>
      <c r="G14" s="614"/>
      <c r="H14" s="614">
        <v>20525352.820299052</v>
      </c>
      <c r="I14" s="444">
        <f t="shared" si="0"/>
        <v>3761965403.7584219</v>
      </c>
      <c r="J14" s="698"/>
      <c r="K14" s="698"/>
    </row>
    <row r="15" spans="1:11" ht="15">
      <c r="A15" s="441">
        <v>9</v>
      </c>
      <c r="B15" s="433" t="s">
        <v>75</v>
      </c>
      <c r="C15" s="614">
        <v>174925594.80000001</v>
      </c>
      <c r="D15" s="614">
        <v>3114900352.2705588</v>
      </c>
      <c r="E15" s="614">
        <v>70168590.531701103</v>
      </c>
      <c r="F15" s="614">
        <v>58734305.818700001</v>
      </c>
      <c r="G15" s="614"/>
      <c r="H15" s="614">
        <v>1007157.81</v>
      </c>
      <c r="I15" s="444">
        <f t="shared" si="0"/>
        <v>3160923050.7201581</v>
      </c>
      <c r="J15" s="698"/>
      <c r="K15" s="698"/>
    </row>
    <row r="16" spans="1:11" ht="15">
      <c r="A16" s="441">
        <v>10</v>
      </c>
      <c r="B16" s="543" t="s">
        <v>692</v>
      </c>
      <c r="C16" s="614">
        <v>226480232.18000001</v>
      </c>
      <c r="D16" s="614">
        <v>7183135.8521999549</v>
      </c>
      <c r="E16" s="614">
        <v>96788535.540999994</v>
      </c>
      <c r="F16" s="614">
        <v>136734.26949999999</v>
      </c>
      <c r="G16" s="614"/>
      <c r="H16" s="614">
        <f>SUM(H13:H15)+H17</f>
        <v>24066353.350299053</v>
      </c>
      <c r="I16" s="444">
        <f>C16+D16-E16-F16-G16</f>
        <v>136738098.22169998</v>
      </c>
      <c r="J16" s="698"/>
      <c r="K16" s="698"/>
    </row>
    <row r="17" spans="1:11" ht="15">
      <c r="A17" s="441">
        <v>11</v>
      </c>
      <c r="B17" s="433" t="s">
        <v>70</v>
      </c>
      <c r="C17" s="614">
        <v>450009.42</v>
      </c>
      <c r="D17" s="614">
        <v>1342204450.498431</v>
      </c>
      <c r="E17" s="614">
        <v>320511.228</v>
      </c>
      <c r="F17" s="614">
        <v>25662444.460700136</v>
      </c>
      <c r="G17" s="614"/>
      <c r="H17" s="614">
        <v>25099.439999999999</v>
      </c>
      <c r="I17" s="444">
        <f t="shared" si="0"/>
        <v>1316671504.2297311</v>
      </c>
      <c r="J17" s="698"/>
      <c r="K17" s="698"/>
    </row>
    <row r="18" spans="1:11" ht="15">
      <c r="A18" s="441">
        <v>12</v>
      </c>
      <c r="B18" s="433" t="s">
        <v>71</v>
      </c>
      <c r="C18" s="614"/>
      <c r="D18" s="614"/>
      <c r="E18" s="614"/>
      <c r="F18" s="614"/>
      <c r="G18" s="614"/>
      <c r="H18" s="614"/>
      <c r="I18" s="444">
        <f t="shared" si="0"/>
        <v>0</v>
      </c>
      <c r="J18" s="698"/>
    </row>
    <row r="19" spans="1:11" ht="15">
      <c r="A19" s="445">
        <v>13</v>
      </c>
      <c r="B19" s="435" t="s">
        <v>72</v>
      </c>
      <c r="C19" s="614"/>
      <c r="D19" s="614"/>
      <c r="E19" s="614"/>
      <c r="F19" s="614"/>
      <c r="G19" s="614"/>
      <c r="H19" s="614"/>
      <c r="I19" s="444">
        <f t="shared" si="0"/>
        <v>0</v>
      </c>
      <c r="J19" s="698"/>
    </row>
    <row r="20" spans="1:11" ht="15">
      <c r="A20" s="441">
        <v>14</v>
      </c>
      <c r="B20" s="433" t="s">
        <v>671</v>
      </c>
      <c r="C20" s="614">
        <v>321474115.3547799</v>
      </c>
      <c r="D20" s="614">
        <v>1409396054.8524363</v>
      </c>
      <c r="E20" s="614">
        <v>152629088.08776462</v>
      </c>
      <c r="F20" s="614">
        <v>63772.921299790032</v>
      </c>
      <c r="G20" s="614">
        <v>6908066</v>
      </c>
      <c r="H20" s="614">
        <v>538930.02</v>
      </c>
      <c r="I20" s="444">
        <f>C20+D20-E20-F20-G20</f>
        <v>1571269243.1981518</v>
      </c>
      <c r="J20" s="698"/>
      <c r="K20" s="698"/>
    </row>
    <row r="21" spans="1:11" s="447" customFormat="1" ht="15">
      <c r="A21" s="446">
        <v>15</v>
      </c>
      <c r="B21" s="434" t="s">
        <v>68</v>
      </c>
      <c r="C21" s="614">
        <f>SUM(C7:C15)+SUM(C17:C20)</f>
        <v>1185682759.7621884</v>
      </c>
      <c r="D21" s="614">
        <f>SUM(D7:D15)+SUM(D17:D20)</f>
        <v>19778092452.978439</v>
      </c>
      <c r="E21" s="614">
        <f>SUM(E7:E15)+SUM(E17:E20)</f>
        <v>531567507.2283482</v>
      </c>
      <c r="F21" s="614">
        <f t="shared" ref="F21" si="1">SUM(F7:F15)+SUM(F17:F20)</f>
        <v>244245856.52817839</v>
      </c>
      <c r="G21" s="614">
        <f>35681924.62+6908066</f>
        <v>42589990.619999997</v>
      </c>
      <c r="H21" s="614">
        <f t="shared" ref="H21" si="2">SUM(H7:H15)+SUM(H17:H20)</f>
        <v>24605283.370299052</v>
      </c>
      <c r="I21" s="444">
        <f>C21+D21-E21-F21-G21</f>
        <v>20145371858.364101</v>
      </c>
      <c r="J21" s="698"/>
      <c r="K21" s="733"/>
    </row>
    <row r="22" spans="1:11">
      <c r="A22" s="448">
        <v>16</v>
      </c>
      <c r="B22" s="449" t="s">
        <v>693</v>
      </c>
      <c r="C22" s="613">
        <v>864208644.40740836</v>
      </c>
      <c r="D22" s="613">
        <v>13254397877.937613</v>
      </c>
      <c r="E22" s="612">
        <v>378938419.14058387</v>
      </c>
      <c r="F22" s="612">
        <v>243203274.59619993</v>
      </c>
      <c r="G22" s="612">
        <v>35681924.619999997</v>
      </c>
      <c r="H22" s="612">
        <f>H21-H20</f>
        <v>24066353.350299053</v>
      </c>
      <c r="I22" s="444">
        <f t="shared" si="0"/>
        <v>13460782903.988237</v>
      </c>
      <c r="J22" s="698"/>
    </row>
    <row r="23" spans="1:11">
      <c r="A23" s="448">
        <v>17</v>
      </c>
      <c r="B23" s="449" t="s">
        <v>694</v>
      </c>
      <c r="C23" s="613"/>
      <c r="D23" s="613">
        <f>2015960939.63+303</f>
        <v>2015961242.6300001</v>
      </c>
      <c r="E23" s="612"/>
      <c r="F23" s="612">
        <v>548421.14</v>
      </c>
      <c r="G23" s="612"/>
      <c r="H23" s="612">
        <v>0</v>
      </c>
      <c r="I23" s="444">
        <f t="shared" si="0"/>
        <v>2015412821.49</v>
      </c>
      <c r="J23" s="698"/>
    </row>
    <row r="24" spans="1:11">
      <c r="C24" s="427"/>
      <c r="D24" s="427"/>
      <c r="E24" s="714"/>
      <c r="G24" s="450"/>
      <c r="H24" s="427"/>
      <c r="I24" s="698"/>
      <c r="J24" s="698"/>
    </row>
    <row r="25" spans="1:11">
      <c r="D25" s="427"/>
      <c r="E25" s="450"/>
      <c r="F25" s="450"/>
      <c r="G25" s="450"/>
      <c r="H25" s="698"/>
      <c r="I25" s="698"/>
    </row>
    <row r="26" spans="1:11" ht="42.6" customHeight="1">
      <c r="B26" s="542" t="s">
        <v>941</v>
      </c>
    </row>
    <row r="27" spans="1:11">
      <c r="E27" s="698"/>
      <c r="F27" s="698"/>
      <c r="I27" s="715"/>
    </row>
    <row r="28" spans="1:11">
      <c r="C28" s="62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47"/>
  <sheetViews>
    <sheetView showGridLines="0" zoomScaleNormal="100" workbookViewId="0"/>
  </sheetViews>
  <sheetFormatPr defaultColWidth="9.140625" defaultRowHeight="12.75"/>
  <cols>
    <col min="1" max="1" width="11" style="427" bestFit="1" customWidth="1"/>
    <col min="2" max="2" width="93.42578125" style="427" customWidth="1"/>
    <col min="3" max="8" width="22" style="698" customWidth="1"/>
    <col min="9" max="9" width="42.28515625" style="427" bestFit="1" customWidth="1"/>
    <col min="10" max="16384" width="9.140625" style="427"/>
  </cols>
  <sheetData>
    <row r="1" spans="1:9">
      <c r="A1" s="426" t="s">
        <v>188</v>
      </c>
    </row>
    <row r="2" spans="1:9">
      <c r="A2" s="428" t="s">
        <v>189</v>
      </c>
    </row>
    <row r="3" spans="1:9">
      <c r="A3" s="429" t="s">
        <v>695</v>
      </c>
      <c r="B3" s="430">
        <f>'1. key ratios'!B2</f>
        <v>44377</v>
      </c>
      <c r="H3" s="698">
        <v>0</v>
      </c>
    </row>
    <row r="4" spans="1:9">
      <c r="C4" s="699" t="s">
        <v>673</v>
      </c>
      <c r="D4" s="699" t="s">
        <v>674</v>
      </c>
      <c r="E4" s="699" t="s">
        <v>675</v>
      </c>
      <c r="F4" s="699" t="s">
        <v>676</v>
      </c>
      <c r="G4" s="699" t="s">
        <v>677</v>
      </c>
      <c r="H4" s="699" t="s">
        <v>678</v>
      </c>
      <c r="I4" s="439" t="s">
        <v>679</v>
      </c>
    </row>
    <row r="5" spans="1:9" ht="41.45" customHeight="1">
      <c r="A5" s="791" t="s">
        <v>954</v>
      </c>
      <c r="B5" s="792"/>
      <c r="C5" s="803" t="s">
        <v>683</v>
      </c>
      <c r="D5" s="803"/>
      <c r="E5" s="803" t="s">
        <v>684</v>
      </c>
      <c r="F5" s="803" t="s">
        <v>685</v>
      </c>
      <c r="G5" s="804" t="s">
        <v>686</v>
      </c>
      <c r="H5" s="804" t="s">
        <v>687</v>
      </c>
      <c r="I5" s="440" t="s">
        <v>688</v>
      </c>
    </row>
    <row r="6" spans="1:9" ht="41.45" customHeight="1">
      <c r="A6" s="795"/>
      <c r="B6" s="796"/>
      <c r="C6" s="700" t="s">
        <v>689</v>
      </c>
      <c r="D6" s="700" t="s">
        <v>690</v>
      </c>
      <c r="E6" s="803"/>
      <c r="F6" s="803"/>
      <c r="G6" s="805"/>
      <c r="H6" s="805"/>
      <c r="I6" s="440" t="s">
        <v>691</v>
      </c>
    </row>
    <row r="7" spans="1:9">
      <c r="A7" s="442">
        <v>1</v>
      </c>
      <c r="B7" s="451" t="s">
        <v>696</v>
      </c>
      <c r="C7" s="613">
        <v>21687490.184249997</v>
      </c>
      <c r="D7" s="613">
        <v>3983854308.1258125</v>
      </c>
      <c r="E7" s="613">
        <v>10106696.120000001</v>
      </c>
      <c r="F7" s="613">
        <v>12321525.6808</v>
      </c>
      <c r="G7" s="613">
        <v>0</v>
      </c>
      <c r="H7" s="613">
        <v>0</v>
      </c>
      <c r="I7" s="444">
        <f t="shared" ref="I7:I34" si="0">C7+D7-E7-F7-G7</f>
        <v>3983113576.5092626</v>
      </c>
    </row>
    <row r="8" spans="1:9">
      <c r="A8" s="442">
        <v>2</v>
      </c>
      <c r="B8" s="451" t="s">
        <v>697</v>
      </c>
      <c r="C8" s="613">
        <v>145903008.34091112</v>
      </c>
      <c r="D8" s="613">
        <v>2665193604.1121535</v>
      </c>
      <c r="E8" s="613">
        <v>44602871.17400001</v>
      </c>
      <c r="F8" s="613">
        <v>18220387.1096</v>
      </c>
      <c r="G8" s="613">
        <v>0</v>
      </c>
      <c r="H8" s="613">
        <v>110039.31000000001</v>
      </c>
      <c r="I8" s="444">
        <f t="shared" si="0"/>
        <v>2748273354.1694646</v>
      </c>
    </row>
    <row r="9" spans="1:9">
      <c r="A9" s="442">
        <v>3</v>
      </c>
      <c r="B9" s="451" t="s">
        <v>698</v>
      </c>
      <c r="C9" s="613">
        <v>0</v>
      </c>
      <c r="D9" s="613">
        <v>0</v>
      </c>
      <c r="E9" s="613">
        <v>0</v>
      </c>
      <c r="F9" s="613">
        <v>0</v>
      </c>
      <c r="G9" s="613">
        <v>0</v>
      </c>
      <c r="H9" s="613">
        <v>0</v>
      </c>
      <c r="I9" s="444">
        <f t="shared" si="0"/>
        <v>0</v>
      </c>
    </row>
    <row r="10" spans="1:9">
      <c r="A10" s="442">
        <v>4</v>
      </c>
      <c r="B10" s="451" t="s">
        <v>699</v>
      </c>
      <c r="C10" s="613">
        <v>32909879.930000003</v>
      </c>
      <c r="D10" s="613">
        <v>387210938.51865399</v>
      </c>
      <c r="E10" s="613">
        <v>13597683.645</v>
      </c>
      <c r="F10" s="613">
        <v>6920149.4299999997</v>
      </c>
      <c r="G10" s="613">
        <v>0</v>
      </c>
      <c r="H10" s="613">
        <v>0</v>
      </c>
      <c r="I10" s="444">
        <f t="shared" si="0"/>
        <v>399602985.37365401</v>
      </c>
    </row>
    <row r="11" spans="1:9">
      <c r="A11" s="442">
        <v>5</v>
      </c>
      <c r="B11" s="451" t="s">
        <v>700</v>
      </c>
      <c r="C11" s="613">
        <v>68429970.069159016</v>
      </c>
      <c r="D11" s="613">
        <v>886680113.72440302</v>
      </c>
      <c r="E11" s="613">
        <v>33133179.165000003</v>
      </c>
      <c r="F11" s="613">
        <v>15108009.81543933</v>
      </c>
      <c r="G11" s="613">
        <v>0</v>
      </c>
      <c r="H11" s="613">
        <v>17801.690000000002</v>
      </c>
      <c r="I11" s="444">
        <f t="shared" si="0"/>
        <v>906868894.81312275</v>
      </c>
    </row>
    <row r="12" spans="1:9">
      <c r="A12" s="442">
        <v>6</v>
      </c>
      <c r="B12" s="451" t="s">
        <v>701</v>
      </c>
      <c r="C12" s="613">
        <v>30256586.939418998</v>
      </c>
      <c r="D12" s="613">
        <v>321648589.12809002</v>
      </c>
      <c r="E12" s="613">
        <v>11590143.033999996</v>
      </c>
      <c r="F12" s="613">
        <v>5988084.2291999999</v>
      </c>
      <c r="G12" s="613">
        <v>0</v>
      </c>
      <c r="H12" s="613">
        <v>20580.420000000013</v>
      </c>
      <c r="I12" s="444">
        <f t="shared" si="0"/>
        <v>334326948.80430901</v>
      </c>
    </row>
    <row r="13" spans="1:9">
      <c r="A13" s="442">
        <v>7</v>
      </c>
      <c r="B13" s="451" t="s">
        <v>702</v>
      </c>
      <c r="C13" s="613">
        <v>28338336.010000002</v>
      </c>
      <c r="D13" s="613">
        <v>519836559.48907202</v>
      </c>
      <c r="E13" s="613">
        <v>9888500.0480000004</v>
      </c>
      <c r="F13" s="613">
        <v>10015002.6302</v>
      </c>
      <c r="G13" s="613">
        <v>0</v>
      </c>
      <c r="H13" s="613">
        <v>9890</v>
      </c>
      <c r="I13" s="444">
        <f t="shared" si="0"/>
        <v>528271392.82087207</v>
      </c>
    </row>
    <row r="14" spans="1:9">
      <c r="A14" s="442">
        <v>8</v>
      </c>
      <c r="B14" s="451" t="s">
        <v>703</v>
      </c>
      <c r="C14" s="613">
        <v>18039140.815847009</v>
      </c>
      <c r="D14" s="613">
        <v>395910859.213705</v>
      </c>
      <c r="E14" s="613">
        <v>7196122.3599999994</v>
      </c>
      <c r="F14" s="613">
        <v>7606980.9742000001</v>
      </c>
      <c r="G14" s="613">
        <v>0</v>
      </c>
      <c r="H14" s="613">
        <v>21269.770000000004</v>
      </c>
      <c r="I14" s="444">
        <f t="shared" si="0"/>
        <v>399146896.69535196</v>
      </c>
    </row>
    <row r="15" spans="1:9">
      <c r="A15" s="442">
        <v>9</v>
      </c>
      <c r="B15" s="451" t="s">
        <v>704</v>
      </c>
      <c r="C15" s="613">
        <v>14984656.177401002</v>
      </c>
      <c r="D15" s="613">
        <v>703413872.09162295</v>
      </c>
      <c r="E15" s="613">
        <v>8886898.5339999981</v>
      </c>
      <c r="F15" s="613">
        <v>13386142.712274421</v>
      </c>
      <c r="G15" s="613">
        <v>0</v>
      </c>
      <c r="H15" s="613">
        <v>14781.309999999823</v>
      </c>
      <c r="I15" s="444">
        <f t="shared" si="0"/>
        <v>696125487.02274942</v>
      </c>
    </row>
    <row r="16" spans="1:9">
      <c r="A16" s="442">
        <v>10</v>
      </c>
      <c r="B16" s="451" t="s">
        <v>705</v>
      </c>
      <c r="C16" s="613">
        <v>22911797.420000002</v>
      </c>
      <c r="D16" s="613">
        <v>117310273.709233</v>
      </c>
      <c r="E16" s="613">
        <v>7199851.517</v>
      </c>
      <c r="F16" s="613">
        <v>2227749.2963999999</v>
      </c>
      <c r="G16" s="613">
        <v>0</v>
      </c>
      <c r="H16" s="613">
        <v>13945.460000000001</v>
      </c>
      <c r="I16" s="444">
        <f t="shared" si="0"/>
        <v>130794470.315833</v>
      </c>
    </row>
    <row r="17" spans="1:10">
      <c r="A17" s="442">
        <v>11</v>
      </c>
      <c r="B17" s="451" t="s">
        <v>706</v>
      </c>
      <c r="C17" s="613">
        <v>2588541.1700000009</v>
      </c>
      <c r="D17" s="613">
        <v>135417980.27973703</v>
      </c>
      <c r="E17" s="613">
        <v>1700979.100000001</v>
      </c>
      <c r="F17" s="613">
        <v>2523428.1058</v>
      </c>
      <c r="G17" s="613">
        <v>0</v>
      </c>
      <c r="H17" s="613">
        <v>22416.809999999998</v>
      </c>
      <c r="I17" s="444">
        <f t="shared" si="0"/>
        <v>133782114.24393702</v>
      </c>
    </row>
    <row r="18" spans="1:10">
      <c r="A18" s="442">
        <v>12</v>
      </c>
      <c r="B18" s="451" t="s">
        <v>707</v>
      </c>
      <c r="C18" s="613">
        <v>95713217.789250046</v>
      </c>
      <c r="D18" s="613">
        <v>769342633.73318803</v>
      </c>
      <c r="E18" s="613">
        <v>35734815.879999988</v>
      </c>
      <c r="F18" s="613">
        <v>14441602.883200003</v>
      </c>
      <c r="G18" s="613">
        <v>0</v>
      </c>
      <c r="H18" s="613">
        <v>2479528.83</v>
      </c>
      <c r="I18" s="444">
        <f t="shared" si="0"/>
        <v>814879432.759238</v>
      </c>
    </row>
    <row r="19" spans="1:10">
      <c r="A19" s="442">
        <v>13</v>
      </c>
      <c r="B19" s="451" t="s">
        <v>708</v>
      </c>
      <c r="C19" s="613">
        <v>23234545.520000007</v>
      </c>
      <c r="D19" s="613">
        <v>157275241.57053798</v>
      </c>
      <c r="E19" s="613">
        <v>7917036.6749999998</v>
      </c>
      <c r="F19" s="613">
        <v>2911961.1332</v>
      </c>
      <c r="G19" s="613">
        <v>0</v>
      </c>
      <c r="H19" s="613">
        <v>330981.16000000003</v>
      </c>
      <c r="I19" s="444">
        <f t="shared" si="0"/>
        <v>169680789.28233799</v>
      </c>
    </row>
    <row r="20" spans="1:10">
      <c r="A20" s="442">
        <v>14</v>
      </c>
      <c r="B20" s="451" t="s">
        <v>709</v>
      </c>
      <c r="C20" s="613">
        <v>87379869.967794001</v>
      </c>
      <c r="D20" s="613">
        <v>938557874.20389783</v>
      </c>
      <c r="E20" s="613">
        <v>38931710.853000008</v>
      </c>
      <c r="F20" s="613">
        <v>16273499.323352227</v>
      </c>
      <c r="G20" s="613">
        <v>0</v>
      </c>
      <c r="H20" s="613">
        <v>36019.490000000005</v>
      </c>
      <c r="I20" s="444">
        <f t="shared" si="0"/>
        <v>970732533.99533963</v>
      </c>
    </row>
    <row r="21" spans="1:10">
      <c r="A21" s="442">
        <v>15</v>
      </c>
      <c r="B21" s="451" t="s">
        <v>710</v>
      </c>
      <c r="C21" s="613">
        <v>21312161.344040003</v>
      </c>
      <c r="D21" s="613">
        <v>162303566.46482396</v>
      </c>
      <c r="E21" s="613">
        <v>10501965.901999999</v>
      </c>
      <c r="F21" s="613">
        <v>2367103.7034000005</v>
      </c>
      <c r="G21" s="613">
        <v>0</v>
      </c>
      <c r="H21" s="613">
        <v>2406183.3800000004</v>
      </c>
      <c r="I21" s="444">
        <f t="shared" si="0"/>
        <v>170746658.20346397</v>
      </c>
    </row>
    <row r="22" spans="1:10">
      <c r="A22" s="442">
        <v>16</v>
      </c>
      <c r="B22" s="451" t="s">
        <v>711</v>
      </c>
      <c r="C22" s="613">
        <v>22850235.359999999</v>
      </c>
      <c r="D22" s="613">
        <v>521407928.22014707</v>
      </c>
      <c r="E22" s="613">
        <v>13446271.365599994</v>
      </c>
      <c r="F22" s="613">
        <v>8946693.7487347834</v>
      </c>
      <c r="G22" s="613">
        <v>0</v>
      </c>
      <c r="H22" s="613">
        <v>0</v>
      </c>
      <c r="I22" s="444">
        <f t="shared" si="0"/>
        <v>521865198.46581227</v>
      </c>
    </row>
    <row r="23" spans="1:10">
      <c r="A23" s="442">
        <v>17</v>
      </c>
      <c r="B23" s="451" t="s">
        <v>712</v>
      </c>
      <c r="C23" s="613">
        <v>6052226.3400000008</v>
      </c>
      <c r="D23" s="613">
        <v>72199247.305732012</v>
      </c>
      <c r="E23" s="613">
        <v>3672262.6239999998</v>
      </c>
      <c r="F23" s="613">
        <v>1396388.5786000001</v>
      </c>
      <c r="G23" s="613">
        <v>0</v>
      </c>
      <c r="H23" s="613">
        <v>22177.51</v>
      </c>
      <c r="I23" s="444">
        <f t="shared" si="0"/>
        <v>73182822.443132013</v>
      </c>
    </row>
    <row r="24" spans="1:10">
      <c r="A24" s="442">
        <v>18</v>
      </c>
      <c r="B24" s="451" t="s">
        <v>713</v>
      </c>
      <c r="C24" s="613">
        <v>2092639.4900000002</v>
      </c>
      <c r="D24" s="613">
        <v>481925580.62041157</v>
      </c>
      <c r="E24" s="613">
        <v>1219717.7119999998</v>
      </c>
      <c r="F24" s="613">
        <v>9426269.9069299977</v>
      </c>
      <c r="G24" s="613">
        <v>0</v>
      </c>
      <c r="H24" s="613">
        <v>0</v>
      </c>
      <c r="I24" s="444">
        <f t="shared" si="0"/>
        <v>473372232.4914816</v>
      </c>
    </row>
    <row r="25" spans="1:10">
      <c r="A25" s="442">
        <v>19</v>
      </c>
      <c r="B25" s="451" t="s">
        <v>714</v>
      </c>
      <c r="C25" s="613">
        <v>10904109.850000003</v>
      </c>
      <c r="D25" s="613">
        <v>68310793.180142999</v>
      </c>
      <c r="E25" s="613">
        <v>5730863.7029999988</v>
      </c>
      <c r="F25" s="613">
        <v>1118435.9002</v>
      </c>
      <c r="G25" s="613">
        <v>0</v>
      </c>
      <c r="H25" s="613">
        <v>0</v>
      </c>
      <c r="I25" s="444">
        <f t="shared" si="0"/>
        <v>72365603.426943019</v>
      </c>
    </row>
    <row r="26" spans="1:10">
      <c r="A26" s="442">
        <v>20</v>
      </c>
      <c r="B26" s="451" t="s">
        <v>715</v>
      </c>
      <c r="C26" s="613">
        <v>13839332.985800002</v>
      </c>
      <c r="D26" s="613">
        <v>342215497.25412303</v>
      </c>
      <c r="E26" s="613">
        <v>6872879.5099999988</v>
      </c>
      <c r="F26" s="613">
        <v>6227272.2201999994</v>
      </c>
      <c r="G26" s="613">
        <v>0</v>
      </c>
      <c r="H26" s="613">
        <v>8687.0599999999977</v>
      </c>
      <c r="I26" s="444">
        <f t="shared" si="0"/>
        <v>342954678.50972307</v>
      </c>
      <c r="J26" s="452"/>
    </row>
    <row r="27" spans="1:10">
      <c r="A27" s="442">
        <v>21</v>
      </c>
      <c r="B27" s="451" t="s">
        <v>716</v>
      </c>
      <c r="C27" s="613">
        <v>1969095.86</v>
      </c>
      <c r="D27" s="613">
        <v>67370642.554492995</v>
      </c>
      <c r="E27" s="613">
        <v>1071650.53</v>
      </c>
      <c r="F27" s="613">
        <v>1216320.6753999998</v>
      </c>
      <c r="G27" s="613">
        <v>0</v>
      </c>
      <c r="H27" s="613">
        <v>21768.23</v>
      </c>
      <c r="I27" s="444">
        <f t="shared" si="0"/>
        <v>67051767.209092997</v>
      </c>
      <c r="J27" s="452"/>
    </row>
    <row r="28" spans="1:10">
      <c r="A28" s="442">
        <v>22</v>
      </c>
      <c r="B28" s="451" t="s">
        <v>717</v>
      </c>
      <c r="C28" s="613">
        <v>10325251.720000003</v>
      </c>
      <c r="D28" s="613">
        <v>295449605.47164905</v>
      </c>
      <c r="E28" s="613">
        <v>4088356.1979999994</v>
      </c>
      <c r="F28" s="613">
        <v>5667905.4676000001</v>
      </c>
      <c r="G28" s="613">
        <v>0</v>
      </c>
      <c r="H28" s="613">
        <v>0</v>
      </c>
      <c r="I28" s="444">
        <f t="shared" si="0"/>
        <v>296018595.52604908</v>
      </c>
      <c r="J28" s="452"/>
    </row>
    <row r="29" spans="1:10">
      <c r="A29" s="442">
        <v>23</v>
      </c>
      <c r="B29" s="451" t="s">
        <v>718</v>
      </c>
      <c r="C29" s="613">
        <v>137096766.82646996</v>
      </c>
      <c r="D29" s="613">
        <v>2468664450.6546187</v>
      </c>
      <c r="E29" s="613">
        <v>59860741.236288704</v>
      </c>
      <c r="F29" s="613">
        <v>45762583.210799992</v>
      </c>
      <c r="G29" s="613">
        <v>0</v>
      </c>
      <c r="H29" s="613">
        <v>1134442.8500000001</v>
      </c>
      <c r="I29" s="444">
        <f t="shared" si="0"/>
        <v>2500137893.0339999</v>
      </c>
      <c r="J29" s="452"/>
    </row>
    <row r="30" spans="1:10">
      <c r="A30" s="442">
        <v>24</v>
      </c>
      <c r="B30" s="451" t="s">
        <v>719</v>
      </c>
      <c r="C30" s="613">
        <v>28586496.310000006</v>
      </c>
      <c r="D30" s="613">
        <v>709941713.26420283</v>
      </c>
      <c r="E30" s="613">
        <v>15916739.293</v>
      </c>
      <c r="F30" s="613">
        <v>13206733.531231573</v>
      </c>
      <c r="G30" s="613">
        <v>0</v>
      </c>
      <c r="H30" s="613">
        <v>1868333.3800000004</v>
      </c>
      <c r="I30" s="444">
        <f t="shared" si="0"/>
        <v>709404736.74997139</v>
      </c>
      <c r="J30" s="452"/>
    </row>
    <row r="31" spans="1:10">
      <c r="A31" s="442">
        <v>25</v>
      </c>
      <c r="B31" s="451" t="s">
        <v>720</v>
      </c>
      <c r="C31" s="613">
        <v>89661974.411582142</v>
      </c>
      <c r="D31" s="613">
        <v>959027422.48735535</v>
      </c>
      <c r="E31" s="613">
        <v>37842489.420694895</v>
      </c>
      <c r="F31" s="613">
        <v>17070936.006200004</v>
      </c>
      <c r="G31" s="613">
        <v>0</v>
      </c>
      <c r="H31" s="613">
        <v>15527506.690299049</v>
      </c>
      <c r="I31" s="444">
        <f t="shared" si="0"/>
        <v>993775971.47204256</v>
      </c>
      <c r="J31" s="452"/>
    </row>
    <row r="32" spans="1:10">
      <c r="A32" s="442">
        <v>26</v>
      </c>
      <c r="B32" s="451" t="s">
        <v>721</v>
      </c>
      <c r="C32" s="613">
        <v>15324542.865483999</v>
      </c>
      <c r="D32" s="613">
        <v>180072309.62980601</v>
      </c>
      <c r="E32" s="613">
        <v>9716317.6809999999</v>
      </c>
      <c r="F32" s="613">
        <v>3400529.4631999996</v>
      </c>
      <c r="G32" s="613">
        <v>0</v>
      </c>
      <c r="H32" s="613">
        <v>0</v>
      </c>
      <c r="I32" s="444">
        <f t="shared" si="0"/>
        <v>182280005.35109001</v>
      </c>
      <c r="J32" s="452"/>
    </row>
    <row r="33" spans="1:10">
      <c r="A33" s="442">
        <v>27</v>
      </c>
      <c r="B33" s="443" t="s">
        <v>165</v>
      </c>
      <c r="C33" s="613">
        <v>233290886.06478101</v>
      </c>
      <c r="D33" s="613">
        <v>1467550847.9708252</v>
      </c>
      <c r="E33" s="613">
        <f>131140763.947781</f>
        <v>131140763.947781</v>
      </c>
      <c r="F33" s="613">
        <v>494160.79200000002</v>
      </c>
      <c r="G33" s="613">
        <f>6908066</f>
        <v>6908066</v>
      </c>
      <c r="H33" s="613">
        <v>538930.02</v>
      </c>
      <c r="I33" s="444">
        <f t="shared" si="0"/>
        <v>1562298743.295825</v>
      </c>
      <c r="J33" s="452"/>
    </row>
    <row r="34" spans="1:10">
      <c r="A34" s="442">
        <v>28</v>
      </c>
      <c r="B34" s="453" t="s">
        <v>68</v>
      </c>
      <c r="C34" s="702">
        <f>SUM(C7:C33)</f>
        <v>1185682759.7621884</v>
      </c>
      <c r="D34" s="702">
        <f t="shared" ref="D34:H34" si="1">SUM(D7:D33)</f>
        <v>19778092452.978439</v>
      </c>
      <c r="E34" s="702">
        <f t="shared" si="1"/>
        <v>531567507.22836459</v>
      </c>
      <c r="F34" s="702">
        <f t="shared" si="1"/>
        <v>244245856.52816233</v>
      </c>
      <c r="G34" s="702">
        <v>42589990.619999997</v>
      </c>
      <c r="H34" s="702">
        <f t="shared" si="1"/>
        <v>24605283.370299052</v>
      </c>
      <c r="I34" s="444">
        <f t="shared" si="0"/>
        <v>20145371858.364101</v>
      </c>
      <c r="J34" s="452"/>
    </row>
    <row r="35" spans="1:10">
      <c r="A35" s="452"/>
      <c r="B35" s="452"/>
      <c r="C35" s="703"/>
      <c r="D35" s="703"/>
      <c r="E35" s="703"/>
      <c r="F35" s="703"/>
      <c r="G35" s="703"/>
      <c r="H35" s="703"/>
      <c r="I35" s="452"/>
      <c r="J35" s="452"/>
    </row>
    <row r="36" spans="1:10">
      <c r="A36" s="452"/>
      <c r="B36" s="454"/>
      <c r="C36" s="703"/>
      <c r="D36" s="703"/>
      <c r="E36" s="703"/>
      <c r="F36" s="703"/>
      <c r="G36" s="703"/>
      <c r="H36" s="703"/>
      <c r="I36" s="452"/>
      <c r="J36" s="452"/>
    </row>
    <row r="37" spans="1:10">
      <c r="A37" s="452"/>
      <c r="B37" s="452"/>
      <c r="C37" s="703"/>
      <c r="D37" s="703"/>
      <c r="E37" s="703"/>
      <c r="F37" s="703"/>
      <c r="G37" s="703"/>
      <c r="H37" s="703"/>
      <c r="I37" s="452"/>
      <c r="J37" s="452"/>
    </row>
    <row r="38" spans="1:10">
      <c r="A38" s="452"/>
      <c r="B38" s="452"/>
      <c r="C38" s="703"/>
      <c r="D38" s="703"/>
      <c r="E38" s="703"/>
      <c r="F38" s="703"/>
      <c r="G38" s="703"/>
      <c r="H38" s="703"/>
      <c r="I38" s="452"/>
      <c r="J38" s="452"/>
    </row>
    <row r="39" spans="1:10">
      <c r="A39" s="452"/>
      <c r="B39" s="452"/>
      <c r="C39" s="703"/>
      <c r="D39" s="703"/>
      <c r="E39" s="703"/>
      <c r="F39" s="703"/>
      <c r="G39" s="703"/>
      <c r="H39" s="703"/>
      <c r="I39" s="452"/>
      <c r="J39" s="452"/>
    </row>
    <row r="40" spans="1:10">
      <c r="A40" s="452"/>
      <c r="B40" s="452"/>
      <c r="C40" s="703"/>
      <c r="D40" s="703"/>
      <c r="E40" s="703"/>
      <c r="F40" s="703"/>
      <c r="G40" s="703"/>
      <c r="H40" s="703"/>
      <c r="I40" s="452"/>
      <c r="J40" s="452"/>
    </row>
    <row r="41" spans="1:10">
      <c r="A41" s="452"/>
      <c r="B41" s="452"/>
      <c r="C41" s="703"/>
      <c r="D41" s="703"/>
      <c r="E41" s="703"/>
      <c r="F41" s="703"/>
      <c r="G41" s="703"/>
      <c r="H41" s="703"/>
      <c r="I41" s="452"/>
      <c r="J41" s="452"/>
    </row>
    <row r="42" spans="1:10">
      <c r="A42" s="455"/>
      <c r="B42" s="455"/>
      <c r="C42" s="703"/>
      <c r="D42" s="703"/>
      <c r="E42" s="703"/>
      <c r="F42" s="703"/>
      <c r="G42" s="703"/>
      <c r="H42" s="703"/>
      <c r="I42" s="452"/>
      <c r="J42" s="452"/>
    </row>
    <row r="43" spans="1:10">
      <c r="A43" s="455"/>
      <c r="B43" s="455"/>
      <c r="C43" s="703"/>
      <c r="D43" s="703"/>
      <c r="E43" s="703"/>
      <c r="F43" s="703"/>
      <c r="G43" s="703"/>
      <c r="H43" s="703"/>
      <c r="I43" s="452"/>
      <c r="J43" s="452"/>
    </row>
    <row r="44" spans="1:10">
      <c r="A44" s="452"/>
      <c r="B44" s="456"/>
      <c r="C44" s="703"/>
      <c r="D44" s="703"/>
      <c r="E44" s="703"/>
      <c r="F44" s="703"/>
      <c r="G44" s="703"/>
      <c r="H44" s="703"/>
      <c r="I44" s="452"/>
      <c r="J44" s="452"/>
    </row>
    <row r="45" spans="1:10">
      <c r="A45" s="452"/>
      <c r="B45" s="456"/>
      <c r="C45" s="703"/>
      <c r="D45" s="703"/>
      <c r="E45" s="703"/>
      <c r="F45" s="703"/>
      <c r="G45" s="703"/>
      <c r="H45" s="703"/>
      <c r="I45" s="452"/>
      <c r="J45" s="452"/>
    </row>
    <row r="46" spans="1:10">
      <c r="A46" s="452"/>
      <c r="B46" s="456"/>
      <c r="C46" s="703"/>
      <c r="D46" s="703"/>
      <c r="E46" s="703"/>
      <c r="F46" s="703"/>
      <c r="G46" s="703"/>
      <c r="H46" s="703"/>
      <c r="I46" s="452"/>
      <c r="J46" s="452"/>
    </row>
    <row r="47" spans="1:10">
      <c r="A47" s="452"/>
      <c r="B47" s="452"/>
      <c r="C47" s="703"/>
      <c r="D47" s="703"/>
      <c r="E47" s="703"/>
      <c r="F47" s="703"/>
      <c r="G47" s="703"/>
      <c r="H47" s="703"/>
      <c r="I47" s="452"/>
      <c r="J47" s="45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21"/>
  <sheetViews>
    <sheetView showGridLines="0" zoomScaleNormal="100" workbookViewId="0"/>
  </sheetViews>
  <sheetFormatPr defaultColWidth="9.140625" defaultRowHeight="12.75"/>
  <cols>
    <col min="1" max="1" width="11.85546875" style="427" bestFit="1" customWidth="1"/>
    <col min="2" max="2" width="108" style="427" bestFit="1" customWidth="1"/>
    <col min="3" max="3" width="35.5703125" style="698" customWidth="1"/>
    <col min="4" max="4" width="38.42578125" style="701" customWidth="1"/>
    <col min="5" max="16384" width="9.140625" style="427"/>
  </cols>
  <sheetData>
    <row r="1" spans="1:8">
      <c r="A1" s="426" t="s">
        <v>188</v>
      </c>
      <c r="D1" s="698"/>
    </row>
    <row r="2" spans="1:8">
      <c r="A2" s="428" t="s">
        <v>189</v>
      </c>
      <c r="D2" s="698"/>
    </row>
    <row r="3" spans="1:8">
      <c r="A3" s="429" t="s">
        <v>722</v>
      </c>
      <c r="B3" s="430">
        <f>'1. key ratios'!B2</f>
        <v>44377</v>
      </c>
      <c r="D3" s="698"/>
      <c r="H3" s="427">
        <v>0</v>
      </c>
    </row>
    <row r="5" spans="1:8" ht="51">
      <c r="A5" s="806" t="s">
        <v>723</v>
      </c>
      <c r="B5" s="806"/>
      <c r="C5" s="710" t="s">
        <v>724</v>
      </c>
      <c r="D5" s="710" t="s">
        <v>725</v>
      </c>
    </row>
    <row r="6" spans="1:8">
      <c r="A6" s="457">
        <v>1</v>
      </c>
      <c r="B6" s="458" t="s">
        <v>726</v>
      </c>
      <c r="C6" s="613">
        <v>738591951.11099994</v>
      </c>
      <c r="D6" s="613">
        <v>559436.84</v>
      </c>
    </row>
    <row r="7" spans="1:8">
      <c r="A7" s="459">
        <v>2</v>
      </c>
      <c r="B7" s="458" t="s">
        <v>727</v>
      </c>
      <c r="C7" s="613">
        <v>169857188.28679287</v>
      </c>
      <c r="D7" s="613">
        <v>0</v>
      </c>
    </row>
    <row r="8" spans="1:8">
      <c r="A8" s="460">
        <v>2.1</v>
      </c>
      <c r="B8" s="461" t="s">
        <v>728</v>
      </c>
      <c r="C8" s="613">
        <v>106909535.44</v>
      </c>
      <c r="D8" s="613">
        <v>0</v>
      </c>
    </row>
    <row r="9" spans="1:8">
      <c r="A9" s="460">
        <v>2.2000000000000002</v>
      </c>
      <c r="B9" s="461" t="s">
        <v>729</v>
      </c>
      <c r="C9" s="613">
        <v>62947652.846792869</v>
      </c>
      <c r="D9" s="613"/>
    </row>
    <row r="10" spans="1:8">
      <c r="A10" s="460">
        <v>2.2999999999999998</v>
      </c>
      <c r="B10" s="461" t="s">
        <v>730</v>
      </c>
      <c r="C10" s="613">
        <v>0</v>
      </c>
      <c r="D10" s="613"/>
    </row>
    <row r="11" spans="1:8">
      <c r="A11" s="460">
        <v>2.4</v>
      </c>
      <c r="B11" s="461" t="s">
        <v>731</v>
      </c>
      <c r="C11" s="613">
        <v>0</v>
      </c>
      <c r="D11" s="613"/>
    </row>
    <row r="12" spans="1:8">
      <c r="A12" s="457">
        <v>3</v>
      </c>
      <c r="B12" s="458" t="s">
        <v>732</v>
      </c>
      <c r="C12" s="613">
        <v>250625521.04099259</v>
      </c>
      <c r="D12" s="613">
        <v>11015.699999999901</v>
      </c>
    </row>
    <row r="13" spans="1:8">
      <c r="A13" s="460">
        <v>3.1</v>
      </c>
      <c r="B13" s="461" t="s">
        <v>733</v>
      </c>
      <c r="C13" s="613">
        <v>24066353.350299023</v>
      </c>
      <c r="D13" s="613"/>
    </row>
    <row r="14" spans="1:8">
      <c r="A14" s="460">
        <v>3.2</v>
      </c>
      <c r="B14" s="461" t="s">
        <v>734</v>
      </c>
      <c r="C14" s="613">
        <v>47624917.140000001</v>
      </c>
      <c r="D14" s="613"/>
    </row>
    <row r="15" spans="1:8">
      <c r="A15" s="460">
        <v>3.3</v>
      </c>
      <c r="B15" s="461" t="s">
        <v>735</v>
      </c>
      <c r="C15" s="613">
        <v>79626165.00999999</v>
      </c>
      <c r="D15" s="613"/>
    </row>
    <row r="16" spans="1:8">
      <c r="A16" s="460">
        <v>3.4</v>
      </c>
      <c r="B16" s="461" t="s">
        <v>736</v>
      </c>
      <c r="C16" s="613">
        <v>69103753.197008118</v>
      </c>
      <c r="D16" s="613"/>
    </row>
    <row r="17" spans="1:4">
      <c r="A17" s="459">
        <v>3.5</v>
      </c>
      <c r="B17" s="461" t="s">
        <v>737</v>
      </c>
      <c r="C17" s="613">
        <v>30068543.343685478</v>
      </c>
      <c r="D17" s="613">
        <v>11015.699999999901</v>
      </c>
    </row>
    <row r="18" spans="1:4">
      <c r="A18" s="460">
        <v>3.6</v>
      </c>
      <c r="B18" s="461" t="s">
        <v>738</v>
      </c>
      <c r="C18" s="613">
        <v>135789</v>
      </c>
      <c r="D18" s="613"/>
    </row>
    <row r="19" spans="1:4">
      <c r="A19" s="462">
        <v>4</v>
      </c>
      <c r="B19" s="458" t="s">
        <v>739</v>
      </c>
      <c r="C19" s="702">
        <f>C6+C7-C12</f>
        <v>657823618.3568002</v>
      </c>
      <c r="D19" s="702">
        <f>D6+D7-D12</f>
        <v>548421.14</v>
      </c>
    </row>
    <row r="21" spans="1:4" ht="15">
      <c r="C21" s="708">
        <v>0</v>
      </c>
      <c r="D21" s="708">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36"/>
  <sheetViews>
    <sheetView showGridLines="0" zoomScaleNormal="100" workbookViewId="0"/>
  </sheetViews>
  <sheetFormatPr defaultColWidth="9.140625" defaultRowHeight="12.75"/>
  <cols>
    <col min="1" max="1" width="11.85546875" style="427" bestFit="1" customWidth="1"/>
    <col min="2" max="2" width="124.7109375" style="427" customWidth="1"/>
    <col min="3" max="3" width="21.5703125" style="427" customWidth="1"/>
    <col min="4" max="4" width="49.140625" style="450" customWidth="1"/>
    <col min="5" max="16384" width="9.140625" style="427"/>
  </cols>
  <sheetData>
    <row r="1" spans="1:8">
      <c r="A1" s="426" t="s">
        <v>188</v>
      </c>
      <c r="D1" s="427"/>
    </row>
    <row r="2" spans="1:8">
      <c r="A2" s="428" t="s">
        <v>189</v>
      </c>
      <c r="D2" s="427"/>
    </row>
    <row r="3" spans="1:8">
      <c r="A3" s="429" t="s">
        <v>740</v>
      </c>
      <c r="B3" s="430">
        <f>'1. key ratios'!B2</f>
        <v>44377</v>
      </c>
      <c r="D3" s="427"/>
      <c r="H3" s="427">
        <v>0</v>
      </c>
    </row>
    <row r="4" spans="1:8">
      <c r="A4" s="429"/>
      <c r="D4" s="427"/>
    </row>
    <row r="5" spans="1:8" ht="15" customHeight="1">
      <c r="A5" s="807" t="s">
        <v>741</v>
      </c>
      <c r="B5" s="808"/>
      <c r="C5" s="811" t="s">
        <v>742</v>
      </c>
      <c r="D5" s="813" t="s">
        <v>743</v>
      </c>
    </row>
    <row r="6" spans="1:8">
      <c r="A6" s="809"/>
      <c r="B6" s="810"/>
      <c r="C6" s="812"/>
      <c r="D6" s="813"/>
    </row>
    <row r="7" spans="1:8" ht="15">
      <c r="A7" s="453">
        <v>1</v>
      </c>
      <c r="B7" s="434" t="s">
        <v>744</v>
      </c>
      <c r="C7" s="614">
        <v>1133581638.4400001</v>
      </c>
      <c r="D7" s="463"/>
    </row>
    <row r="8" spans="1:8" ht="15">
      <c r="A8" s="443">
        <v>2</v>
      </c>
      <c r="B8" s="443" t="s">
        <v>745</v>
      </c>
      <c r="C8" s="614">
        <v>149475868.34999999</v>
      </c>
      <c r="D8" s="463"/>
    </row>
    <row r="9" spans="1:8" ht="15">
      <c r="A9" s="443">
        <v>3</v>
      </c>
      <c r="B9" s="464" t="s">
        <v>746</v>
      </c>
      <c r="C9" s="614">
        <v>0</v>
      </c>
      <c r="D9" s="463"/>
    </row>
    <row r="10" spans="1:8" ht="15">
      <c r="A10" s="443">
        <v>4</v>
      </c>
      <c r="B10" s="443" t="s">
        <v>747</v>
      </c>
      <c r="C10" s="614">
        <f>SUM(C11:C18)</f>
        <v>419439140.05259985</v>
      </c>
      <c r="D10" s="463"/>
    </row>
    <row r="11" spans="1:8" ht="15">
      <c r="A11" s="443">
        <v>5</v>
      </c>
      <c r="B11" s="465" t="s">
        <v>748</v>
      </c>
      <c r="C11" s="614">
        <v>93373713.240099996</v>
      </c>
      <c r="D11" s="463"/>
    </row>
    <row r="12" spans="1:8" ht="15">
      <c r="A12" s="443">
        <v>6</v>
      </c>
      <c r="B12" s="465" t="s">
        <v>749</v>
      </c>
      <c r="C12" s="614">
        <v>104427133.7736</v>
      </c>
      <c r="D12" s="463"/>
    </row>
    <row r="13" spans="1:8" ht="15">
      <c r="A13" s="443">
        <v>7</v>
      </c>
      <c r="B13" s="465" t="s">
        <v>750</v>
      </c>
      <c r="C13" s="709">
        <v>129703197.23749986</v>
      </c>
      <c r="D13" s="463"/>
    </row>
    <row r="14" spans="1:8" ht="15">
      <c r="A14" s="443">
        <v>8</v>
      </c>
      <c r="B14" s="465" t="s">
        <v>751</v>
      </c>
      <c r="C14" s="614">
        <v>13267203.2414</v>
      </c>
      <c r="D14" s="612">
        <v>16396470.637382815</v>
      </c>
    </row>
    <row r="15" spans="1:8" ht="15">
      <c r="A15" s="443">
        <v>9</v>
      </c>
      <c r="B15" s="465" t="s">
        <v>752</v>
      </c>
      <c r="C15" s="614">
        <v>0</v>
      </c>
      <c r="D15" s="443"/>
    </row>
    <row r="16" spans="1:8" ht="15">
      <c r="A16" s="443">
        <v>10</v>
      </c>
      <c r="B16" s="465" t="s">
        <v>753</v>
      </c>
      <c r="C16" s="614">
        <v>23549993.420000002</v>
      </c>
      <c r="D16" s="463"/>
    </row>
    <row r="17" spans="1:4" ht="15">
      <c r="A17" s="443">
        <v>11</v>
      </c>
      <c r="B17" s="465" t="s">
        <v>754</v>
      </c>
      <c r="C17" s="614"/>
      <c r="D17" s="443"/>
    </row>
    <row r="18" spans="1:4" ht="26.25">
      <c r="A18" s="443">
        <v>12</v>
      </c>
      <c r="B18" s="465" t="s">
        <v>755</v>
      </c>
      <c r="C18" s="614">
        <v>55117899.140000001</v>
      </c>
      <c r="D18" s="463"/>
    </row>
    <row r="19" spans="1:4">
      <c r="A19" s="453">
        <v>13</v>
      </c>
      <c r="B19" s="466" t="s">
        <v>756</v>
      </c>
      <c r="C19" s="702">
        <f>C7+C8-C10</f>
        <v>863618366.73740005</v>
      </c>
      <c r="D19" s="467"/>
    </row>
    <row r="22" spans="1:4">
      <c r="B22" s="426"/>
      <c r="C22" s="698"/>
    </row>
    <row r="23" spans="1:4">
      <c r="B23" s="428"/>
      <c r="C23" s="698"/>
    </row>
    <row r="24" spans="1:4">
      <c r="B24" s="429"/>
    </row>
    <row r="30" spans="1:4" ht="15">
      <c r="B30" s="668"/>
      <c r="C30" s="720"/>
    </row>
    <row r="31" spans="1:4" ht="15">
      <c r="B31" s="668"/>
      <c r="C31" s="720"/>
    </row>
    <row r="32" spans="1:4" ht="15">
      <c r="B32" s="668"/>
      <c r="C32" s="720"/>
    </row>
    <row r="33" spans="2:3" ht="15">
      <c r="B33" s="668"/>
      <c r="C33" s="720"/>
    </row>
    <row r="34" spans="2:3" ht="15">
      <c r="B34" s="668"/>
      <c r="C34" s="720"/>
    </row>
    <row r="35" spans="2:3" ht="15">
      <c r="B35" s="668"/>
      <c r="C35" s="720"/>
    </row>
    <row r="36" spans="2:3" ht="15">
      <c r="B36" s="668"/>
      <c r="C36" s="72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43"/>
  <sheetViews>
    <sheetView showGridLines="0" zoomScaleNormal="100" workbookViewId="0"/>
  </sheetViews>
  <sheetFormatPr defaultColWidth="9.140625" defaultRowHeight="12.75"/>
  <cols>
    <col min="1" max="1" width="11.85546875" style="427" bestFit="1" customWidth="1"/>
    <col min="2" max="2" width="80.7109375" style="427" customWidth="1"/>
    <col min="3" max="3" width="17.28515625" style="698" bestFit="1" customWidth="1"/>
    <col min="4" max="5" width="22.28515625" style="698" customWidth="1"/>
    <col min="6" max="6" width="23.42578125" style="698" customWidth="1"/>
    <col min="7" max="14" width="22.28515625" style="698" customWidth="1"/>
    <col min="15" max="15" width="23.42578125" style="698" bestFit="1" customWidth="1"/>
    <col min="16" max="16" width="21.85546875" style="698" bestFit="1" customWidth="1"/>
    <col min="17" max="19" width="19.140625" style="698" bestFit="1" customWidth="1"/>
    <col min="20" max="20" width="16.140625" style="698" customWidth="1"/>
    <col min="21" max="21" width="13.5703125" style="698" bestFit="1" customWidth="1"/>
    <col min="22" max="22" width="20" style="427" customWidth="1"/>
    <col min="23" max="16384" width="9.140625" style="427"/>
  </cols>
  <sheetData>
    <row r="1" spans="1:22">
      <c r="A1" s="426" t="s">
        <v>188</v>
      </c>
    </row>
    <row r="2" spans="1:22">
      <c r="A2" s="428" t="s">
        <v>189</v>
      </c>
      <c r="B2" s="438"/>
      <c r="C2" s="716"/>
    </row>
    <row r="3" spans="1:22">
      <c r="A3" s="429" t="s">
        <v>757</v>
      </c>
      <c r="B3" s="430">
        <f>'1. key ratios'!B2</f>
        <v>44377</v>
      </c>
      <c r="H3" s="698">
        <v>0</v>
      </c>
    </row>
    <row r="5" spans="1:22" ht="15" customHeight="1">
      <c r="A5" s="811" t="s">
        <v>758</v>
      </c>
      <c r="B5" s="814"/>
      <c r="C5" s="818" t="s">
        <v>759</v>
      </c>
      <c r="D5" s="819"/>
      <c r="E5" s="819"/>
      <c r="F5" s="819"/>
      <c r="G5" s="819"/>
      <c r="H5" s="819"/>
      <c r="I5" s="819"/>
      <c r="J5" s="819"/>
      <c r="K5" s="819"/>
      <c r="L5" s="819"/>
      <c r="M5" s="819"/>
      <c r="N5" s="819"/>
      <c r="O5" s="819"/>
      <c r="P5" s="819"/>
      <c r="Q5" s="819"/>
      <c r="R5" s="819"/>
      <c r="S5" s="819"/>
      <c r="T5" s="819"/>
      <c r="U5" s="820"/>
      <c r="V5" s="468"/>
    </row>
    <row r="6" spans="1:22">
      <c r="A6" s="815"/>
      <c r="B6" s="816"/>
      <c r="C6" s="821" t="s">
        <v>68</v>
      </c>
      <c r="D6" s="823" t="s">
        <v>760</v>
      </c>
      <c r="E6" s="823"/>
      <c r="F6" s="824"/>
      <c r="G6" s="825" t="s">
        <v>761</v>
      </c>
      <c r="H6" s="826"/>
      <c r="I6" s="826"/>
      <c r="J6" s="826"/>
      <c r="K6" s="827"/>
      <c r="L6" s="717"/>
      <c r="M6" s="828" t="s">
        <v>762</v>
      </c>
      <c r="N6" s="828"/>
      <c r="O6" s="805"/>
      <c r="P6" s="805"/>
      <c r="Q6" s="805"/>
      <c r="R6" s="805"/>
      <c r="S6" s="805"/>
      <c r="T6" s="805"/>
      <c r="U6" s="805"/>
      <c r="V6" s="469"/>
    </row>
    <row r="7" spans="1:22" ht="25.5">
      <c r="A7" s="812"/>
      <c r="B7" s="817"/>
      <c r="C7" s="822"/>
      <c r="D7" s="718"/>
      <c r="E7" s="711" t="s">
        <v>763</v>
      </c>
      <c r="F7" s="719" t="s">
        <v>764</v>
      </c>
      <c r="G7" s="716"/>
      <c r="H7" s="719" t="s">
        <v>763</v>
      </c>
      <c r="I7" s="711" t="s">
        <v>790</v>
      </c>
      <c r="J7" s="711" t="s">
        <v>765</v>
      </c>
      <c r="K7" s="719" t="s">
        <v>766</v>
      </c>
      <c r="L7" s="712"/>
      <c r="M7" s="700" t="s">
        <v>767</v>
      </c>
      <c r="N7" s="711" t="s">
        <v>765</v>
      </c>
      <c r="O7" s="711" t="s">
        <v>768</v>
      </c>
      <c r="P7" s="711" t="s">
        <v>769</v>
      </c>
      <c r="Q7" s="711" t="s">
        <v>770</v>
      </c>
      <c r="R7" s="711" t="s">
        <v>771</v>
      </c>
      <c r="S7" s="711" t="s">
        <v>772</v>
      </c>
      <c r="T7" s="711" t="s">
        <v>773</v>
      </c>
      <c r="U7" s="711" t="s">
        <v>774</v>
      </c>
      <c r="V7" s="468"/>
    </row>
    <row r="8" spans="1:22">
      <c r="A8" s="470">
        <v>1</v>
      </c>
      <c r="B8" s="434" t="s">
        <v>775</v>
      </c>
      <c r="C8" s="734">
        <v>13954607891.30846</v>
      </c>
      <c r="D8" s="735">
        <v>12302721123.491001</v>
      </c>
      <c r="E8" s="735">
        <v>103470817.91999999</v>
      </c>
      <c r="F8" s="735">
        <v>780376.10999999987</v>
      </c>
      <c r="G8" s="735">
        <v>788268401.07999992</v>
      </c>
      <c r="H8" s="735">
        <v>24413758.910000004</v>
      </c>
      <c r="I8" s="735">
        <v>10003704.220000001</v>
      </c>
      <c r="J8" s="735">
        <v>9250</v>
      </c>
      <c r="K8" s="735">
        <v>21500</v>
      </c>
      <c r="L8" s="735">
        <v>863618366.73745823</v>
      </c>
      <c r="M8" s="735">
        <v>58299876.709999979</v>
      </c>
      <c r="N8" s="735">
        <v>16042694.199999992</v>
      </c>
      <c r="O8" s="735">
        <v>72319154.799999997</v>
      </c>
      <c r="P8" s="735">
        <v>29173015.420000002</v>
      </c>
      <c r="Q8" s="735">
        <v>28463512.809999999</v>
      </c>
      <c r="R8" s="735">
        <v>29443270.350000013</v>
      </c>
      <c r="S8" s="735">
        <v>59647865.579999991</v>
      </c>
      <c r="T8" s="735">
        <v>1133729.6300000001</v>
      </c>
      <c r="U8" s="735">
        <v>295690949.75983053</v>
      </c>
      <c r="V8" s="452"/>
    </row>
    <row r="9" spans="1:22">
      <c r="A9" s="442">
        <v>1.1000000000000001</v>
      </c>
      <c r="B9" s="471" t="s">
        <v>776</v>
      </c>
      <c r="C9" s="736">
        <v>0</v>
      </c>
      <c r="D9" s="735"/>
      <c r="E9" s="735"/>
      <c r="F9" s="735"/>
      <c r="G9" s="735"/>
      <c r="H9" s="735"/>
      <c r="I9" s="735"/>
      <c r="J9" s="735"/>
      <c r="K9" s="735"/>
      <c r="L9" s="735"/>
      <c r="M9" s="735"/>
      <c r="N9" s="735"/>
      <c r="O9" s="735"/>
      <c r="P9" s="735"/>
      <c r="Q9" s="735"/>
      <c r="R9" s="735"/>
      <c r="S9" s="735"/>
      <c r="T9" s="735"/>
      <c r="U9" s="735"/>
      <c r="V9" s="452"/>
    </row>
    <row r="10" spans="1:22">
      <c r="A10" s="442">
        <v>1.2</v>
      </c>
      <c r="B10" s="471" t="s">
        <v>777</v>
      </c>
      <c r="C10" s="736">
        <v>0</v>
      </c>
      <c r="D10" s="735"/>
      <c r="E10" s="735"/>
      <c r="F10" s="735"/>
      <c r="G10" s="735"/>
      <c r="H10" s="735"/>
      <c r="I10" s="735"/>
      <c r="J10" s="735"/>
      <c r="K10" s="735"/>
      <c r="L10" s="735"/>
      <c r="M10" s="735"/>
      <c r="N10" s="735"/>
      <c r="O10" s="735"/>
      <c r="P10" s="735"/>
      <c r="Q10" s="735"/>
      <c r="R10" s="735"/>
      <c r="S10" s="735"/>
      <c r="T10" s="735"/>
      <c r="U10" s="735"/>
      <c r="V10" s="452"/>
    </row>
    <row r="11" spans="1:22">
      <c r="A11" s="442">
        <v>1.3</v>
      </c>
      <c r="B11" s="471" t="s">
        <v>778</v>
      </c>
      <c r="C11" s="736">
        <v>0</v>
      </c>
      <c r="D11" s="735"/>
      <c r="E11" s="735"/>
      <c r="F11" s="735"/>
      <c r="G11" s="735"/>
      <c r="H11" s="735"/>
      <c r="I11" s="735"/>
      <c r="J11" s="735"/>
      <c r="K11" s="735"/>
      <c r="L11" s="735"/>
      <c r="M11" s="735"/>
      <c r="N11" s="735"/>
      <c r="O11" s="735"/>
      <c r="P11" s="735"/>
      <c r="Q11" s="735"/>
      <c r="R11" s="735"/>
      <c r="S11" s="735"/>
      <c r="T11" s="735"/>
      <c r="U11" s="735"/>
      <c r="V11" s="452"/>
    </row>
    <row r="12" spans="1:22">
      <c r="A12" s="442">
        <v>1.4</v>
      </c>
      <c r="B12" s="471" t="s">
        <v>779</v>
      </c>
      <c r="C12" s="736">
        <v>108376855.91</v>
      </c>
      <c r="D12" s="735">
        <v>106449823.91</v>
      </c>
      <c r="E12" s="735">
        <v>0</v>
      </c>
      <c r="F12" s="735">
        <v>0</v>
      </c>
      <c r="G12" s="735">
        <v>233000</v>
      </c>
      <c r="H12" s="735">
        <v>0</v>
      </c>
      <c r="I12" s="735">
        <v>0</v>
      </c>
      <c r="J12" s="735">
        <v>0</v>
      </c>
      <c r="K12" s="735">
        <v>0</v>
      </c>
      <c r="L12" s="735">
        <v>1694032</v>
      </c>
      <c r="M12" s="735">
        <v>0</v>
      </c>
      <c r="N12" s="735">
        <v>0</v>
      </c>
      <c r="O12" s="735">
        <v>0</v>
      </c>
      <c r="P12" s="735">
        <v>0</v>
      </c>
      <c r="Q12" s="735">
        <v>0</v>
      </c>
      <c r="R12" s="735">
        <v>0</v>
      </c>
      <c r="S12" s="735">
        <v>0</v>
      </c>
      <c r="T12" s="735">
        <v>0</v>
      </c>
      <c r="U12" s="735">
        <v>0</v>
      </c>
      <c r="V12" s="452"/>
    </row>
    <row r="13" spans="1:22">
      <c r="A13" s="442">
        <v>1.5</v>
      </c>
      <c r="B13" s="471" t="s">
        <v>780</v>
      </c>
      <c r="C13" s="736">
        <v>6192367063.4255018</v>
      </c>
      <c r="D13" s="735">
        <v>5399673723.7155018</v>
      </c>
      <c r="E13" s="735">
        <v>26568674.149999999</v>
      </c>
      <c r="F13" s="735">
        <v>12863.19</v>
      </c>
      <c r="G13" s="735">
        <v>409093335.12</v>
      </c>
      <c r="H13" s="735">
        <v>3472987.9100000006</v>
      </c>
      <c r="I13" s="735">
        <v>943091.86</v>
      </c>
      <c r="J13" s="735">
        <v>0</v>
      </c>
      <c r="K13" s="735">
        <v>0</v>
      </c>
      <c r="L13" s="735">
        <v>383600004.59000021</v>
      </c>
      <c r="M13" s="735">
        <v>17518713.979999997</v>
      </c>
      <c r="N13" s="735">
        <v>1692422.2300000002</v>
      </c>
      <c r="O13" s="735">
        <v>46610476.719999999</v>
      </c>
      <c r="P13" s="735">
        <v>18716089.260000002</v>
      </c>
      <c r="Q13" s="735">
        <v>15743705.07</v>
      </c>
      <c r="R13" s="735">
        <v>5392554.9799999995</v>
      </c>
      <c r="S13" s="735">
        <v>59347516.529999994</v>
      </c>
      <c r="T13" s="735">
        <v>443968.36000000004</v>
      </c>
      <c r="U13" s="735">
        <v>199079980.30999997</v>
      </c>
      <c r="V13" s="452"/>
    </row>
    <row r="14" spans="1:22">
      <c r="A14" s="442">
        <v>1.6</v>
      </c>
      <c r="B14" s="471" t="s">
        <v>781</v>
      </c>
      <c r="C14" s="736">
        <v>7653863971.9729586</v>
      </c>
      <c r="D14" s="735">
        <v>6796597575.8655005</v>
      </c>
      <c r="E14" s="735">
        <v>76902143.769999981</v>
      </c>
      <c r="F14" s="735">
        <v>767512.91999999993</v>
      </c>
      <c r="G14" s="735">
        <v>378942065.95999998</v>
      </c>
      <c r="H14" s="735">
        <v>20940771.000000004</v>
      </c>
      <c r="I14" s="735">
        <v>9060612.3600000013</v>
      </c>
      <c r="J14" s="735">
        <v>9250</v>
      </c>
      <c r="K14" s="735">
        <v>21500</v>
      </c>
      <c r="L14" s="735">
        <v>478324330.14745796</v>
      </c>
      <c r="M14" s="735">
        <v>40781162.729999982</v>
      </c>
      <c r="N14" s="735">
        <v>14350271.969999991</v>
      </c>
      <c r="O14" s="735">
        <v>25708678.079999998</v>
      </c>
      <c r="P14" s="735">
        <v>10456926.159999998</v>
      </c>
      <c r="Q14" s="735">
        <v>12719807.739999998</v>
      </c>
      <c r="R14" s="735">
        <v>24050715.370000012</v>
      </c>
      <c r="S14" s="735">
        <v>300349.05</v>
      </c>
      <c r="T14" s="735">
        <v>689761.27</v>
      </c>
      <c r="U14" s="735">
        <v>96610969.449830562</v>
      </c>
      <c r="V14" s="452"/>
    </row>
    <row r="15" spans="1:22">
      <c r="A15" s="470">
        <v>2</v>
      </c>
      <c r="B15" s="453" t="s">
        <v>782</v>
      </c>
      <c r="C15" s="734">
        <f>SUM(C16:C21)</f>
        <v>1990360426.2500005</v>
      </c>
      <c r="D15" s="735">
        <f t="shared" ref="D15:U15" si="0">SUM(D16:D21)</f>
        <v>1990360426.2500005</v>
      </c>
      <c r="E15" s="734">
        <f t="shared" si="0"/>
        <v>0</v>
      </c>
      <c r="F15" s="734">
        <f t="shared" si="0"/>
        <v>0</v>
      </c>
      <c r="G15" s="734">
        <f t="shared" si="0"/>
        <v>0</v>
      </c>
      <c r="H15" s="734">
        <f t="shared" si="0"/>
        <v>0</v>
      </c>
      <c r="I15" s="734">
        <f t="shared" si="0"/>
        <v>0</v>
      </c>
      <c r="J15" s="734">
        <f t="shared" si="0"/>
        <v>0</v>
      </c>
      <c r="K15" s="734">
        <f t="shared" si="0"/>
        <v>0</v>
      </c>
      <c r="L15" s="734">
        <f t="shared" si="0"/>
        <v>0</v>
      </c>
      <c r="M15" s="734">
        <f t="shared" si="0"/>
        <v>0</v>
      </c>
      <c r="N15" s="734">
        <f t="shared" si="0"/>
        <v>0</v>
      </c>
      <c r="O15" s="734">
        <f t="shared" si="0"/>
        <v>0</v>
      </c>
      <c r="P15" s="734">
        <f t="shared" si="0"/>
        <v>0</v>
      </c>
      <c r="Q15" s="734">
        <f t="shared" si="0"/>
        <v>0</v>
      </c>
      <c r="R15" s="734">
        <f t="shared" si="0"/>
        <v>0</v>
      </c>
      <c r="S15" s="734">
        <f t="shared" si="0"/>
        <v>0</v>
      </c>
      <c r="T15" s="734">
        <f t="shared" si="0"/>
        <v>0</v>
      </c>
      <c r="U15" s="734">
        <f t="shared" si="0"/>
        <v>0</v>
      </c>
      <c r="V15" s="452"/>
    </row>
    <row r="16" spans="1:22">
      <c r="A16" s="442">
        <v>2.1</v>
      </c>
      <c r="B16" s="471" t="s">
        <v>776</v>
      </c>
      <c r="C16" s="736">
        <v>0</v>
      </c>
      <c r="D16" s="735"/>
      <c r="E16" s="735">
        <v>0</v>
      </c>
      <c r="F16" s="735">
        <v>0</v>
      </c>
      <c r="G16" s="735"/>
      <c r="H16" s="735"/>
      <c r="I16" s="735"/>
      <c r="J16" s="735"/>
      <c r="K16" s="735"/>
      <c r="L16" s="735"/>
      <c r="M16" s="735"/>
      <c r="N16" s="735"/>
      <c r="O16" s="735"/>
      <c r="P16" s="735"/>
      <c r="Q16" s="735"/>
      <c r="R16" s="735"/>
      <c r="S16" s="735"/>
      <c r="T16" s="735"/>
      <c r="U16" s="735"/>
      <c r="V16" s="452"/>
    </row>
    <row r="17" spans="1:22">
      <c r="A17" s="442">
        <v>2.2000000000000002</v>
      </c>
      <c r="B17" s="471" t="s">
        <v>777</v>
      </c>
      <c r="C17" s="736">
        <v>1192960234.1308401</v>
      </c>
      <c r="D17" s="736">
        <v>1192960234.1308401</v>
      </c>
      <c r="E17" s="735"/>
      <c r="F17" s="735"/>
      <c r="G17" s="735"/>
      <c r="H17" s="735"/>
      <c r="I17" s="735"/>
      <c r="J17" s="735"/>
      <c r="K17" s="735"/>
      <c r="L17" s="735"/>
      <c r="M17" s="735"/>
      <c r="N17" s="735"/>
      <c r="O17" s="735"/>
      <c r="P17" s="735"/>
      <c r="Q17" s="735"/>
      <c r="R17" s="735"/>
      <c r="S17" s="735"/>
      <c r="T17" s="735"/>
      <c r="U17" s="735"/>
      <c r="V17" s="452"/>
    </row>
    <row r="18" spans="1:22">
      <c r="A18" s="442">
        <v>2.2999999999999998</v>
      </c>
      <c r="B18" s="471" t="s">
        <v>778</v>
      </c>
      <c r="C18" s="736">
        <v>769736612.75126457</v>
      </c>
      <c r="D18" s="736">
        <v>769736612.75126457</v>
      </c>
      <c r="E18" s="735"/>
      <c r="F18" s="735"/>
      <c r="G18" s="735"/>
      <c r="H18" s="735"/>
      <c r="I18" s="735"/>
      <c r="J18" s="735"/>
      <c r="K18" s="735"/>
      <c r="L18" s="735"/>
      <c r="M18" s="735"/>
      <c r="N18" s="735"/>
      <c r="O18" s="735"/>
      <c r="P18" s="735"/>
      <c r="Q18" s="735"/>
      <c r="R18" s="735"/>
      <c r="S18" s="735"/>
      <c r="T18" s="735"/>
      <c r="U18" s="735"/>
      <c r="V18" s="452"/>
    </row>
    <row r="19" spans="1:22">
      <c r="A19" s="442">
        <v>2.4</v>
      </c>
      <c r="B19" s="471" t="s">
        <v>779</v>
      </c>
      <c r="C19" s="736">
        <v>2991313.90109589</v>
      </c>
      <c r="D19" s="735">
        <v>2991313.90109589</v>
      </c>
      <c r="E19" s="735"/>
      <c r="F19" s="735"/>
      <c r="G19" s="735"/>
      <c r="H19" s="735"/>
      <c r="I19" s="735"/>
      <c r="J19" s="735"/>
      <c r="K19" s="735"/>
      <c r="L19" s="735"/>
      <c r="M19" s="735"/>
      <c r="N19" s="735"/>
      <c r="O19" s="735"/>
      <c r="P19" s="735"/>
      <c r="Q19" s="735"/>
      <c r="R19" s="735"/>
      <c r="S19" s="735"/>
      <c r="T19" s="735"/>
      <c r="U19" s="735"/>
      <c r="V19" s="452"/>
    </row>
    <row r="20" spans="1:22">
      <c r="A20" s="442">
        <v>2.5</v>
      </c>
      <c r="B20" s="471" t="s">
        <v>780</v>
      </c>
      <c r="C20" s="736">
        <v>24672265.466800001</v>
      </c>
      <c r="D20" s="735">
        <v>24672265.466800001</v>
      </c>
      <c r="E20" s="735"/>
      <c r="F20" s="735"/>
      <c r="G20" s="735"/>
      <c r="H20" s="735"/>
      <c r="I20" s="735"/>
      <c r="J20" s="735"/>
      <c r="K20" s="735"/>
      <c r="L20" s="735"/>
      <c r="M20" s="735"/>
      <c r="N20" s="735"/>
      <c r="O20" s="735"/>
      <c r="P20" s="735"/>
      <c r="Q20" s="735"/>
      <c r="R20" s="735"/>
      <c r="S20" s="735"/>
      <c r="T20" s="735"/>
      <c r="U20" s="735"/>
      <c r="V20" s="452"/>
    </row>
    <row r="21" spans="1:22">
      <c r="A21" s="442">
        <v>2.6</v>
      </c>
      <c r="B21" s="471" t="s">
        <v>781</v>
      </c>
      <c r="C21" s="736">
        <v>0</v>
      </c>
      <c r="D21" s="735"/>
      <c r="E21" s="735"/>
      <c r="F21" s="735"/>
      <c r="G21" s="735"/>
      <c r="H21" s="735"/>
      <c r="I21" s="735"/>
      <c r="J21" s="735"/>
      <c r="K21" s="735"/>
      <c r="L21" s="735"/>
      <c r="M21" s="735"/>
      <c r="N21" s="735"/>
      <c r="O21" s="735"/>
      <c r="P21" s="735"/>
      <c r="Q21" s="735"/>
      <c r="R21" s="735"/>
      <c r="S21" s="735"/>
      <c r="T21" s="735"/>
      <c r="U21" s="735"/>
      <c r="V21" s="452"/>
    </row>
    <row r="22" spans="1:22" ht="13.5">
      <c r="A22" s="470">
        <v>3</v>
      </c>
      <c r="B22" s="434" t="s">
        <v>783</v>
      </c>
      <c r="C22" s="734">
        <v>2292673810.4329348</v>
      </c>
      <c r="D22" s="735">
        <v>1589008386.5149527</v>
      </c>
      <c r="E22" s="401"/>
      <c r="F22" s="401"/>
      <c r="G22" s="735">
        <v>1786423.1495999999</v>
      </c>
      <c r="H22" s="401"/>
      <c r="I22" s="401"/>
      <c r="J22" s="401"/>
      <c r="K22" s="401"/>
      <c r="L22" s="735">
        <v>32776634.149782002</v>
      </c>
      <c r="M22" s="401"/>
      <c r="N22" s="401"/>
      <c r="O22" s="401"/>
      <c r="P22" s="401"/>
      <c r="Q22" s="401"/>
      <c r="R22" s="401"/>
      <c r="S22" s="401"/>
      <c r="T22" s="401"/>
      <c r="U22" s="735">
        <v>270793.78000000003</v>
      </c>
      <c r="V22" s="452"/>
    </row>
    <row r="23" spans="1:22" ht="13.5">
      <c r="A23" s="442">
        <v>3.1</v>
      </c>
      <c r="B23" s="471" t="s">
        <v>776</v>
      </c>
      <c r="C23" s="736">
        <v>0</v>
      </c>
      <c r="D23" s="735"/>
      <c r="E23" s="401"/>
      <c r="F23" s="401"/>
      <c r="G23" s="735"/>
      <c r="H23" s="401"/>
      <c r="I23" s="401"/>
      <c r="J23" s="401"/>
      <c r="K23" s="401"/>
      <c r="L23" s="735"/>
      <c r="M23" s="401"/>
      <c r="N23" s="401"/>
      <c r="O23" s="401"/>
      <c r="P23" s="401"/>
      <c r="Q23" s="401"/>
      <c r="R23" s="401"/>
      <c r="S23" s="401"/>
      <c r="T23" s="401"/>
      <c r="U23" s="735"/>
      <c r="V23" s="452"/>
    </row>
    <row r="24" spans="1:22" ht="13.5">
      <c r="A24" s="442">
        <v>3.2</v>
      </c>
      <c r="B24" s="471" t="s">
        <v>777</v>
      </c>
      <c r="C24" s="736">
        <v>1245147</v>
      </c>
      <c r="D24" s="735">
        <v>1245147</v>
      </c>
      <c r="E24" s="401"/>
      <c r="F24" s="401"/>
      <c r="G24" s="735">
        <v>0</v>
      </c>
      <c r="H24" s="401"/>
      <c r="I24" s="401"/>
      <c r="J24" s="401"/>
      <c r="K24" s="401"/>
      <c r="L24" s="735">
        <v>0</v>
      </c>
      <c r="M24" s="401"/>
      <c r="N24" s="401"/>
      <c r="O24" s="401"/>
      <c r="P24" s="401"/>
      <c r="Q24" s="401"/>
      <c r="R24" s="401"/>
      <c r="S24" s="401"/>
      <c r="T24" s="401"/>
      <c r="U24" s="735">
        <v>0</v>
      </c>
      <c r="V24" s="452"/>
    </row>
    <row r="25" spans="1:22" ht="13.5">
      <c r="A25" s="442">
        <v>3.3</v>
      </c>
      <c r="B25" s="471" t="s">
        <v>778</v>
      </c>
      <c r="C25" s="736">
        <v>0</v>
      </c>
      <c r="D25" s="735"/>
      <c r="E25" s="401"/>
      <c r="F25" s="401"/>
      <c r="G25" s="735"/>
      <c r="H25" s="401"/>
      <c r="I25" s="401"/>
      <c r="J25" s="401"/>
      <c r="K25" s="401"/>
      <c r="L25" s="735"/>
      <c r="M25" s="401"/>
      <c r="N25" s="401"/>
      <c r="O25" s="401"/>
      <c r="P25" s="401"/>
      <c r="Q25" s="401"/>
      <c r="R25" s="401"/>
      <c r="S25" s="401"/>
      <c r="T25" s="401"/>
      <c r="U25" s="735"/>
      <c r="V25" s="452"/>
    </row>
    <row r="26" spans="1:22" ht="13.5">
      <c r="A26" s="442">
        <v>3.4</v>
      </c>
      <c r="B26" s="471" t="s">
        <v>779</v>
      </c>
      <c r="C26" s="736">
        <v>16093943.8169</v>
      </c>
      <c r="D26" s="735">
        <v>606065.82999999996</v>
      </c>
      <c r="E26" s="401"/>
      <c r="F26" s="401"/>
      <c r="G26" s="735">
        <v>0</v>
      </c>
      <c r="H26" s="401"/>
      <c r="I26" s="401"/>
      <c r="J26" s="401"/>
      <c r="K26" s="401"/>
      <c r="L26" s="735">
        <v>0</v>
      </c>
      <c r="M26" s="401"/>
      <c r="N26" s="401"/>
      <c r="O26" s="401"/>
      <c r="P26" s="401"/>
      <c r="Q26" s="401"/>
      <c r="R26" s="401"/>
      <c r="S26" s="401"/>
      <c r="T26" s="401"/>
      <c r="U26" s="735">
        <v>0</v>
      </c>
      <c r="V26" s="452"/>
    </row>
    <row r="27" spans="1:22" ht="13.5">
      <c r="A27" s="442">
        <v>3.5</v>
      </c>
      <c r="B27" s="471" t="s">
        <v>780</v>
      </c>
      <c r="C27" s="736">
        <v>2021722006.6967299</v>
      </c>
      <c r="D27" s="735">
        <v>1562396079.8149529</v>
      </c>
      <c r="E27" s="401"/>
      <c r="F27" s="401"/>
      <c r="G27" s="735">
        <v>1786423.1495999999</v>
      </c>
      <c r="H27" s="401"/>
      <c r="I27" s="401"/>
      <c r="J27" s="401"/>
      <c r="K27" s="401"/>
      <c r="L27" s="735">
        <v>32776634.149782002</v>
      </c>
      <c r="M27" s="401"/>
      <c r="N27" s="401"/>
      <c r="O27" s="401"/>
      <c r="P27" s="401"/>
      <c r="Q27" s="401"/>
      <c r="R27" s="401"/>
      <c r="S27" s="401"/>
      <c r="T27" s="401"/>
      <c r="U27" s="735">
        <v>270793.78000000003</v>
      </c>
      <c r="V27" s="452"/>
    </row>
    <row r="28" spans="1:22" ht="13.5">
      <c r="A28" s="442">
        <v>3.6</v>
      </c>
      <c r="B28" s="471" t="s">
        <v>781</v>
      </c>
      <c r="C28" s="736">
        <v>253612712.91930497</v>
      </c>
      <c r="D28" s="735">
        <v>24761093.870000001</v>
      </c>
      <c r="E28" s="401"/>
      <c r="F28" s="401"/>
      <c r="G28" s="735">
        <v>0</v>
      </c>
      <c r="H28" s="401"/>
      <c r="I28" s="401"/>
      <c r="J28" s="401"/>
      <c r="K28" s="401"/>
      <c r="L28" s="735">
        <v>0</v>
      </c>
      <c r="M28" s="401"/>
      <c r="N28" s="401"/>
      <c r="O28" s="401"/>
      <c r="P28" s="401"/>
      <c r="Q28" s="401"/>
      <c r="R28" s="401"/>
      <c r="S28" s="401"/>
      <c r="T28" s="401"/>
      <c r="U28" s="735">
        <v>0</v>
      </c>
      <c r="V28" s="452"/>
    </row>
    <row r="30" spans="1:22">
      <c r="C30" s="427"/>
      <c r="D30" s="427"/>
      <c r="E30" s="427"/>
      <c r="F30" s="427"/>
      <c r="G30" s="427"/>
      <c r="H30" s="427"/>
      <c r="I30" s="427"/>
      <c r="J30" s="427"/>
      <c r="K30" s="427"/>
      <c r="L30" s="427"/>
      <c r="M30" s="427"/>
      <c r="N30" s="427"/>
      <c r="O30" s="427"/>
      <c r="P30" s="427"/>
      <c r="Q30" s="427"/>
      <c r="R30" s="427"/>
      <c r="S30" s="427"/>
      <c r="T30" s="427"/>
      <c r="U30" s="427"/>
    </row>
    <row r="31" spans="1:22" s="673" customFormat="1" ht="15"/>
    <row r="32" spans="1:22" s="673" customFormat="1" ht="15"/>
    <row r="33" spans="3:21" s="673" customFormat="1" ht="15"/>
    <row r="34" spans="3:21" s="673" customFormat="1" ht="15"/>
    <row r="35" spans="3:21" s="673" customFormat="1" ht="15">
      <c r="C35" s="616"/>
    </row>
    <row r="36" spans="3:21">
      <c r="C36" s="427"/>
      <c r="D36" s="427"/>
      <c r="E36" s="427"/>
      <c r="F36" s="427"/>
      <c r="G36" s="427"/>
      <c r="H36" s="427"/>
      <c r="I36" s="427"/>
      <c r="J36" s="427"/>
      <c r="K36" s="427"/>
      <c r="L36" s="427"/>
      <c r="M36" s="427"/>
      <c r="N36" s="427"/>
      <c r="O36" s="427"/>
      <c r="P36" s="427"/>
      <c r="Q36" s="427"/>
      <c r="R36" s="427"/>
      <c r="S36" s="427"/>
      <c r="T36" s="427"/>
      <c r="U36" s="427"/>
    </row>
    <row r="37" spans="3:21">
      <c r="C37" s="427"/>
      <c r="D37" s="427"/>
      <c r="E37" s="427"/>
      <c r="F37" s="427"/>
      <c r="G37" s="427"/>
      <c r="H37" s="427"/>
      <c r="I37" s="427"/>
      <c r="J37" s="427"/>
      <c r="K37" s="427"/>
      <c r="L37" s="427"/>
      <c r="M37" s="427"/>
      <c r="N37" s="427"/>
      <c r="O37" s="427"/>
      <c r="P37" s="427"/>
      <c r="Q37" s="427"/>
      <c r="R37" s="427"/>
      <c r="S37" s="427"/>
      <c r="T37" s="427"/>
      <c r="U37" s="427"/>
    </row>
    <row r="38" spans="3:21">
      <c r="C38" s="427"/>
      <c r="D38" s="427"/>
      <c r="E38" s="427"/>
      <c r="F38" s="427"/>
      <c r="G38" s="427"/>
      <c r="H38" s="427"/>
      <c r="I38" s="427"/>
      <c r="J38" s="427"/>
      <c r="K38" s="427"/>
      <c r="L38" s="427"/>
      <c r="M38" s="427"/>
      <c r="N38" s="427"/>
      <c r="O38" s="427"/>
      <c r="P38" s="427"/>
      <c r="Q38" s="427"/>
      <c r="R38" s="427"/>
      <c r="S38" s="427"/>
      <c r="T38" s="427"/>
      <c r="U38" s="427"/>
    </row>
    <row r="39" spans="3:21">
      <c r="C39" s="427"/>
      <c r="D39" s="427"/>
      <c r="E39" s="427"/>
      <c r="F39" s="427"/>
      <c r="G39" s="427"/>
      <c r="H39" s="427"/>
      <c r="I39" s="427"/>
      <c r="J39" s="427"/>
      <c r="K39" s="427"/>
      <c r="L39" s="427"/>
      <c r="M39" s="427"/>
      <c r="N39" s="427"/>
      <c r="O39" s="427"/>
      <c r="P39" s="427"/>
      <c r="Q39" s="427"/>
      <c r="R39" s="427"/>
      <c r="S39" s="427"/>
      <c r="T39" s="427"/>
      <c r="U39" s="427"/>
    </row>
    <row r="40" spans="3:21">
      <c r="C40" s="427"/>
      <c r="D40" s="427"/>
      <c r="E40" s="427"/>
      <c r="F40" s="427"/>
      <c r="G40" s="427"/>
      <c r="H40" s="427"/>
      <c r="I40" s="427"/>
      <c r="J40" s="427"/>
      <c r="K40" s="427"/>
      <c r="L40" s="427"/>
      <c r="M40" s="427"/>
      <c r="N40" s="427"/>
      <c r="O40" s="427"/>
      <c r="P40" s="427"/>
      <c r="Q40" s="427"/>
      <c r="R40" s="427"/>
      <c r="S40" s="427"/>
      <c r="T40" s="427"/>
      <c r="U40" s="427"/>
    </row>
    <row r="41" spans="3:21">
      <c r="C41" s="427"/>
      <c r="D41" s="427"/>
      <c r="E41" s="427"/>
      <c r="F41" s="427"/>
      <c r="G41" s="427"/>
      <c r="H41" s="427"/>
      <c r="I41" s="427"/>
      <c r="J41" s="427"/>
      <c r="K41" s="427"/>
      <c r="L41" s="427"/>
      <c r="M41" s="427"/>
      <c r="N41" s="427"/>
      <c r="O41" s="427"/>
      <c r="P41" s="427"/>
      <c r="Q41" s="427"/>
      <c r="R41" s="427"/>
      <c r="S41" s="427"/>
      <c r="T41" s="427"/>
      <c r="U41" s="427"/>
    </row>
    <row r="42" spans="3:21">
      <c r="C42" s="427"/>
      <c r="D42" s="427"/>
      <c r="E42" s="427"/>
      <c r="F42" s="427"/>
      <c r="G42" s="427"/>
      <c r="H42" s="427"/>
      <c r="I42" s="427"/>
      <c r="J42" s="427"/>
      <c r="K42" s="427"/>
      <c r="L42" s="427"/>
      <c r="M42" s="427"/>
      <c r="N42" s="427"/>
      <c r="O42" s="427"/>
      <c r="P42" s="427"/>
      <c r="Q42" s="427"/>
      <c r="R42" s="427"/>
      <c r="S42" s="427"/>
      <c r="T42" s="427"/>
      <c r="U42" s="427"/>
    </row>
    <row r="43" spans="3:21">
      <c r="C43" s="427"/>
      <c r="D43" s="427"/>
      <c r="E43" s="427"/>
      <c r="F43" s="427"/>
      <c r="G43" s="427"/>
      <c r="H43" s="427"/>
      <c r="I43" s="427"/>
      <c r="J43" s="427"/>
      <c r="K43" s="427"/>
      <c r="L43" s="427"/>
      <c r="M43" s="427"/>
      <c r="N43" s="427"/>
      <c r="O43" s="427"/>
      <c r="P43" s="427"/>
      <c r="Q43" s="427"/>
      <c r="R43" s="427"/>
      <c r="S43" s="427"/>
      <c r="T43" s="427"/>
      <c r="U43" s="42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23"/>
  <sheetViews>
    <sheetView showGridLines="0" zoomScaleNormal="100" workbookViewId="0"/>
  </sheetViews>
  <sheetFormatPr defaultColWidth="9.140625" defaultRowHeight="12.75"/>
  <cols>
    <col min="1" max="1" width="11.85546875" style="427" bestFit="1" customWidth="1"/>
    <col min="2" max="2" width="90.28515625" style="427" bestFit="1" customWidth="1"/>
    <col min="3" max="3" width="20.140625" style="427" customWidth="1"/>
    <col min="4" max="4" width="22.28515625" style="427" customWidth="1"/>
    <col min="5" max="5" width="17.140625" style="427" customWidth="1"/>
    <col min="6" max="7" width="22.28515625" style="427" customWidth="1"/>
    <col min="8" max="8" width="17.140625" style="427" customWidth="1"/>
    <col min="9" max="14" width="22.28515625" style="427" customWidth="1"/>
    <col min="15" max="15" width="23.28515625" style="427" bestFit="1" customWidth="1"/>
    <col min="16" max="16" width="21.7109375" style="427" bestFit="1" customWidth="1"/>
    <col min="17" max="19" width="19" style="427" bestFit="1" customWidth="1"/>
    <col min="20" max="20" width="15.42578125" style="427" customWidth="1"/>
    <col min="21" max="21" width="20" style="427" customWidth="1"/>
    <col min="22" max="16384" width="9.140625" style="427"/>
  </cols>
  <sheetData>
    <row r="1" spans="1:21">
      <c r="A1" s="426" t="s">
        <v>188</v>
      </c>
    </row>
    <row r="2" spans="1:21">
      <c r="A2" s="428" t="s">
        <v>189</v>
      </c>
    </row>
    <row r="3" spans="1:21">
      <c r="A3" s="429" t="s">
        <v>784</v>
      </c>
      <c r="B3" s="430">
        <f>'1. key ratios'!B2</f>
        <v>44377</v>
      </c>
      <c r="C3" s="430"/>
      <c r="H3" s="427">
        <v>0</v>
      </c>
    </row>
    <row r="4" spans="1:21">
      <c r="A4" s="429"/>
      <c r="B4" s="430"/>
      <c r="C4" s="430"/>
    </row>
    <row r="5" spans="1:21" s="450" customFormat="1" ht="13.5" customHeight="1">
      <c r="A5" s="829" t="s">
        <v>785</v>
      </c>
      <c r="B5" s="830"/>
      <c r="C5" s="835" t="s">
        <v>786</v>
      </c>
      <c r="D5" s="836"/>
      <c r="E5" s="836"/>
      <c r="F5" s="836"/>
      <c r="G5" s="836"/>
      <c r="H5" s="836"/>
      <c r="I5" s="836"/>
      <c r="J5" s="836"/>
      <c r="K5" s="836"/>
      <c r="L5" s="836"/>
      <c r="M5" s="836"/>
      <c r="N5" s="836"/>
      <c r="O5" s="836"/>
      <c r="P5" s="836"/>
      <c r="Q5" s="836"/>
      <c r="R5" s="836"/>
      <c r="S5" s="836"/>
      <c r="T5" s="837"/>
      <c r="U5" s="545"/>
    </row>
    <row r="6" spans="1:21" s="450" customFormat="1">
      <c r="A6" s="831"/>
      <c r="B6" s="832"/>
      <c r="C6" s="813" t="s">
        <v>68</v>
      </c>
      <c r="D6" s="835" t="s">
        <v>787</v>
      </c>
      <c r="E6" s="836"/>
      <c r="F6" s="837"/>
      <c r="G6" s="835" t="s">
        <v>788</v>
      </c>
      <c r="H6" s="836"/>
      <c r="I6" s="836"/>
      <c r="J6" s="836"/>
      <c r="K6" s="837"/>
      <c r="L6" s="838" t="s">
        <v>789</v>
      </c>
      <c r="M6" s="839"/>
      <c r="N6" s="839"/>
      <c r="O6" s="839"/>
      <c r="P6" s="839"/>
      <c r="Q6" s="839"/>
      <c r="R6" s="839"/>
      <c r="S6" s="839"/>
      <c r="T6" s="840"/>
      <c r="U6" s="539"/>
    </row>
    <row r="7" spans="1:21" s="450" customFormat="1" ht="25.5">
      <c r="A7" s="833"/>
      <c r="B7" s="834"/>
      <c r="C7" s="813"/>
      <c r="E7" s="486" t="s">
        <v>763</v>
      </c>
      <c r="F7" s="544" t="s">
        <v>764</v>
      </c>
      <c r="H7" s="486" t="s">
        <v>763</v>
      </c>
      <c r="I7" s="544" t="s">
        <v>790</v>
      </c>
      <c r="J7" s="544" t="s">
        <v>765</v>
      </c>
      <c r="K7" s="544" t="s">
        <v>766</v>
      </c>
      <c r="L7" s="546"/>
      <c r="M7" s="486" t="s">
        <v>767</v>
      </c>
      <c r="N7" s="544" t="s">
        <v>765</v>
      </c>
      <c r="O7" s="544" t="s">
        <v>768</v>
      </c>
      <c r="P7" s="544" t="s">
        <v>769</v>
      </c>
      <c r="Q7" s="544" t="s">
        <v>770</v>
      </c>
      <c r="R7" s="544" t="s">
        <v>771</v>
      </c>
      <c r="S7" s="544" t="s">
        <v>772</v>
      </c>
      <c r="T7" s="547" t="s">
        <v>773</v>
      </c>
      <c r="U7" s="545"/>
    </row>
    <row r="8" spans="1:21" ht="15">
      <c r="A8" s="472">
        <v>1</v>
      </c>
      <c r="B8" s="466" t="s">
        <v>775</v>
      </c>
      <c r="C8" s="705">
        <f>D8+G8+L8</f>
        <v>13954607891.308456</v>
      </c>
      <c r="D8" s="614">
        <v>12302721123.490999</v>
      </c>
      <c r="E8" s="614">
        <v>103470817.92</v>
      </c>
      <c r="F8" s="614">
        <v>780376.10999877751</v>
      </c>
      <c r="G8" s="614">
        <v>788268401.07999992</v>
      </c>
      <c r="H8" s="614">
        <v>24413758.910000004</v>
      </c>
      <c r="I8" s="614">
        <v>10003704.220000003</v>
      </c>
      <c r="J8" s="614">
        <v>9250</v>
      </c>
      <c r="K8" s="614">
        <v>21500</v>
      </c>
      <c r="L8" s="614">
        <v>863618366.73745799</v>
      </c>
      <c r="M8" s="614">
        <v>58299876.710000008</v>
      </c>
      <c r="N8" s="614">
        <v>16042694.199999999</v>
      </c>
      <c r="O8" s="614">
        <v>72319154.799999997</v>
      </c>
      <c r="P8" s="614">
        <v>29173015.420000002</v>
      </c>
      <c r="Q8" s="614">
        <v>28463512.809999999</v>
      </c>
      <c r="R8" s="614">
        <v>29443270.350000013</v>
      </c>
      <c r="S8" s="614">
        <v>59647865.579999991</v>
      </c>
      <c r="T8" s="614">
        <v>1133729.6300000001</v>
      </c>
      <c r="U8" s="452"/>
    </row>
    <row r="9" spans="1:21" ht="15">
      <c r="A9" s="471">
        <v>1.1000000000000001</v>
      </c>
      <c r="B9" s="471" t="s">
        <v>791</v>
      </c>
      <c r="C9" s="705">
        <f t="shared" ref="C9:C22" si="0">D9+G9+L9</f>
        <v>11655127266.587458</v>
      </c>
      <c r="D9" s="614">
        <v>10127464963.219999</v>
      </c>
      <c r="E9" s="614">
        <v>69907963.859999999</v>
      </c>
      <c r="F9" s="614">
        <v>0</v>
      </c>
      <c r="G9" s="614">
        <v>738327370.76999998</v>
      </c>
      <c r="H9" s="614">
        <v>17574998.789999999</v>
      </c>
      <c r="I9" s="614">
        <v>4820991.3999999994</v>
      </c>
      <c r="J9" s="614">
        <v>0</v>
      </c>
      <c r="K9" s="614">
        <v>0</v>
      </c>
      <c r="L9" s="614">
        <v>789334932.59745812</v>
      </c>
      <c r="M9" s="614">
        <v>46611271.829999991</v>
      </c>
      <c r="N9" s="614">
        <v>9471498.0800000001</v>
      </c>
      <c r="O9" s="614">
        <v>61736262.039999999</v>
      </c>
      <c r="P9" s="614">
        <v>27994179.130000003</v>
      </c>
      <c r="Q9" s="614">
        <v>27306235.580000002</v>
      </c>
      <c r="R9" s="614">
        <v>27776412.32</v>
      </c>
      <c r="S9" s="614">
        <v>59117060.950000003</v>
      </c>
      <c r="T9" s="614">
        <v>0</v>
      </c>
      <c r="U9" s="452"/>
    </row>
    <row r="10" spans="1:21" ht="15">
      <c r="A10" s="473" t="s">
        <v>252</v>
      </c>
      <c r="B10" s="473" t="s">
        <v>792</v>
      </c>
      <c r="C10" s="705">
        <f t="shared" si="0"/>
        <v>11356064360.817459</v>
      </c>
      <c r="D10" s="614">
        <v>9840807228.75</v>
      </c>
      <c r="E10" s="614">
        <v>68799580.320000008</v>
      </c>
      <c r="F10" s="614">
        <v>0</v>
      </c>
      <c r="G10" s="614">
        <v>732688325.02999997</v>
      </c>
      <c r="H10" s="614">
        <v>17355459.120000001</v>
      </c>
      <c r="I10" s="614">
        <v>4623192.75</v>
      </c>
      <c r="J10" s="614">
        <v>0</v>
      </c>
      <c r="K10" s="614">
        <v>0</v>
      </c>
      <c r="L10" s="614">
        <v>782568807.03745794</v>
      </c>
      <c r="M10" s="614">
        <v>46201541.089999996</v>
      </c>
      <c r="N10" s="614">
        <v>8841348.8200000003</v>
      </c>
      <c r="O10" s="614">
        <v>60860369.82</v>
      </c>
      <c r="P10" s="614">
        <v>27994179.130000003</v>
      </c>
      <c r="Q10" s="614">
        <v>25726085.580000002</v>
      </c>
      <c r="R10" s="614">
        <v>27776412.32</v>
      </c>
      <c r="S10" s="614">
        <v>59117060.950000003</v>
      </c>
      <c r="T10" s="614">
        <v>0</v>
      </c>
      <c r="U10" s="452"/>
    </row>
    <row r="11" spans="1:21" ht="15">
      <c r="A11" s="474" t="s">
        <v>793</v>
      </c>
      <c r="B11" s="475" t="s">
        <v>794</v>
      </c>
      <c r="C11" s="705">
        <f t="shared" si="0"/>
        <v>5815012272.96</v>
      </c>
      <c r="D11" s="614">
        <v>5116207962.0199995</v>
      </c>
      <c r="E11" s="614">
        <v>48607716.730000004</v>
      </c>
      <c r="F11" s="614">
        <v>0</v>
      </c>
      <c r="G11" s="614">
        <v>351352028.35000002</v>
      </c>
      <c r="H11" s="614">
        <v>11389500.970000001</v>
      </c>
      <c r="I11" s="614">
        <v>2579824.21</v>
      </c>
      <c r="J11" s="614">
        <v>0</v>
      </c>
      <c r="K11" s="614">
        <v>0</v>
      </c>
      <c r="L11" s="614">
        <v>347452282.59000003</v>
      </c>
      <c r="M11" s="614">
        <v>21040732.129999999</v>
      </c>
      <c r="N11" s="614">
        <v>2807371.11</v>
      </c>
      <c r="O11" s="614">
        <v>15828096.1</v>
      </c>
      <c r="P11" s="614">
        <v>12275907.119999999</v>
      </c>
      <c r="Q11" s="614">
        <v>20014953.440000001</v>
      </c>
      <c r="R11" s="614">
        <v>13734208.77</v>
      </c>
      <c r="S11" s="614">
        <v>0</v>
      </c>
      <c r="T11" s="614">
        <v>0</v>
      </c>
      <c r="U11" s="452"/>
    </row>
    <row r="12" spans="1:21" ht="15">
      <c r="A12" s="474" t="s">
        <v>795</v>
      </c>
      <c r="B12" s="475" t="s">
        <v>796</v>
      </c>
      <c r="C12" s="705">
        <f t="shared" si="0"/>
        <v>1765200831.3774581</v>
      </c>
      <c r="D12" s="614">
        <v>1498534207.1500001</v>
      </c>
      <c r="E12" s="614">
        <v>10072414.57</v>
      </c>
      <c r="F12" s="614">
        <v>0</v>
      </c>
      <c r="G12" s="614">
        <v>126606021.45</v>
      </c>
      <c r="H12" s="614">
        <v>4567857.72</v>
      </c>
      <c r="I12" s="614">
        <v>1391720.11</v>
      </c>
      <c r="J12" s="614">
        <v>0</v>
      </c>
      <c r="K12" s="614">
        <v>0</v>
      </c>
      <c r="L12" s="614">
        <v>140060602.77745801</v>
      </c>
      <c r="M12" s="614">
        <v>10623541.199999999</v>
      </c>
      <c r="N12" s="614">
        <v>2776930.29</v>
      </c>
      <c r="O12" s="614">
        <v>6615685.2999999998</v>
      </c>
      <c r="P12" s="614">
        <v>2230765.29</v>
      </c>
      <c r="Q12" s="614">
        <v>2132925.12</v>
      </c>
      <c r="R12" s="614">
        <v>4089214.95</v>
      </c>
      <c r="S12" s="614">
        <v>0</v>
      </c>
      <c r="T12" s="614">
        <v>0</v>
      </c>
      <c r="U12" s="452"/>
    </row>
    <row r="13" spans="1:21" ht="15">
      <c r="A13" s="474" t="s">
        <v>797</v>
      </c>
      <c r="B13" s="475" t="s">
        <v>798</v>
      </c>
      <c r="C13" s="705">
        <f t="shared" si="0"/>
        <v>976564220.67000008</v>
      </c>
      <c r="D13" s="614">
        <v>732111428.09000003</v>
      </c>
      <c r="E13" s="614">
        <v>5279924.1100000003</v>
      </c>
      <c r="F13" s="614">
        <v>0</v>
      </c>
      <c r="G13" s="614">
        <v>61988507.350000009</v>
      </c>
      <c r="H13" s="614">
        <v>1141420.0900000001</v>
      </c>
      <c r="I13" s="614">
        <v>434912.88</v>
      </c>
      <c r="J13" s="614">
        <v>0</v>
      </c>
      <c r="K13" s="614">
        <v>0</v>
      </c>
      <c r="L13" s="614">
        <v>182464285.22999996</v>
      </c>
      <c r="M13" s="614">
        <v>7670008.8199999994</v>
      </c>
      <c r="N13" s="614">
        <v>1264348.8600000001</v>
      </c>
      <c r="O13" s="614">
        <v>32535929.489999998</v>
      </c>
      <c r="P13" s="614">
        <v>3088680.6</v>
      </c>
      <c r="Q13" s="614">
        <v>2285932.2599999998</v>
      </c>
      <c r="R13" s="614">
        <v>5735099.1799999997</v>
      </c>
      <c r="S13" s="614">
        <v>59117060.950000003</v>
      </c>
      <c r="T13" s="614">
        <v>0</v>
      </c>
      <c r="U13" s="452"/>
    </row>
    <row r="14" spans="1:21" ht="15">
      <c r="A14" s="474" t="s">
        <v>799</v>
      </c>
      <c r="B14" s="475" t="s">
        <v>800</v>
      </c>
      <c r="C14" s="705">
        <f t="shared" si="0"/>
        <v>2799287035.8099999</v>
      </c>
      <c r="D14" s="614">
        <v>2493953631.4899998</v>
      </c>
      <c r="E14" s="614">
        <v>4839524.91</v>
      </c>
      <c r="F14" s="614">
        <v>0</v>
      </c>
      <c r="G14" s="614">
        <v>192741767.88000003</v>
      </c>
      <c r="H14" s="614">
        <v>256680.34</v>
      </c>
      <c r="I14" s="614">
        <v>216735.55</v>
      </c>
      <c r="J14" s="614">
        <v>0</v>
      </c>
      <c r="K14" s="614">
        <v>0</v>
      </c>
      <c r="L14" s="614">
        <v>112591636.44</v>
      </c>
      <c r="M14" s="614">
        <v>6867258.9399999995</v>
      </c>
      <c r="N14" s="614">
        <v>1992698.56</v>
      </c>
      <c r="O14" s="614">
        <v>5880658.9299999997</v>
      </c>
      <c r="P14" s="614">
        <v>10398826.119999999</v>
      </c>
      <c r="Q14" s="614">
        <v>1292274.76</v>
      </c>
      <c r="R14" s="614">
        <v>4217889.42</v>
      </c>
      <c r="S14" s="614">
        <v>0</v>
      </c>
      <c r="T14" s="614">
        <v>0</v>
      </c>
      <c r="U14" s="452"/>
    </row>
    <row r="15" spans="1:21" ht="15">
      <c r="A15" s="476">
        <v>1.2</v>
      </c>
      <c r="B15" s="477" t="s">
        <v>801</v>
      </c>
      <c r="C15" s="705">
        <f t="shared" si="0"/>
        <v>538829812.65292573</v>
      </c>
      <c r="D15" s="614">
        <v>199819433.56034207</v>
      </c>
      <c r="E15" s="614">
        <v>1385970.3708000001</v>
      </c>
      <c r="F15" s="614">
        <v>0</v>
      </c>
      <c r="G15" s="614">
        <v>73832739.213726699</v>
      </c>
      <c r="H15" s="614">
        <v>1757500.067</v>
      </c>
      <c r="I15" s="614">
        <v>482099.20999999996</v>
      </c>
      <c r="J15" s="614">
        <v>0</v>
      </c>
      <c r="K15" s="614">
        <v>0</v>
      </c>
      <c r="L15" s="614">
        <v>265177639.8788569</v>
      </c>
      <c r="M15" s="614">
        <v>14332905.592999998</v>
      </c>
      <c r="N15" s="614">
        <v>3113738.2340000002</v>
      </c>
      <c r="O15" s="614">
        <v>20408229.952000003</v>
      </c>
      <c r="P15" s="614">
        <v>9006018.3100000005</v>
      </c>
      <c r="Q15" s="614">
        <v>9746669.0300000012</v>
      </c>
      <c r="R15" s="614">
        <v>24359326.539999999</v>
      </c>
      <c r="S15" s="614">
        <v>17735118.289999999</v>
      </c>
      <c r="T15" s="614">
        <v>0</v>
      </c>
      <c r="U15" s="452"/>
    </row>
    <row r="16" spans="1:21" ht="15">
      <c r="A16" s="478">
        <v>1.3</v>
      </c>
      <c r="B16" s="477" t="s">
        <v>802</v>
      </c>
      <c r="C16" s="479"/>
      <c r="D16" s="706"/>
      <c r="E16" s="706"/>
      <c r="F16" s="706"/>
      <c r="G16" s="706"/>
      <c r="H16" s="706"/>
      <c r="I16" s="706"/>
      <c r="J16" s="706"/>
      <c r="K16" s="706"/>
      <c r="L16" s="706"/>
      <c r="M16" s="706"/>
      <c r="N16" s="706"/>
      <c r="O16" s="706"/>
      <c r="P16" s="706"/>
      <c r="Q16" s="706"/>
      <c r="R16" s="706"/>
      <c r="S16" s="706"/>
      <c r="T16" s="706"/>
      <c r="U16" s="452"/>
    </row>
    <row r="17" spans="1:21" s="450" customFormat="1" ht="25.5">
      <c r="A17" s="480" t="s">
        <v>803</v>
      </c>
      <c r="B17" s="481" t="s">
        <v>804</v>
      </c>
      <c r="C17" s="705">
        <f t="shared" si="0"/>
        <v>10854976778.361059</v>
      </c>
      <c r="D17" s="707">
        <v>9387993709.966301</v>
      </c>
      <c r="E17" s="707">
        <v>68488071.356400013</v>
      </c>
      <c r="F17" s="707">
        <v>0</v>
      </c>
      <c r="G17" s="707">
        <v>700626228.98549998</v>
      </c>
      <c r="H17" s="707">
        <v>17488364.783</v>
      </c>
      <c r="I17" s="707">
        <v>4768105.25</v>
      </c>
      <c r="J17" s="707">
        <v>0</v>
      </c>
      <c r="K17" s="707">
        <v>0</v>
      </c>
      <c r="L17" s="707">
        <v>766356839.40925801</v>
      </c>
      <c r="M17" s="707">
        <v>45306884.342900001</v>
      </c>
      <c r="N17" s="707">
        <v>8877617.2263999991</v>
      </c>
      <c r="O17" s="707">
        <v>60300139.135499999</v>
      </c>
      <c r="P17" s="707">
        <v>27172359.885799997</v>
      </c>
      <c r="Q17" s="707">
        <v>26665245.3979</v>
      </c>
      <c r="R17" s="707">
        <v>26624820.147399999</v>
      </c>
      <c r="S17" s="707">
        <v>59117060.950000003</v>
      </c>
      <c r="T17" s="707">
        <v>0</v>
      </c>
      <c r="U17" s="456"/>
    </row>
    <row r="18" spans="1:21" s="450" customFormat="1" ht="26.25">
      <c r="A18" s="482" t="s">
        <v>805</v>
      </c>
      <c r="B18" s="482" t="s">
        <v>806</v>
      </c>
      <c r="C18" s="705">
        <f t="shared" si="0"/>
        <v>10188274090.132172</v>
      </c>
      <c r="D18" s="707">
        <v>8776305436.0048599</v>
      </c>
      <c r="E18" s="707">
        <v>67236668.070000008</v>
      </c>
      <c r="F18" s="707">
        <v>0</v>
      </c>
      <c r="G18" s="707">
        <v>670828995.47793698</v>
      </c>
      <c r="H18" s="707">
        <v>17273489.789999999</v>
      </c>
      <c r="I18" s="707">
        <v>4570306.6000000006</v>
      </c>
      <c r="J18" s="707">
        <v>0</v>
      </c>
      <c r="K18" s="707">
        <v>0</v>
      </c>
      <c r="L18" s="707">
        <v>741139658.64937401</v>
      </c>
      <c r="M18" s="707">
        <v>44831647.829999998</v>
      </c>
      <c r="N18" s="707">
        <v>8247467.9700000007</v>
      </c>
      <c r="O18" s="707">
        <v>58627464.00999999</v>
      </c>
      <c r="P18" s="707">
        <v>27125944.119999997</v>
      </c>
      <c r="Q18" s="707">
        <v>25085095.390000001</v>
      </c>
      <c r="R18" s="707">
        <v>26622945.25</v>
      </c>
      <c r="S18" s="707">
        <v>59117060.950000003</v>
      </c>
      <c r="T18" s="707">
        <v>0</v>
      </c>
      <c r="U18" s="456"/>
    </row>
    <row r="19" spans="1:21" s="450" customFormat="1" ht="15">
      <c r="A19" s="480" t="s">
        <v>807</v>
      </c>
      <c r="B19" s="483" t="s">
        <v>808</v>
      </c>
      <c r="C19" s="705">
        <f t="shared" si="0"/>
        <v>11884335839.602142</v>
      </c>
      <c r="D19" s="707">
        <v>10625945385.5933</v>
      </c>
      <c r="E19" s="707">
        <v>79090079.99000001</v>
      </c>
      <c r="F19" s="707">
        <v>0</v>
      </c>
      <c r="G19" s="707">
        <v>618330961.1221</v>
      </c>
      <c r="H19" s="707">
        <v>24542378.404799998</v>
      </c>
      <c r="I19" s="707">
        <v>6122555.8594999993</v>
      </c>
      <c r="J19" s="707">
        <v>0</v>
      </c>
      <c r="K19" s="707">
        <v>0</v>
      </c>
      <c r="L19" s="707">
        <v>640059492.88674247</v>
      </c>
      <c r="M19" s="707">
        <v>42385852.119600005</v>
      </c>
      <c r="N19" s="707">
        <v>6970493.5623000003</v>
      </c>
      <c r="O19" s="707">
        <v>24271243.0374</v>
      </c>
      <c r="P19" s="707">
        <v>20422454.752900001</v>
      </c>
      <c r="Q19" s="707">
        <v>74909095.463499993</v>
      </c>
      <c r="R19" s="707">
        <v>26914103.026699997</v>
      </c>
      <c r="S19" s="707">
        <v>9435189.2917999998</v>
      </c>
      <c r="T19" s="707">
        <v>0</v>
      </c>
      <c r="U19" s="456"/>
    </row>
    <row r="20" spans="1:21" s="450" customFormat="1" ht="15">
      <c r="A20" s="482" t="s">
        <v>809</v>
      </c>
      <c r="B20" s="482" t="s">
        <v>810</v>
      </c>
      <c r="C20" s="705">
        <f t="shared" si="0"/>
        <v>10696670584.115797</v>
      </c>
      <c r="D20" s="707">
        <v>9547281940.2250633</v>
      </c>
      <c r="E20" s="707">
        <v>76552160.339999989</v>
      </c>
      <c r="F20" s="707">
        <v>0</v>
      </c>
      <c r="G20" s="707">
        <v>574608212.13999987</v>
      </c>
      <c r="H20" s="707">
        <v>24068700.280000001</v>
      </c>
      <c r="I20" s="707">
        <v>5953939.7599999998</v>
      </c>
      <c r="J20" s="707">
        <v>0</v>
      </c>
      <c r="K20" s="707">
        <v>0</v>
      </c>
      <c r="L20" s="707">
        <v>574780431.75073349</v>
      </c>
      <c r="M20" s="707">
        <v>40932106.740000002</v>
      </c>
      <c r="N20" s="707">
        <v>6746576.9500000002</v>
      </c>
      <c r="O20" s="707">
        <v>23680218.490000002</v>
      </c>
      <c r="P20" s="707">
        <v>19423238.5</v>
      </c>
      <c r="Q20" s="707">
        <v>68850585.510000005</v>
      </c>
      <c r="R20" s="707">
        <v>26229859.869999997</v>
      </c>
      <c r="S20" s="707">
        <v>174412.29</v>
      </c>
      <c r="T20" s="707">
        <v>0</v>
      </c>
      <c r="U20" s="456"/>
    </row>
    <row r="21" spans="1:21" s="450" customFormat="1" ht="15">
      <c r="A21" s="484">
        <v>1.4</v>
      </c>
      <c r="B21" s="526" t="s">
        <v>943</v>
      </c>
      <c r="C21" s="705">
        <f t="shared" si="0"/>
        <v>42664024.209199995</v>
      </c>
      <c r="D21" s="707">
        <v>42076043.047699995</v>
      </c>
      <c r="E21" s="707">
        <v>99033.049999999988</v>
      </c>
      <c r="F21" s="707">
        <v>0</v>
      </c>
      <c r="G21" s="707">
        <v>109742.33</v>
      </c>
      <c r="H21" s="707">
        <v>36215.18</v>
      </c>
      <c r="I21" s="707">
        <v>18562.98</v>
      </c>
      <c r="J21" s="707">
        <v>0</v>
      </c>
      <c r="K21" s="707">
        <v>0</v>
      </c>
      <c r="L21" s="707">
        <v>478238.83149999997</v>
      </c>
      <c r="M21" s="707">
        <v>19838.95</v>
      </c>
      <c r="N21" s="707">
        <v>0</v>
      </c>
      <c r="O21" s="707">
        <v>0</v>
      </c>
      <c r="P21" s="707">
        <v>0</v>
      </c>
      <c r="Q21" s="707">
        <v>0</v>
      </c>
      <c r="R21" s="707">
        <v>0</v>
      </c>
      <c r="S21" s="707">
        <v>0</v>
      </c>
      <c r="T21" s="707">
        <v>0</v>
      </c>
      <c r="U21" s="456"/>
    </row>
    <row r="22" spans="1:21" s="450" customFormat="1" ht="15">
      <c r="A22" s="484">
        <v>1.5</v>
      </c>
      <c r="B22" s="526" t="s">
        <v>944</v>
      </c>
      <c r="C22" s="705">
        <f t="shared" si="0"/>
        <v>30127130.517299999</v>
      </c>
      <c r="D22" s="707">
        <v>30127130.517299999</v>
      </c>
      <c r="E22" s="707">
        <v>0</v>
      </c>
      <c r="F22" s="707">
        <v>0</v>
      </c>
      <c r="G22" s="707">
        <v>0</v>
      </c>
      <c r="H22" s="707">
        <v>0</v>
      </c>
      <c r="I22" s="707">
        <v>0</v>
      </c>
      <c r="J22" s="707">
        <v>0</v>
      </c>
      <c r="K22" s="707">
        <v>0</v>
      </c>
      <c r="L22" s="707">
        <v>0</v>
      </c>
      <c r="M22" s="707">
        <v>0</v>
      </c>
      <c r="N22" s="707">
        <v>0</v>
      </c>
      <c r="O22" s="707">
        <v>0</v>
      </c>
      <c r="P22" s="707">
        <v>0</v>
      </c>
      <c r="Q22" s="707">
        <v>0</v>
      </c>
      <c r="R22" s="707">
        <v>0</v>
      </c>
      <c r="S22" s="707">
        <v>0</v>
      </c>
      <c r="T22" s="707">
        <v>0</v>
      </c>
      <c r="U22" s="456"/>
    </row>
    <row r="23" spans="1:21">
      <c r="F23" s="427">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41"/>
  <sheetViews>
    <sheetView showGridLines="0" zoomScaleNormal="100" workbookViewId="0"/>
  </sheetViews>
  <sheetFormatPr defaultColWidth="9.140625" defaultRowHeight="12.75"/>
  <cols>
    <col min="1" max="1" width="11.85546875" style="427" bestFit="1" customWidth="1"/>
    <col min="2" max="2" width="93.42578125" style="427" customWidth="1"/>
    <col min="3" max="3" width="14.5703125" style="427" customWidth="1"/>
    <col min="4" max="4" width="14.85546875" style="427" bestFit="1" customWidth="1"/>
    <col min="5" max="5" width="13.85546875" style="427" bestFit="1" customWidth="1"/>
    <col min="6" max="6" width="18" style="489" bestFit="1" customWidth="1"/>
    <col min="7" max="7" width="9.5703125" style="489" bestFit="1" customWidth="1"/>
    <col min="8" max="9" width="9.5703125" style="427" bestFit="1" customWidth="1"/>
    <col min="10" max="10" width="14.85546875" style="489" bestFit="1" customWidth="1"/>
    <col min="11" max="11" width="13.85546875" style="489" bestFit="1" customWidth="1"/>
    <col min="12" max="12" width="18" style="489" bestFit="1" customWidth="1"/>
    <col min="13" max="13" width="8.7109375" style="489" bestFit="1" customWidth="1"/>
    <col min="14" max="14" width="9.5703125" style="489" bestFit="1" customWidth="1"/>
    <col min="15" max="15" width="19" style="427" bestFit="1" customWidth="1"/>
    <col min="16" max="16384" width="9.140625" style="427"/>
  </cols>
  <sheetData>
    <row r="1" spans="1:15">
      <c r="A1" s="426" t="s">
        <v>188</v>
      </c>
      <c r="F1" s="427"/>
      <c r="G1" s="427"/>
      <c r="J1" s="427"/>
      <c r="K1" s="427"/>
      <c r="L1" s="427"/>
      <c r="M1" s="427"/>
      <c r="N1" s="427"/>
    </row>
    <row r="2" spans="1:15">
      <c r="A2" s="428" t="s">
        <v>189</v>
      </c>
      <c r="F2" s="427"/>
      <c r="G2" s="427"/>
      <c r="J2" s="427"/>
      <c r="K2" s="427"/>
      <c r="L2" s="427"/>
      <c r="M2" s="427"/>
      <c r="N2" s="427"/>
    </row>
    <row r="3" spans="1:15">
      <c r="A3" s="429" t="s">
        <v>813</v>
      </c>
      <c r="B3" s="430">
        <f>'1. key ratios'!B2</f>
        <v>44377</v>
      </c>
      <c r="F3" s="427"/>
      <c r="G3" s="427"/>
      <c r="H3" s="427">
        <v>0</v>
      </c>
      <c r="J3" s="427"/>
      <c r="K3" s="427"/>
      <c r="L3" s="427"/>
      <c r="M3" s="427"/>
      <c r="N3" s="427"/>
    </row>
    <row r="4" spans="1:15">
      <c r="F4" s="427"/>
      <c r="G4" s="427"/>
      <c r="J4" s="427"/>
      <c r="K4" s="427"/>
      <c r="L4" s="427"/>
      <c r="M4" s="427"/>
      <c r="N4" s="427"/>
    </row>
    <row r="5" spans="1:15" ht="37.5" customHeight="1">
      <c r="A5" s="791" t="s">
        <v>814</v>
      </c>
      <c r="B5" s="792"/>
      <c r="C5" s="841" t="s">
        <v>815</v>
      </c>
      <c r="D5" s="842"/>
      <c r="E5" s="842"/>
      <c r="F5" s="842"/>
      <c r="G5" s="842"/>
      <c r="H5" s="843"/>
      <c r="I5" s="844" t="s">
        <v>816</v>
      </c>
      <c r="J5" s="845"/>
      <c r="K5" s="845"/>
      <c r="L5" s="845"/>
      <c r="M5" s="845"/>
      <c r="N5" s="846"/>
      <c r="O5" s="847" t="s">
        <v>686</v>
      </c>
    </row>
    <row r="6" spans="1:15" ht="39.6" customHeight="1">
      <c r="A6" s="795"/>
      <c r="B6" s="796"/>
      <c r="C6" s="485"/>
      <c r="D6" s="486" t="s">
        <v>817</v>
      </c>
      <c r="E6" s="486" t="s">
        <v>818</v>
      </c>
      <c r="F6" s="486" t="s">
        <v>819</v>
      </c>
      <c r="G6" s="486" t="s">
        <v>820</v>
      </c>
      <c r="H6" s="486" t="s">
        <v>821</v>
      </c>
      <c r="I6" s="487"/>
      <c r="J6" s="486" t="s">
        <v>817</v>
      </c>
      <c r="K6" s="486" t="s">
        <v>818</v>
      </c>
      <c r="L6" s="486" t="s">
        <v>819</v>
      </c>
      <c r="M6" s="486" t="s">
        <v>820</v>
      </c>
      <c r="N6" s="486" t="s">
        <v>821</v>
      </c>
      <c r="O6" s="848"/>
    </row>
    <row r="7" spans="1:15">
      <c r="A7" s="442">
        <v>1</v>
      </c>
      <c r="B7" s="451" t="s">
        <v>696</v>
      </c>
      <c r="C7" s="704">
        <v>661912369.68999994</v>
      </c>
      <c r="D7" s="704">
        <v>617528746.69999993</v>
      </c>
      <c r="E7" s="704">
        <v>22777024.09</v>
      </c>
      <c r="F7" s="704">
        <v>16609590.280000003</v>
      </c>
      <c r="G7" s="704">
        <v>1697214.5699999996</v>
      </c>
      <c r="H7" s="704">
        <v>3299794.0500000003</v>
      </c>
      <c r="I7" s="704">
        <v>22428221.800799999</v>
      </c>
      <c r="J7" s="704">
        <v>12321525.6808</v>
      </c>
      <c r="K7" s="704">
        <v>2277702.8760000002</v>
      </c>
      <c r="L7" s="704">
        <v>4982877.2169999992</v>
      </c>
      <c r="M7" s="704">
        <v>635303.86</v>
      </c>
      <c r="N7" s="704">
        <v>2210812.1669999999</v>
      </c>
      <c r="O7" s="704">
        <v>0</v>
      </c>
    </row>
    <row r="8" spans="1:15">
      <c r="A8" s="442">
        <v>2</v>
      </c>
      <c r="B8" s="451" t="s">
        <v>697</v>
      </c>
      <c r="C8" s="704">
        <v>987894560.43000007</v>
      </c>
      <c r="D8" s="704">
        <v>894756114.04000008</v>
      </c>
      <c r="E8" s="704">
        <v>35473283.50999999</v>
      </c>
      <c r="F8" s="704">
        <v>39579573.659999996</v>
      </c>
      <c r="G8" s="704">
        <v>10675806.709999999</v>
      </c>
      <c r="H8" s="704">
        <v>7409782.5099999998</v>
      </c>
      <c r="I8" s="704">
        <v>40786513.003599994</v>
      </c>
      <c r="J8" s="704">
        <v>17671965.969599999</v>
      </c>
      <c r="K8" s="704">
        <v>3547329.0420000008</v>
      </c>
      <c r="L8" s="704">
        <v>11873415.319999998</v>
      </c>
      <c r="M8" s="704">
        <v>3718171.425999999</v>
      </c>
      <c r="N8" s="704">
        <v>3975631.2460000003</v>
      </c>
      <c r="O8" s="704">
        <v>0</v>
      </c>
    </row>
    <row r="9" spans="1:15">
      <c r="A9" s="442">
        <v>3</v>
      </c>
      <c r="B9" s="451" t="s">
        <v>698</v>
      </c>
      <c r="C9" s="704">
        <v>0</v>
      </c>
      <c r="D9" s="704">
        <v>0</v>
      </c>
      <c r="E9" s="704">
        <v>0</v>
      </c>
      <c r="F9" s="704">
        <v>0</v>
      </c>
      <c r="G9" s="704">
        <v>0</v>
      </c>
      <c r="H9" s="704">
        <v>0</v>
      </c>
      <c r="I9" s="704">
        <v>0</v>
      </c>
      <c r="J9" s="704">
        <v>0</v>
      </c>
      <c r="K9" s="704">
        <v>0</v>
      </c>
      <c r="L9" s="704">
        <v>0</v>
      </c>
      <c r="M9" s="704">
        <v>0</v>
      </c>
      <c r="N9" s="704">
        <v>0</v>
      </c>
      <c r="O9" s="704">
        <v>0</v>
      </c>
    </row>
    <row r="10" spans="1:15">
      <c r="A10" s="442">
        <v>4</v>
      </c>
      <c r="B10" s="451" t="s">
        <v>699</v>
      </c>
      <c r="C10" s="704">
        <v>417597496.64999998</v>
      </c>
      <c r="D10" s="704">
        <v>347550374.84999996</v>
      </c>
      <c r="E10" s="704">
        <v>37138007.370000005</v>
      </c>
      <c r="F10" s="704">
        <v>46958.090000000004</v>
      </c>
      <c r="G10" s="704">
        <v>225343.06</v>
      </c>
      <c r="H10" s="704">
        <v>32636813.280000001</v>
      </c>
      <c r="I10" s="704">
        <v>20517833.074999999</v>
      </c>
      <c r="J10" s="704">
        <v>6920149.4299999997</v>
      </c>
      <c r="K10" s="704">
        <v>3713800.7359999996</v>
      </c>
      <c r="L10" s="704">
        <v>14087.423999999999</v>
      </c>
      <c r="M10" s="704">
        <v>70003.044999999998</v>
      </c>
      <c r="N10" s="704">
        <v>9799792.4399999995</v>
      </c>
      <c r="O10" s="704">
        <v>0</v>
      </c>
    </row>
    <row r="11" spans="1:15">
      <c r="A11" s="442">
        <v>5</v>
      </c>
      <c r="B11" s="451" t="s">
        <v>700</v>
      </c>
      <c r="C11" s="704">
        <v>946993709.30000019</v>
      </c>
      <c r="D11" s="704">
        <v>756029000.08000004</v>
      </c>
      <c r="E11" s="704">
        <v>122536845.83</v>
      </c>
      <c r="F11" s="704">
        <v>39869636.719999999</v>
      </c>
      <c r="G11" s="704">
        <v>13542917.939999999</v>
      </c>
      <c r="H11" s="704">
        <v>15015308.73</v>
      </c>
      <c r="I11" s="704">
        <v>48241188.980439328</v>
      </c>
      <c r="J11" s="704">
        <v>15108009.81543933</v>
      </c>
      <c r="K11" s="704">
        <v>12253684.744999999</v>
      </c>
      <c r="L11" s="704">
        <v>11960891.049000001</v>
      </c>
      <c r="M11" s="704">
        <v>4074766.6749999993</v>
      </c>
      <c r="N11" s="704">
        <v>4843836.6960000005</v>
      </c>
      <c r="O11" s="704">
        <v>0</v>
      </c>
    </row>
    <row r="12" spans="1:15">
      <c r="A12" s="442">
        <v>6</v>
      </c>
      <c r="B12" s="451" t="s">
        <v>701</v>
      </c>
      <c r="C12" s="704">
        <v>347995795.69999999</v>
      </c>
      <c r="D12" s="704">
        <v>304479045.92000002</v>
      </c>
      <c r="E12" s="704">
        <v>13302788.629999999</v>
      </c>
      <c r="F12" s="704">
        <v>21647487.959999993</v>
      </c>
      <c r="G12" s="704">
        <v>2287716.6699999995</v>
      </c>
      <c r="H12" s="704">
        <v>6278756.5200000005</v>
      </c>
      <c r="I12" s="704">
        <v>17578227.2632</v>
      </c>
      <c r="J12" s="704">
        <v>5988084.2291999999</v>
      </c>
      <c r="K12" s="704">
        <v>1330279.0919999999</v>
      </c>
      <c r="L12" s="704">
        <v>6494030.0189999994</v>
      </c>
      <c r="M12" s="704">
        <v>899616.076</v>
      </c>
      <c r="N12" s="704">
        <v>2866217.8470000001</v>
      </c>
      <c r="O12" s="704">
        <v>0</v>
      </c>
    </row>
    <row r="13" spans="1:15">
      <c r="A13" s="442">
        <v>7</v>
      </c>
      <c r="B13" s="451" t="s">
        <v>702</v>
      </c>
      <c r="C13" s="704">
        <v>545526032.47000003</v>
      </c>
      <c r="D13" s="704">
        <v>506280017.42000002</v>
      </c>
      <c r="E13" s="704">
        <v>10908677.079999998</v>
      </c>
      <c r="F13" s="704">
        <v>21903457.160000004</v>
      </c>
      <c r="G13" s="704">
        <v>4348665.1999999993</v>
      </c>
      <c r="H13" s="704">
        <v>2085215.61</v>
      </c>
      <c r="I13" s="704">
        <v>19903502.678200003</v>
      </c>
      <c r="J13" s="704">
        <v>10015002.6302</v>
      </c>
      <c r="K13" s="704">
        <v>1090867.7629999998</v>
      </c>
      <c r="L13" s="704">
        <v>6571037.2980000004</v>
      </c>
      <c r="M13" s="704">
        <v>1326381.1770000001</v>
      </c>
      <c r="N13" s="704">
        <v>900213.81</v>
      </c>
      <c r="O13" s="704">
        <v>0</v>
      </c>
    </row>
    <row r="14" spans="1:15">
      <c r="A14" s="442">
        <v>8</v>
      </c>
      <c r="B14" s="451" t="s">
        <v>703</v>
      </c>
      <c r="C14" s="704">
        <v>409892191.46999991</v>
      </c>
      <c r="D14" s="704">
        <v>385757100.87999994</v>
      </c>
      <c r="E14" s="704">
        <v>6108363.96</v>
      </c>
      <c r="F14" s="704">
        <v>7701774.8300000001</v>
      </c>
      <c r="G14" s="704">
        <v>3381518.63</v>
      </c>
      <c r="H14" s="704">
        <v>6943433.1699999999</v>
      </c>
      <c r="I14" s="704">
        <v>14803103.3342</v>
      </c>
      <c r="J14" s="704">
        <v>7606980.9742000001</v>
      </c>
      <c r="K14" s="704">
        <v>610836.625</v>
      </c>
      <c r="L14" s="704">
        <v>2310376.503</v>
      </c>
      <c r="M14" s="704">
        <v>1149461.4319999996</v>
      </c>
      <c r="N14" s="704">
        <v>3125447.8000000003</v>
      </c>
      <c r="O14" s="704">
        <v>0</v>
      </c>
    </row>
    <row r="15" spans="1:15">
      <c r="A15" s="442">
        <v>9</v>
      </c>
      <c r="B15" s="451" t="s">
        <v>704</v>
      </c>
      <c r="C15" s="704">
        <v>713604597.20000017</v>
      </c>
      <c r="D15" s="704">
        <v>680593424.34000003</v>
      </c>
      <c r="E15" s="704">
        <v>18028855.600000001</v>
      </c>
      <c r="F15" s="704">
        <v>4045785.6899999995</v>
      </c>
      <c r="G15" s="704">
        <v>5439715.6099999985</v>
      </c>
      <c r="H15" s="704">
        <v>5496815.959999999</v>
      </c>
      <c r="I15" s="704">
        <v>22273041.246274419</v>
      </c>
      <c r="J15" s="704">
        <v>13386142.712274421</v>
      </c>
      <c r="K15" s="704">
        <v>1802885.6869999999</v>
      </c>
      <c r="L15" s="704">
        <v>1213735.6969999995</v>
      </c>
      <c r="M15" s="704">
        <v>1680107.37</v>
      </c>
      <c r="N15" s="704">
        <v>4190169.7800000003</v>
      </c>
      <c r="O15" s="704">
        <v>0</v>
      </c>
    </row>
    <row r="16" spans="1:15">
      <c r="A16" s="442">
        <v>10</v>
      </c>
      <c r="B16" s="451" t="s">
        <v>705</v>
      </c>
      <c r="C16" s="704">
        <v>139081063.57999998</v>
      </c>
      <c r="D16" s="704">
        <v>113262312.14</v>
      </c>
      <c r="E16" s="704">
        <v>2907422.7199999997</v>
      </c>
      <c r="F16" s="704">
        <v>19111899.270000003</v>
      </c>
      <c r="G16" s="704">
        <v>2425121.91</v>
      </c>
      <c r="H16" s="704">
        <v>1374307.54</v>
      </c>
      <c r="I16" s="704">
        <v>9427600.8134000003</v>
      </c>
      <c r="J16" s="704">
        <v>2227749.2963999999</v>
      </c>
      <c r="K16" s="704">
        <v>290742.299</v>
      </c>
      <c r="L16" s="704">
        <v>5733569.8329999996</v>
      </c>
      <c r="M16" s="704">
        <v>742772.47500000009</v>
      </c>
      <c r="N16" s="704">
        <v>432766.91000000003</v>
      </c>
      <c r="O16" s="704">
        <v>0</v>
      </c>
    </row>
    <row r="17" spans="1:15">
      <c r="A17" s="442">
        <v>11</v>
      </c>
      <c r="B17" s="451" t="s">
        <v>706</v>
      </c>
      <c r="C17" s="704">
        <v>136435174.96000001</v>
      </c>
      <c r="D17" s="704">
        <v>126380059.26000001</v>
      </c>
      <c r="E17" s="704">
        <v>7467614.9100000001</v>
      </c>
      <c r="F17" s="704">
        <v>2052263.66</v>
      </c>
      <c r="G17" s="704">
        <v>250619.27999999997</v>
      </c>
      <c r="H17" s="704">
        <v>284617.84999999998</v>
      </c>
      <c r="I17" s="704">
        <v>4224407.2058000006</v>
      </c>
      <c r="J17" s="704">
        <v>2523428.1058</v>
      </c>
      <c r="K17" s="704">
        <v>746761.60400000005</v>
      </c>
      <c r="L17" s="704">
        <v>615679.14099999995</v>
      </c>
      <c r="M17" s="704">
        <v>94666.094999999987</v>
      </c>
      <c r="N17" s="704">
        <v>243872.25999999998</v>
      </c>
      <c r="O17" s="704">
        <v>0</v>
      </c>
    </row>
    <row r="18" spans="1:15">
      <c r="A18" s="442">
        <v>12</v>
      </c>
      <c r="B18" s="451" t="s">
        <v>707</v>
      </c>
      <c r="C18" s="704">
        <v>855084024.63</v>
      </c>
      <c r="D18" s="704">
        <v>728415899.62</v>
      </c>
      <c r="E18" s="704">
        <v>31106296.52999999</v>
      </c>
      <c r="F18" s="704">
        <v>21563212.139999997</v>
      </c>
      <c r="G18" s="704">
        <v>18409917.619999997</v>
      </c>
      <c r="H18" s="704">
        <v>55588698.719999999</v>
      </c>
      <c r="I18" s="704">
        <v>50176418.7632</v>
      </c>
      <c r="J18" s="704">
        <v>14441602.883200003</v>
      </c>
      <c r="K18" s="704">
        <v>3110629.9549999996</v>
      </c>
      <c r="L18" s="704">
        <v>6468963.8849999998</v>
      </c>
      <c r="M18" s="704">
        <v>5882442.7229999993</v>
      </c>
      <c r="N18" s="704">
        <v>20272779.317000002</v>
      </c>
      <c r="O18" s="704">
        <v>0</v>
      </c>
    </row>
    <row r="19" spans="1:15">
      <c r="A19" s="442">
        <v>13</v>
      </c>
      <c r="B19" s="451" t="s">
        <v>708</v>
      </c>
      <c r="C19" s="704">
        <v>178798894.47999996</v>
      </c>
      <c r="D19" s="704">
        <v>148149381.62999997</v>
      </c>
      <c r="E19" s="704">
        <v>7415207.8999999994</v>
      </c>
      <c r="F19" s="704">
        <v>2679988.6599999997</v>
      </c>
      <c r="G19" s="704">
        <v>2373319.69</v>
      </c>
      <c r="H19" s="704">
        <v>18180996.600000001</v>
      </c>
      <c r="I19" s="704">
        <v>10828997.808199998</v>
      </c>
      <c r="J19" s="704">
        <v>2911961.1332</v>
      </c>
      <c r="K19" s="704">
        <v>741520.84799999988</v>
      </c>
      <c r="L19" s="704">
        <v>803996.68900000013</v>
      </c>
      <c r="M19" s="704">
        <v>784069.91799999995</v>
      </c>
      <c r="N19" s="704">
        <v>5587449.2199999997</v>
      </c>
      <c r="O19" s="704">
        <v>0</v>
      </c>
    </row>
    <row r="20" spans="1:15">
      <c r="A20" s="442">
        <v>14</v>
      </c>
      <c r="B20" s="451" t="s">
        <v>709</v>
      </c>
      <c r="C20" s="704">
        <v>1016622191.1688998</v>
      </c>
      <c r="D20" s="704">
        <v>813902474.66889977</v>
      </c>
      <c r="E20" s="704">
        <v>115406490.40999998</v>
      </c>
      <c r="F20" s="704">
        <v>50063386.420000002</v>
      </c>
      <c r="G20" s="704">
        <v>7078835.96</v>
      </c>
      <c r="H20" s="704">
        <v>30171003.710000001</v>
      </c>
      <c r="I20" s="704">
        <v>55205210.176352225</v>
      </c>
      <c r="J20" s="704">
        <v>16273499.323352227</v>
      </c>
      <c r="K20" s="704">
        <v>11540649.086999997</v>
      </c>
      <c r="L20" s="704">
        <v>15019015.962000001</v>
      </c>
      <c r="M20" s="704">
        <v>2424851.5279999995</v>
      </c>
      <c r="N20" s="704">
        <v>9947194.2760000005</v>
      </c>
      <c r="O20" s="704">
        <v>0</v>
      </c>
    </row>
    <row r="21" spans="1:15">
      <c r="A21" s="442">
        <v>15</v>
      </c>
      <c r="B21" s="451" t="s">
        <v>710</v>
      </c>
      <c r="C21" s="704">
        <v>181076114.92000002</v>
      </c>
      <c r="D21" s="704">
        <v>121118089.58</v>
      </c>
      <c r="E21" s="704">
        <v>38650819.139999993</v>
      </c>
      <c r="F21" s="704">
        <v>9969028.6500000022</v>
      </c>
      <c r="G21" s="704">
        <v>1945075.5600000003</v>
      </c>
      <c r="H21" s="704">
        <v>9393101.9900000002</v>
      </c>
      <c r="I21" s="704">
        <v>12869069.605400002</v>
      </c>
      <c r="J21" s="704">
        <v>2367103.7034000005</v>
      </c>
      <c r="K21" s="704">
        <v>3865082.054</v>
      </c>
      <c r="L21" s="704">
        <v>2990708.5760000008</v>
      </c>
      <c r="M21" s="704">
        <v>619269.78500000003</v>
      </c>
      <c r="N21" s="704">
        <v>3026905.4870000002</v>
      </c>
      <c r="O21" s="704">
        <v>0</v>
      </c>
    </row>
    <row r="22" spans="1:15">
      <c r="A22" s="442">
        <v>16</v>
      </c>
      <c r="B22" s="451" t="s">
        <v>711</v>
      </c>
      <c r="C22" s="704">
        <v>541404916.21579993</v>
      </c>
      <c r="D22" s="704">
        <v>453691160.98580003</v>
      </c>
      <c r="E22" s="704">
        <v>64865213.839999989</v>
      </c>
      <c r="F22" s="704">
        <v>742929.52999999991</v>
      </c>
      <c r="G22" s="704">
        <v>284224.38</v>
      </c>
      <c r="H22" s="704">
        <v>21821387.48</v>
      </c>
      <c r="I22" s="704">
        <v>22392965.114334784</v>
      </c>
      <c r="J22" s="704">
        <v>8946693.7487347834</v>
      </c>
      <c r="K22" s="704">
        <v>6486521.4445999991</v>
      </c>
      <c r="L22" s="704">
        <v>222878.86600000001</v>
      </c>
      <c r="M22" s="704">
        <v>140955.48500000002</v>
      </c>
      <c r="N22" s="704">
        <v>6595915.5700000003</v>
      </c>
      <c r="O22" s="704">
        <v>0</v>
      </c>
    </row>
    <row r="23" spans="1:15">
      <c r="A23" s="442">
        <v>17</v>
      </c>
      <c r="B23" s="451" t="s">
        <v>712</v>
      </c>
      <c r="C23" s="704">
        <v>77690225.169999987</v>
      </c>
      <c r="D23" s="704">
        <v>71294020.549999997</v>
      </c>
      <c r="E23" s="704">
        <v>344204.44000000006</v>
      </c>
      <c r="F23" s="704">
        <v>801660.26999999979</v>
      </c>
      <c r="G23" s="704">
        <v>97435.73000000001</v>
      </c>
      <c r="H23" s="704">
        <v>5152904.18</v>
      </c>
      <c r="I23" s="704">
        <v>5068651.2026000004</v>
      </c>
      <c r="J23" s="704">
        <v>1396388.5786000001</v>
      </c>
      <c r="K23" s="704">
        <v>34420.445</v>
      </c>
      <c r="L23" s="704">
        <v>240458.83900000001</v>
      </c>
      <c r="M23" s="704">
        <v>40377.120000000003</v>
      </c>
      <c r="N23" s="704">
        <v>3357006.2199999997</v>
      </c>
      <c r="O23" s="704">
        <v>0</v>
      </c>
    </row>
    <row r="24" spans="1:15">
      <c r="A24" s="442">
        <v>18</v>
      </c>
      <c r="B24" s="451" t="s">
        <v>713</v>
      </c>
      <c r="C24" s="704">
        <v>481202300.72649997</v>
      </c>
      <c r="D24" s="704">
        <v>475140971.85650003</v>
      </c>
      <c r="E24" s="704">
        <v>3969213.19</v>
      </c>
      <c r="F24" s="704">
        <v>1756761.46</v>
      </c>
      <c r="G24" s="704">
        <v>76067.650000000009</v>
      </c>
      <c r="H24" s="704">
        <v>259286.57</v>
      </c>
      <c r="I24" s="704">
        <v>10645987.618929997</v>
      </c>
      <c r="J24" s="704">
        <v>9426269.9069299977</v>
      </c>
      <c r="K24" s="704">
        <v>396921.40500000003</v>
      </c>
      <c r="L24" s="704">
        <v>527028.47199999995</v>
      </c>
      <c r="M24" s="704">
        <v>36481.265000000007</v>
      </c>
      <c r="N24" s="704">
        <v>259286.57</v>
      </c>
      <c r="O24" s="704">
        <v>0</v>
      </c>
    </row>
    <row r="25" spans="1:15">
      <c r="A25" s="442">
        <v>19</v>
      </c>
      <c r="B25" s="451" t="s">
        <v>714</v>
      </c>
      <c r="C25" s="704">
        <v>78726131.719999999</v>
      </c>
      <c r="D25" s="704">
        <v>60418594.010000005</v>
      </c>
      <c r="E25" s="704">
        <v>7404340.6000000006</v>
      </c>
      <c r="F25" s="704">
        <v>434112.74000000005</v>
      </c>
      <c r="G25" s="704">
        <v>69718.540000000008</v>
      </c>
      <c r="H25" s="704">
        <v>10399365.83</v>
      </c>
      <c r="I25" s="704">
        <v>6849299.6031999998</v>
      </c>
      <c r="J25" s="704">
        <v>1118435.9002</v>
      </c>
      <c r="K25" s="704">
        <v>740434.071</v>
      </c>
      <c r="L25" s="704">
        <v>130233.837</v>
      </c>
      <c r="M25" s="704">
        <v>24557.845000000001</v>
      </c>
      <c r="N25" s="704">
        <v>4835637.9499999993</v>
      </c>
      <c r="O25" s="704">
        <v>0</v>
      </c>
    </row>
    <row r="26" spans="1:15">
      <c r="A26" s="442">
        <v>20</v>
      </c>
      <c r="B26" s="451" t="s">
        <v>715</v>
      </c>
      <c r="C26" s="704">
        <v>352221712.52000004</v>
      </c>
      <c r="D26" s="704">
        <v>313189883.11000001</v>
      </c>
      <c r="E26" s="704">
        <v>25198653</v>
      </c>
      <c r="F26" s="704">
        <v>9174640.7300000004</v>
      </c>
      <c r="G26" s="704">
        <v>740290.93</v>
      </c>
      <c r="H26" s="704">
        <v>3918244.75</v>
      </c>
      <c r="I26" s="704">
        <v>13100151.7302</v>
      </c>
      <c r="J26" s="704">
        <v>6227272.2201999994</v>
      </c>
      <c r="K26" s="704">
        <v>2519865.4289999995</v>
      </c>
      <c r="L26" s="704">
        <v>2752392.3089999999</v>
      </c>
      <c r="M26" s="704">
        <v>245767.30200000003</v>
      </c>
      <c r="N26" s="704">
        <v>1354854.4700000002</v>
      </c>
      <c r="O26" s="704">
        <v>0</v>
      </c>
    </row>
    <row r="27" spans="1:15">
      <c r="A27" s="442">
        <v>21</v>
      </c>
      <c r="B27" s="451" t="s">
        <v>716</v>
      </c>
      <c r="C27" s="704">
        <v>68424417.50999999</v>
      </c>
      <c r="D27" s="704">
        <v>64665981.859999992</v>
      </c>
      <c r="E27" s="704">
        <v>1789673.2399999998</v>
      </c>
      <c r="F27" s="704">
        <v>734023.22</v>
      </c>
      <c r="G27" s="704">
        <v>196484.79999999996</v>
      </c>
      <c r="H27" s="704">
        <v>1038254.3899999999</v>
      </c>
      <c r="I27" s="704">
        <v>2287971.2053999999</v>
      </c>
      <c r="J27" s="704">
        <v>1216320.6753999998</v>
      </c>
      <c r="K27" s="704">
        <v>178967.36100000003</v>
      </c>
      <c r="L27" s="704">
        <v>220206.93399999998</v>
      </c>
      <c r="M27" s="704">
        <v>68575.664999999994</v>
      </c>
      <c r="N27" s="704">
        <v>603900.56999999995</v>
      </c>
      <c r="O27" s="704">
        <v>0</v>
      </c>
    </row>
    <row r="28" spans="1:15">
      <c r="A28" s="442">
        <v>22</v>
      </c>
      <c r="B28" s="451" t="s">
        <v>717</v>
      </c>
      <c r="C28" s="704">
        <v>302456203.94</v>
      </c>
      <c r="D28" s="704">
        <v>284100193.59999996</v>
      </c>
      <c r="E28" s="704">
        <v>8031152.1999999983</v>
      </c>
      <c r="F28" s="704">
        <v>8745212.3800000027</v>
      </c>
      <c r="G28" s="704">
        <v>504482.35</v>
      </c>
      <c r="H28" s="704">
        <v>1075163.4100000001</v>
      </c>
      <c r="I28" s="704">
        <v>9756261.6656000018</v>
      </c>
      <c r="J28" s="704">
        <v>5667905.4676000001</v>
      </c>
      <c r="K28" s="704">
        <v>803115.35699999996</v>
      </c>
      <c r="L28" s="704">
        <v>2623563.7990000001</v>
      </c>
      <c r="M28" s="704">
        <v>202549.33500000002</v>
      </c>
      <c r="N28" s="704">
        <v>459127.70700000005</v>
      </c>
      <c r="O28" s="704">
        <v>0</v>
      </c>
    </row>
    <row r="29" spans="1:15">
      <c r="A29" s="442">
        <v>23</v>
      </c>
      <c r="B29" s="451" t="s">
        <v>718</v>
      </c>
      <c r="C29" s="704">
        <v>2571959914.6100006</v>
      </c>
      <c r="D29" s="704">
        <v>2302140062.6600003</v>
      </c>
      <c r="E29" s="704">
        <v>132784919.81999999</v>
      </c>
      <c r="F29" s="704">
        <v>103569357.85999998</v>
      </c>
      <c r="G29" s="704">
        <v>12561889.229999999</v>
      </c>
      <c r="H29" s="704">
        <v>20903685.040000003</v>
      </c>
      <c r="I29" s="704">
        <v>105623324.44708869</v>
      </c>
      <c r="J29" s="704">
        <v>45762583.210799992</v>
      </c>
      <c r="K29" s="704">
        <v>13278493.351126701</v>
      </c>
      <c r="L29" s="704">
        <v>31070808.099162001</v>
      </c>
      <c r="M29" s="704">
        <v>4436739.8230000008</v>
      </c>
      <c r="N29" s="704">
        <v>11074699.963</v>
      </c>
      <c r="O29" s="704">
        <v>0</v>
      </c>
    </row>
    <row r="30" spans="1:15">
      <c r="A30" s="442">
        <v>24</v>
      </c>
      <c r="B30" s="451" t="s">
        <v>719</v>
      </c>
      <c r="C30" s="704">
        <v>714764904.50980008</v>
      </c>
      <c r="D30" s="704">
        <v>664641295.27980006</v>
      </c>
      <c r="E30" s="704">
        <v>21544829.380000003</v>
      </c>
      <c r="F30" s="704">
        <v>10659463.49</v>
      </c>
      <c r="G30" s="704">
        <v>5033473.3999999994</v>
      </c>
      <c r="H30" s="704">
        <v>12885842.960000001</v>
      </c>
      <c r="I30" s="704">
        <v>29123472.824231572</v>
      </c>
      <c r="J30" s="704">
        <v>13206733.531231573</v>
      </c>
      <c r="K30" s="704">
        <v>2154483.1669999999</v>
      </c>
      <c r="L30" s="704">
        <v>3197839.1920000007</v>
      </c>
      <c r="M30" s="704">
        <v>1870094.3690000004</v>
      </c>
      <c r="N30" s="704">
        <v>8694322.5649999995</v>
      </c>
      <c r="O30" s="704">
        <v>0</v>
      </c>
    </row>
    <row r="31" spans="1:15">
      <c r="A31" s="442">
        <v>25</v>
      </c>
      <c r="B31" s="451" t="s">
        <v>720</v>
      </c>
      <c r="C31" s="704">
        <v>1037208963.1674575</v>
      </c>
      <c r="D31" s="704">
        <v>898869106.55999994</v>
      </c>
      <c r="E31" s="704">
        <v>48721101.159999996</v>
      </c>
      <c r="F31" s="704">
        <v>60562119.21474576</v>
      </c>
      <c r="G31" s="704">
        <v>15405018.342881363</v>
      </c>
      <c r="H31" s="704">
        <v>13651617.889830505</v>
      </c>
      <c r="I31" s="704">
        <v>54913425.426894918</v>
      </c>
      <c r="J31" s="704">
        <v>17070936.006200004</v>
      </c>
      <c r="K31" s="704">
        <v>4872112.9079999998</v>
      </c>
      <c r="L31" s="704">
        <v>18168620.240423728</v>
      </c>
      <c r="M31" s="704">
        <v>6300598.8154406799</v>
      </c>
      <c r="N31" s="704">
        <v>8501157.4568305071</v>
      </c>
      <c r="O31" s="704">
        <v>0</v>
      </c>
    </row>
    <row r="32" spans="1:15">
      <c r="A32" s="442">
        <v>26</v>
      </c>
      <c r="B32" s="451" t="s">
        <v>822</v>
      </c>
      <c r="C32" s="704">
        <v>190033984.56999999</v>
      </c>
      <c r="D32" s="704">
        <v>170367811.88999999</v>
      </c>
      <c r="E32" s="704">
        <v>4387402.53</v>
      </c>
      <c r="F32" s="704">
        <v>2187889.5900000003</v>
      </c>
      <c r="G32" s="704">
        <v>2664329.54</v>
      </c>
      <c r="H32" s="704">
        <v>10426551.02</v>
      </c>
      <c r="I32" s="704">
        <v>13116847.144199999</v>
      </c>
      <c r="J32" s="704">
        <v>3400529.4631999996</v>
      </c>
      <c r="K32" s="704">
        <v>438741.01900000003</v>
      </c>
      <c r="L32" s="704">
        <v>652880.84600000025</v>
      </c>
      <c r="M32" s="704">
        <v>1004880.0960000001</v>
      </c>
      <c r="N32" s="704">
        <v>7619815.7199999997</v>
      </c>
      <c r="O32" s="704">
        <v>0</v>
      </c>
    </row>
    <row r="33" spans="1:15">
      <c r="A33" s="442">
        <v>27</v>
      </c>
      <c r="B33" s="488" t="s">
        <v>68</v>
      </c>
      <c r="C33" s="704">
        <v>13954607891.308456</v>
      </c>
      <c r="D33" s="704">
        <v>12302721123.490999</v>
      </c>
      <c r="E33" s="704">
        <v>788268401.07999992</v>
      </c>
      <c r="F33" s="704">
        <v>456212213.67474586</v>
      </c>
      <c r="G33" s="704">
        <v>111715203.30288139</v>
      </c>
      <c r="H33" s="704">
        <v>295690949.75983047</v>
      </c>
      <c r="I33" s="704">
        <v>622141693.73674583</v>
      </c>
      <c r="J33" s="704">
        <v>243203274.59616232</v>
      </c>
      <c r="K33" s="704">
        <v>78826848.370726675</v>
      </c>
      <c r="L33" s="704">
        <v>136859296.04658571</v>
      </c>
      <c r="M33" s="704">
        <v>38473460.705440685</v>
      </c>
      <c r="N33" s="704">
        <v>124778814.01783049</v>
      </c>
      <c r="O33" s="704">
        <v>35681924.619999997</v>
      </c>
    </row>
    <row r="34" spans="1:15">
      <c r="A34" s="452"/>
      <c r="B34" s="452"/>
      <c r="C34" s="452"/>
      <c r="D34" s="452"/>
      <c r="E34" s="452"/>
      <c r="H34" s="452"/>
      <c r="I34" s="452"/>
      <c r="O34" s="452"/>
    </row>
    <row r="35" spans="1:15">
      <c r="A35" s="452"/>
      <c r="B35" s="452"/>
      <c r="C35" s="452"/>
      <c r="D35" s="452"/>
      <c r="E35" s="452"/>
      <c r="H35" s="452"/>
      <c r="I35" s="452"/>
      <c r="O35" s="452"/>
    </row>
    <row r="36" spans="1:15">
      <c r="A36" s="455"/>
      <c r="B36" s="455"/>
      <c r="C36" s="455"/>
      <c r="D36" s="452"/>
      <c r="E36" s="452"/>
      <c r="H36" s="452"/>
      <c r="I36" s="452"/>
      <c r="O36" s="452"/>
    </row>
    <row r="37" spans="1:15">
      <c r="A37" s="455"/>
      <c r="B37" s="455"/>
      <c r="C37" s="455"/>
      <c r="D37" s="452"/>
      <c r="E37" s="452"/>
      <c r="H37" s="452"/>
      <c r="I37" s="452"/>
      <c r="O37" s="452"/>
    </row>
    <row r="38" spans="1:15">
      <c r="A38" s="452"/>
      <c r="B38" s="456"/>
      <c r="C38" s="456"/>
      <c r="D38" s="452"/>
      <c r="E38" s="452"/>
      <c r="H38" s="452"/>
      <c r="I38" s="452"/>
      <c r="O38" s="452"/>
    </row>
    <row r="39" spans="1:15">
      <c r="A39" s="452"/>
      <c r="B39" s="456"/>
      <c r="C39" s="456"/>
      <c r="D39" s="452"/>
      <c r="E39" s="452"/>
      <c r="H39" s="452"/>
      <c r="I39" s="452"/>
      <c r="O39" s="452"/>
    </row>
    <row r="40" spans="1:15">
      <c r="A40" s="452"/>
      <c r="B40" s="456"/>
      <c r="C40" s="456"/>
      <c r="D40" s="452"/>
      <c r="E40" s="452"/>
      <c r="H40" s="452"/>
      <c r="I40" s="452"/>
      <c r="O40" s="452"/>
    </row>
    <row r="41" spans="1:15">
      <c r="A41" s="452"/>
      <c r="B41" s="452"/>
      <c r="C41" s="452"/>
      <c r="D41" s="452"/>
      <c r="E41" s="452"/>
      <c r="H41" s="452"/>
      <c r="I41" s="452"/>
      <c r="O41" s="45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1"/>
  <sheetViews>
    <sheetView showGridLines="0" zoomScaleNormal="100" workbookViewId="0"/>
  </sheetViews>
  <sheetFormatPr defaultColWidth="8.7109375" defaultRowHeight="12"/>
  <cols>
    <col min="1" max="1" width="11.85546875" style="490" bestFit="1" customWidth="1"/>
    <col min="2" max="2" width="80.140625" style="490" customWidth="1"/>
    <col min="3" max="11" width="28.28515625" style="490" customWidth="1"/>
    <col min="12" max="16384" width="8.7109375" style="490"/>
  </cols>
  <sheetData>
    <row r="1" spans="1:11" s="427" customFormat="1" ht="12.75">
      <c r="A1" s="426" t="s">
        <v>188</v>
      </c>
    </row>
    <row r="2" spans="1:11" s="427" customFormat="1" ht="12.75">
      <c r="A2" s="428" t="s">
        <v>189</v>
      </c>
    </row>
    <row r="3" spans="1:11" s="427" customFormat="1" ht="12.75">
      <c r="A3" s="429" t="s">
        <v>823</v>
      </c>
      <c r="B3" s="430">
        <f>'1. key ratios'!B2</f>
        <v>44377</v>
      </c>
      <c r="H3" s="427">
        <v>0</v>
      </c>
    </row>
    <row r="4" spans="1:11">
      <c r="C4" s="491" t="s">
        <v>673</v>
      </c>
      <c r="D4" s="491" t="s">
        <v>674</v>
      </c>
      <c r="E4" s="491" t="s">
        <v>675</v>
      </c>
      <c r="F4" s="491" t="s">
        <v>676</v>
      </c>
      <c r="G4" s="491" t="s">
        <v>677</v>
      </c>
      <c r="H4" s="491" t="s">
        <v>678</v>
      </c>
      <c r="I4" s="491" t="s">
        <v>679</v>
      </c>
      <c r="J4" s="491" t="s">
        <v>680</v>
      </c>
      <c r="K4" s="491" t="s">
        <v>681</v>
      </c>
    </row>
    <row r="5" spans="1:11" ht="104.1" customHeight="1">
      <c r="A5" s="849" t="s">
        <v>824</v>
      </c>
      <c r="B5" s="850"/>
      <c r="C5" s="431" t="s">
        <v>825</v>
      </c>
      <c r="D5" s="431" t="s">
        <v>811</v>
      </c>
      <c r="E5" s="431" t="s">
        <v>812</v>
      </c>
      <c r="F5" s="431" t="s">
        <v>826</v>
      </c>
      <c r="G5" s="431" t="s">
        <v>827</v>
      </c>
      <c r="H5" s="431" t="s">
        <v>828</v>
      </c>
      <c r="I5" s="431" t="s">
        <v>829</v>
      </c>
      <c r="J5" s="431" t="s">
        <v>830</v>
      </c>
      <c r="K5" s="431" t="s">
        <v>831</v>
      </c>
    </row>
    <row r="6" spans="1:11" ht="12.75">
      <c r="A6" s="442">
        <v>1</v>
      </c>
      <c r="B6" s="442" t="s">
        <v>832</v>
      </c>
      <c r="C6" s="613">
        <v>199069367.63000003</v>
      </c>
      <c r="D6" s="613">
        <v>39453025.450000003</v>
      </c>
      <c r="E6" s="613">
        <v>30127131.48</v>
      </c>
      <c r="F6" s="613">
        <v>151870000.43000001</v>
      </c>
      <c r="G6" s="613">
        <v>10124019461.75</v>
      </c>
      <c r="H6" s="613">
        <v>358960283.88999999</v>
      </c>
      <c r="I6" s="613">
        <v>669895365.81099892</v>
      </c>
      <c r="J6" s="613">
        <v>612200426.17000008</v>
      </c>
      <c r="K6" s="613">
        <v>1769012828.6975</v>
      </c>
    </row>
    <row r="7" spans="1:11" ht="12.75">
      <c r="A7" s="442">
        <v>2</v>
      </c>
      <c r="B7" s="443" t="s">
        <v>833</v>
      </c>
      <c r="C7" s="613">
        <v>0</v>
      </c>
      <c r="D7" s="613">
        <v>0</v>
      </c>
      <c r="E7" s="613">
        <v>0</v>
      </c>
      <c r="F7" s="613">
        <v>0</v>
      </c>
      <c r="G7" s="613">
        <v>0</v>
      </c>
      <c r="H7" s="613">
        <v>0</v>
      </c>
      <c r="I7" s="613">
        <v>0</v>
      </c>
      <c r="J7" s="613">
        <v>0</v>
      </c>
      <c r="K7" s="613">
        <v>27421057</v>
      </c>
    </row>
    <row r="8" spans="1:11" ht="12.75">
      <c r="A8" s="442">
        <v>3</v>
      </c>
      <c r="B8" s="443" t="s">
        <v>783</v>
      </c>
      <c r="C8" s="613">
        <v>111025692.501554</v>
      </c>
      <c r="D8" s="613">
        <v>0</v>
      </c>
      <c r="E8" s="613">
        <v>975305141.74481595</v>
      </c>
      <c r="F8" s="613">
        <v>0</v>
      </c>
      <c r="G8" s="613">
        <v>225219142.52539599</v>
      </c>
      <c r="H8" s="613">
        <v>65048888.2487</v>
      </c>
      <c r="I8" s="613">
        <v>39259706.255805001</v>
      </c>
      <c r="J8" s="613">
        <v>110810112.555444</v>
      </c>
      <c r="K8" s="613">
        <v>766005126.60128558</v>
      </c>
    </row>
    <row r="9" spans="1:11" ht="12.75">
      <c r="A9" s="442">
        <v>4</v>
      </c>
      <c r="B9" s="471" t="s">
        <v>834</v>
      </c>
      <c r="C9" s="613">
        <v>4435868.2</v>
      </c>
      <c r="D9" s="613">
        <v>459143.53</v>
      </c>
      <c r="E9" s="613">
        <v>0</v>
      </c>
      <c r="F9" s="613">
        <v>1251993</v>
      </c>
      <c r="G9" s="613">
        <v>736837110.51000011</v>
      </c>
      <c r="H9" s="613">
        <v>5095609.45</v>
      </c>
      <c r="I9" s="613">
        <v>11300205.93</v>
      </c>
      <c r="J9" s="613">
        <v>18701064.949999999</v>
      </c>
      <c r="K9" s="613">
        <v>85537371.167399883</v>
      </c>
    </row>
    <row r="10" spans="1:11" ht="12.75">
      <c r="A10" s="442">
        <v>5</v>
      </c>
      <c r="B10" s="492" t="s">
        <v>835</v>
      </c>
      <c r="C10" s="613">
        <v>0</v>
      </c>
      <c r="D10" s="613">
        <v>0</v>
      </c>
      <c r="E10" s="613">
        <v>0</v>
      </c>
      <c r="F10" s="613">
        <v>0</v>
      </c>
      <c r="G10" s="613">
        <v>0</v>
      </c>
      <c r="H10" s="613">
        <v>0</v>
      </c>
      <c r="I10" s="613">
        <v>0</v>
      </c>
      <c r="J10" s="613">
        <v>0</v>
      </c>
      <c r="K10" s="613">
        <v>0</v>
      </c>
    </row>
    <row r="11" spans="1:11" ht="12.75">
      <c r="A11" s="442">
        <v>6</v>
      </c>
      <c r="B11" s="492" t="s">
        <v>836</v>
      </c>
      <c r="C11" s="613">
        <v>0</v>
      </c>
      <c r="D11" s="613">
        <v>0</v>
      </c>
      <c r="E11" s="613">
        <v>0</v>
      </c>
      <c r="F11" s="613">
        <v>0</v>
      </c>
      <c r="G11" s="613">
        <v>20955546.68</v>
      </c>
      <c r="H11" s="613">
        <v>7249480.7197820004</v>
      </c>
      <c r="I11" s="613">
        <v>4350174.03</v>
      </c>
      <c r="J11" s="613">
        <v>22527.06</v>
      </c>
      <c r="K11" s="613">
        <v>198905.66001800075</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A1:D215"/>
  <sheetViews>
    <sheetView zoomScale="85" zoomScaleNormal="85" workbookViewId="0">
      <selection sqref="A1:C1"/>
    </sheetView>
  </sheetViews>
  <sheetFormatPr defaultColWidth="43.5703125" defaultRowHeight="11.25"/>
  <cols>
    <col min="1" max="1" width="5.28515625" style="190" customWidth="1"/>
    <col min="2" max="2" width="66.140625" style="191" customWidth="1"/>
    <col min="3" max="3" width="131.42578125" style="192" customWidth="1"/>
    <col min="4" max="5" width="10.28515625" style="183" customWidth="1"/>
    <col min="6" max="16384" width="43.5703125" style="183"/>
  </cols>
  <sheetData>
    <row r="1" spans="1:3" ht="12.75" thickTop="1" thickBot="1">
      <c r="A1" s="857" t="s">
        <v>325</v>
      </c>
      <c r="B1" s="858"/>
      <c r="C1" s="859"/>
    </row>
    <row r="2" spans="1:3" ht="26.25" customHeight="1">
      <c r="A2" s="493"/>
      <c r="B2" s="860" t="s">
        <v>326</v>
      </c>
      <c r="C2" s="860"/>
    </row>
    <row r="3" spans="1:3" s="188" customFormat="1" ht="11.25" customHeight="1">
      <c r="A3" s="187"/>
      <c r="B3" s="860" t="s">
        <v>418</v>
      </c>
      <c r="C3" s="860"/>
    </row>
    <row r="4" spans="1:3" ht="12" customHeight="1" thickBot="1">
      <c r="A4" s="861" t="s">
        <v>422</v>
      </c>
      <c r="B4" s="862"/>
      <c r="C4" s="863"/>
    </row>
    <row r="5" spans="1:3" ht="12" thickTop="1">
      <c r="A5" s="184"/>
      <c r="B5" s="864" t="s">
        <v>327</v>
      </c>
      <c r="C5" s="865"/>
    </row>
    <row r="6" spans="1:3">
      <c r="A6" s="493"/>
      <c r="B6" s="851" t="s">
        <v>419</v>
      </c>
      <c r="C6" s="852"/>
    </row>
    <row r="7" spans="1:3">
      <c r="A7" s="493"/>
      <c r="B7" s="851" t="s">
        <v>328</v>
      </c>
      <c r="C7" s="852"/>
    </row>
    <row r="8" spans="1:3">
      <c r="A8" s="493"/>
      <c r="B8" s="851" t="s">
        <v>420</v>
      </c>
      <c r="C8" s="852"/>
    </row>
    <row r="9" spans="1:3">
      <c r="A9" s="493"/>
      <c r="B9" s="853" t="s">
        <v>421</v>
      </c>
      <c r="C9" s="854"/>
    </row>
    <row r="10" spans="1:3">
      <c r="A10" s="493"/>
      <c r="B10" s="855" t="s">
        <v>329</v>
      </c>
      <c r="C10" s="856" t="s">
        <v>329</v>
      </c>
    </row>
    <row r="11" spans="1:3">
      <c r="A11" s="493"/>
      <c r="B11" s="855" t="s">
        <v>330</v>
      </c>
      <c r="C11" s="856" t="s">
        <v>330</v>
      </c>
    </row>
    <row r="12" spans="1:3">
      <c r="A12" s="493"/>
      <c r="B12" s="855" t="s">
        <v>331</v>
      </c>
      <c r="C12" s="856" t="s">
        <v>331</v>
      </c>
    </row>
    <row r="13" spans="1:3">
      <c r="A13" s="493"/>
      <c r="B13" s="855" t="s">
        <v>332</v>
      </c>
      <c r="C13" s="856" t="s">
        <v>332</v>
      </c>
    </row>
    <row r="14" spans="1:3">
      <c r="A14" s="493"/>
      <c r="B14" s="855" t="s">
        <v>333</v>
      </c>
      <c r="C14" s="856" t="s">
        <v>333</v>
      </c>
    </row>
    <row r="15" spans="1:3" ht="21.75" customHeight="1">
      <c r="A15" s="493"/>
      <c r="B15" s="855" t="s">
        <v>334</v>
      </c>
      <c r="C15" s="856" t="s">
        <v>334</v>
      </c>
    </row>
    <row r="16" spans="1:3">
      <c r="A16" s="493"/>
      <c r="B16" s="855" t="s">
        <v>335</v>
      </c>
      <c r="C16" s="856" t="s">
        <v>336</v>
      </c>
    </row>
    <row r="17" spans="1:3">
      <c r="A17" s="493"/>
      <c r="B17" s="855" t="s">
        <v>337</v>
      </c>
      <c r="C17" s="856" t="s">
        <v>338</v>
      </c>
    </row>
    <row r="18" spans="1:3">
      <c r="A18" s="493"/>
      <c r="B18" s="855" t="s">
        <v>339</v>
      </c>
      <c r="C18" s="856" t="s">
        <v>340</v>
      </c>
    </row>
    <row r="19" spans="1:3">
      <c r="A19" s="493"/>
      <c r="B19" s="855" t="s">
        <v>341</v>
      </c>
      <c r="C19" s="856" t="s">
        <v>341</v>
      </c>
    </row>
    <row r="20" spans="1:3">
      <c r="A20" s="493"/>
      <c r="B20" s="855" t="s">
        <v>342</v>
      </c>
      <c r="C20" s="856" t="s">
        <v>342</v>
      </c>
    </row>
    <row r="21" spans="1:3">
      <c r="A21" s="493"/>
      <c r="B21" s="855" t="s">
        <v>343</v>
      </c>
      <c r="C21" s="856" t="s">
        <v>343</v>
      </c>
    </row>
    <row r="22" spans="1:3" ht="23.25" customHeight="1">
      <c r="A22" s="493"/>
      <c r="B22" s="855" t="s">
        <v>344</v>
      </c>
      <c r="C22" s="856" t="s">
        <v>345</v>
      </c>
    </row>
    <row r="23" spans="1:3">
      <c r="A23" s="493"/>
      <c r="B23" s="855" t="s">
        <v>346</v>
      </c>
      <c r="C23" s="856" t="s">
        <v>346</v>
      </c>
    </row>
    <row r="24" spans="1:3">
      <c r="A24" s="493"/>
      <c r="B24" s="855" t="s">
        <v>347</v>
      </c>
      <c r="C24" s="856" t="s">
        <v>348</v>
      </c>
    </row>
    <row r="25" spans="1:3" ht="12" thickBot="1">
      <c r="A25" s="185"/>
      <c r="B25" s="868" t="s">
        <v>349</v>
      </c>
      <c r="C25" s="869"/>
    </row>
    <row r="26" spans="1:3" ht="12.75" thickTop="1" thickBot="1">
      <c r="A26" s="861" t="s">
        <v>432</v>
      </c>
      <c r="B26" s="862"/>
      <c r="C26" s="863"/>
    </row>
    <row r="27" spans="1:3" ht="12.75" thickTop="1" thickBot="1">
      <c r="A27" s="186"/>
      <c r="B27" s="870" t="s">
        <v>350</v>
      </c>
      <c r="C27" s="871"/>
    </row>
    <row r="28" spans="1:3" ht="12.75" thickTop="1" thickBot="1">
      <c r="A28" s="861" t="s">
        <v>423</v>
      </c>
      <c r="B28" s="862"/>
      <c r="C28" s="863"/>
    </row>
    <row r="29" spans="1:3" ht="12" thickTop="1">
      <c r="A29" s="184"/>
      <c r="B29" s="872" t="s">
        <v>351</v>
      </c>
      <c r="C29" s="873" t="s">
        <v>352</v>
      </c>
    </row>
    <row r="30" spans="1:3">
      <c r="A30" s="493"/>
      <c r="B30" s="866" t="s">
        <v>353</v>
      </c>
      <c r="C30" s="867" t="s">
        <v>354</v>
      </c>
    </row>
    <row r="31" spans="1:3">
      <c r="A31" s="493"/>
      <c r="B31" s="866" t="s">
        <v>355</v>
      </c>
      <c r="C31" s="867" t="s">
        <v>356</v>
      </c>
    </row>
    <row r="32" spans="1:3">
      <c r="A32" s="493"/>
      <c r="B32" s="866" t="s">
        <v>357</v>
      </c>
      <c r="C32" s="867" t="s">
        <v>358</v>
      </c>
    </row>
    <row r="33" spans="1:3">
      <c r="A33" s="493"/>
      <c r="B33" s="866" t="s">
        <v>359</v>
      </c>
      <c r="C33" s="867" t="s">
        <v>360</v>
      </c>
    </row>
    <row r="34" spans="1:3">
      <c r="A34" s="493"/>
      <c r="B34" s="866" t="s">
        <v>361</v>
      </c>
      <c r="C34" s="867" t="s">
        <v>362</v>
      </c>
    </row>
    <row r="35" spans="1:3" ht="23.25" customHeight="1">
      <c r="A35" s="493"/>
      <c r="B35" s="866" t="s">
        <v>363</v>
      </c>
      <c r="C35" s="867" t="s">
        <v>364</v>
      </c>
    </row>
    <row r="36" spans="1:3" ht="24" customHeight="1">
      <c r="A36" s="493"/>
      <c r="B36" s="866" t="s">
        <v>365</v>
      </c>
      <c r="C36" s="867" t="s">
        <v>366</v>
      </c>
    </row>
    <row r="37" spans="1:3" ht="24.75" customHeight="1">
      <c r="A37" s="493"/>
      <c r="B37" s="866" t="s">
        <v>367</v>
      </c>
      <c r="C37" s="867" t="s">
        <v>368</v>
      </c>
    </row>
    <row r="38" spans="1:3" ht="23.25" customHeight="1">
      <c r="A38" s="493"/>
      <c r="B38" s="866" t="s">
        <v>424</v>
      </c>
      <c r="C38" s="867" t="s">
        <v>369</v>
      </c>
    </row>
    <row r="39" spans="1:3" ht="39.75" customHeight="1">
      <c r="A39" s="493"/>
      <c r="B39" s="855" t="s">
        <v>439</v>
      </c>
      <c r="C39" s="856" t="s">
        <v>370</v>
      </c>
    </row>
    <row r="40" spans="1:3" ht="12" customHeight="1">
      <c r="A40" s="493"/>
      <c r="B40" s="866" t="s">
        <v>371</v>
      </c>
      <c r="C40" s="867" t="s">
        <v>372</v>
      </c>
    </row>
    <row r="41" spans="1:3" ht="27" customHeight="1" thickBot="1">
      <c r="A41" s="185"/>
      <c r="B41" s="876" t="s">
        <v>373</v>
      </c>
      <c r="C41" s="877" t="s">
        <v>374</v>
      </c>
    </row>
    <row r="42" spans="1:3" ht="12.75" thickTop="1" thickBot="1">
      <c r="A42" s="861" t="s">
        <v>425</v>
      </c>
      <c r="B42" s="862"/>
      <c r="C42" s="863"/>
    </row>
    <row r="43" spans="1:3" ht="12" thickTop="1">
      <c r="A43" s="184"/>
      <c r="B43" s="864" t="s">
        <v>462</v>
      </c>
      <c r="C43" s="865" t="s">
        <v>375</v>
      </c>
    </row>
    <row r="44" spans="1:3">
      <c r="A44" s="493"/>
      <c r="B44" s="851" t="s">
        <v>461</v>
      </c>
      <c r="C44" s="852"/>
    </row>
    <row r="45" spans="1:3" ht="23.25" customHeight="1" thickBot="1">
      <c r="A45" s="185"/>
      <c r="B45" s="874" t="s">
        <v>376</v>
      </c>
      <c r="C45" s="875" t="s">
        <v>377</v>
      </c>
    </row>
    <row r="46" spans="1:3" ht="11.25" customHeight="1" thickTop="1" thickBot="1">
      <c r="A46" s="861" t="s">
        <v>426</v>
      </c>
      <c r="B46" s="862"/>
      <c r="C46" s="863"/>
    </row>
    <row r="47" spans="1:3" ht="26.25" customHeight="1" thickTop="1">
      <c r="A47" s="493"/>
      <c r="B47" s="851" t="s">
        <v>427</v>
      </c>
      <c r="C47" s="852"/>
    </row>
    <row r="48" spans="1:3" ht="12" thickBot="1">
      <c r="A48" s="861" t="s">
        <v>428</v>
      </c>
      <c r="B48" s="862"/>
      <c r="C48" s="863"/>
    </row>
    <row r="49" spans="1:3" ht="12" thickTop="1">
      <c r="A49" s="184"/>
      <c r="B49" s="864" t="s">
        <v>378</v>
      </c>
      <c r="C49" s="865" t="s">
        <v>378</v>
      </c>
    </row>
    <row r="50" spans="1:3" ht="11.25" customHeight="1">
      <c r="A50" s="493"/>
      <c r="B50" s="851" t="s">
        <v>379</v>
      </c>
      <c r="C50" s="852" t="s">
        <v>379</v>
      </c>
    </row>
    <row r="51" spans="1:3">
      <c r="A51" s="493"/>
      <c r="B51" s="851" t="s">
        <v>380</v>
      </c>
      <c r="C51" s="852" t="s">
        <v>380</v>
      </c>
    </row>
    <row r="52" spans="1:3" ht="11.25" customHeight="1">
      <c r="A52" s="493"/>
      <c r="B52" s="851" t="s">
        <v>489</v>
      </c>
      <c r="C52" s="852" t="s">
        <v>381</v>
      </c>
    </row>
    <row r="53" spans="1:3" ht="33.6" customHeight="1">
      <c r="A53" s="493"/>
      <c r="B53" s="851" t="s">
        <v>382</v>
      </c>
      <c r="C53" s="852" t="s">
        <v>382</v>
      </c>
    </row>
    <row r="54" spans="1:3" ht="11.25" customHeight="1">
      <c r="A54" s="493"/>
      <c r="B54" s="851" t="s">
        <v>482</v>
      </c>
      <c r="C54" s="852" t="s">
        <v>383</v>
      </c>
    </row>
    <row r="55" spans="1:3" ht="11.25" customHeight="1" thickBot="1">
      <c r="A55" s="861" t="s">
        <v>429</v>
      </c>
      <c r="B55" s="862"/>
      <c r="C55" s="863"/>
    </row>
    <row r="56" spans="1:3" ht="12" thickTop="1">
      <c r="A56" s="184"/>
      <c r="B56" s="864" t="s">
        <v>378</v>
      </c>
      <c r="C56" s="865" t="s">
        <v>378</v>
      </c>
    </row>
    <row r="57" spans="1:3">
      <c r="A57" s="493"/>
      <c r="B57" s="851" t="s">
        <v>384</v>
      </c>
      <c r="C57" s="852" t="s">
        <v>384</v>
      </c>
    </row>
    <row r="58" spans="1:3">
      <c r="A58" s="493"/>
      <c r="B58" s="851" t="s">
        <v>435</v>
      </c>
      <c r="C58" s="852" t="s">
        <v>385</v>
      </c>
    </row>
    <row r="59" spans="1:3">
      <c r="A59" s="493"/>
      <c r="B59" s="851" t="s">
        <v>386</v>
      </c>
      <c r="C59" s="852" t="s">
        <v>386</v>
      </c>
    </row>
    <row r="60" spans="1:3">
      <c r="A60" s="493"/>
      <c r="B60" s="851" t="s">
        <v>387</v>
      </c>
      <c r="C60" s="852" t="s">
        <v>387</v>
      </c>
    </row>
    <row r="61" spans="1:3">
      <c r="A61" s="493"/>
      <c r="B61" s="851" t="s">
        <v>388</v>
      </c>
      <c r="C61" s="852" t="s">
        <v>388</v>
      </c>
    </row>
    <row r="62" spans="1:3">
      <c r="A62" s="493"/>
      <c r="B62" s="851" t="s">
        <v>436</v>
      </c>
      <c r="C62" s="852" t="s">
        <v>389</v>
      </c>
    </row>
    <row r="63" spans="1:3">
      <c r="A63" s="493"/>
      <c r="B63" s="851" t="s">
        <v>390</v>
      </c>
      <c r="C63" s="852" t="s">
        <v>390</v>
      </c>
    </row>
    <row r="64" spans="1:3" ht="12" thickBot="1">
      <c r="A64" s="185"/>
      <c r="B64" s="874" t="s">
        <v>391</v>
      </c>
      <c r="C64" s="875" t="s">
        <v>391</v>
      </c>
    </row>
    <row r="65" spans="1:3" ht="11.25" customHeight="1" thickTop="1">
      <c r="A65" s="880" t="s">
        <v>430</v>
      </c>
      <c r="B65" s="881"/>
      <c r="C65" s="882"/>
    </row>
    <row r="66" spans="1:3" ht="12" thickBot="1">
      <c r="A66" s="185"/>
      <c r="B66" s="874" t="s">
        <v>392</v>
      </c>
      <c r="C66" s="875" t="s">
        <v>392</v>
      </c>
    </row>
    <row r="67" spans="1:3" ht="11.25" customHeight="1" thickTop="1" thickBot="1">
      <c r="A67" s="861" t="s">
        <v>431</v>
      </c>
      <c r="B67" s="862"/>
      <c r="C67" s="863"/>
    </row>
    <row r="68" spans="1:3" ht="12" thickTop="1">
      <c r="A68" s="184"/>
      <c r="B68" s="864" t="s">
        <v>393</v>
      </c>
      <c r="C68" s="865" t="s">
        <v>393</v>
      </c>
    </row>
    <row r="69" spans="1:3">
      <c r="A69" s="493"/>
      <c r="B69" s="851" t="s">
        <v>394</v>
      </c>
      <c r="C69" s="852" t="s">
        <v>394</v>
      </c>
    </row>
    <row r="70" spans="1:3">
      <c r="A70" s="493"/>
      <c r="B70" s="851" t="s">
        <v>395</v>
      </c>
      <c r="C70" s="852" t="s">
        <v>395</v>
      </c>
    </row>
    <row r="71" spans="1:3" ht="38.25" customHeight="1">
      <c r="A71" s="493"/>
      <c r="B71" s="878" t="s">
        <v>438</v>
      </c>
      <c r="C71" s="879" t="s">
        <v>396</v>
      </c>
    </row>
    <row r="72" spans="1:3" ht="33.75" customHeight="1">
      <c r="A72" s="493"/>
      <c r="B72" s="878" t="s">
        <v>441</v>
      </c>
      <c r="C72" s="879" t="s">
        <v>397</v>
      </c>
    </row>
    <row r="73" spans="1:3" ht="15.75" customHeight="1">
      <c r="A73" s="493"/>
      <c r="B73" s="878" t="s">
        <v>437</v>
      </c>
      <c r="C73" s="879" t="s">
        <v>398</v>
      </c>
    </row>
    <row r="74" spans="1:3">
      <c r="A74" s="493"/>
      <c r="B74" s="851" t="s">
        <v>399</v>
      </c>
      <c r="C74" s="852" t="s">
        <v>399</v>
      </c>
    </row>
    <row r="75" spans="1:3" ht="12" thickBot="1">
      <c r="A75" s="185"/>
      <c r="B75" s="874" t="s">
        <v>400</v>
      </c>
      <c r="C75" s="875" t="s">
        <v>400</v>
      </c>
    </row>
    <row r="76" spans="1:3" ht="12" thickTop="1">
      <c r="A76" s="880" t="s">
        <v>465</v>
      </c>
      <c r="B76" s="881"/>
      <c r="C76" s="882"/>
    </row>
    <row r="77" spans="1:3">
      <c r="A77" s="493"/>
      <c r="B77" s="851" t="s">
        <v>392</v>
      </c>
      <c r="C77" s="852"/>
    </row>
    <row r="78" spans="1:3">
      <c r="A78" s="493"/>
      <c r="B78" s="851" t="s">
        <v>463</v>
      </c>
      <c r="C78" s="852"/>
    </row>
    <row r="79" spans="1:3">
      <c r="A79" s="493"/>
      <c r="B79" s="851" t="s">
        <v>464</v>
      </c>
      <c r="C79" s="852"/>
    </row>
    <row r="80" spans="1:3">
      <c r="A80" s="880" t="s">
        <v>466</v>
      </c>
      <c r="B80" s="881"/>
      <c r="C80" s="882"/>
    </row>
    <row r="81" spans="1:3">
      <c r="A81" s="493"/>
      <c r="B81" s="851" t="s">
        <v>392</v>
      </c>
      <c r="C81" s="852"/>
    </row>
    <row r="82" spans="1:3">
      <c r="A82" s="493"/>
      <c r="B82" s="851" t="s">
        <v>467</v>
      </c>
      <c r="C82" s="852"/>
    </row>
    <row r="83" spans="1:3" ht="76.5" customHeight="1">
      <c r="A83" s="493"/>
      <c r="B83" s="851" t="s">
        <v>481</v>
      </c>
      <c r="C83" s="852"/>
    </row>
    <row r="84" spans="1:3" ht="53.25" customHeight="1">
      <c r="A84" s="493"/>
      <c r="B84" s="851" t="s">
        <v>480</v>
      </c>
      <c r="C84" s="852"/>
    </row>
    <row r="85" spans="1:3">
      <c r="A85" s="493"/>
      <c r="B85" s="851" t="s">
        <v>468</v>
      </c>
      <c r="C85" s="852"/>
    </row>
    <row r="86" spans="1:3">
      <c r="A86" s="493"/>
      <c r="B86" s="851" t="s">
        <v>469</v>
      </c>
      <c r="C86" s="852"/>
    </row>
    <row r="87" spans="1:3">
      <c r="A87" s="493"/>
      <c r="B87" s="851" t="s">
        <v>470</v>
      </c>
      <c r="C87" s="852"/>
    </row>
    <row r="88" spans="1:3">
      <c r="A88" s="880" t="s">
        <v>471</v>
      </c>
      <c r="B88" s="881"/>
      <c r="C88" s="882"/>
    </row>
    <row r="89" spans="1:3">
      <c r="A89" s="493"/>
      <c r="B89" s="851" t="s">
        <v>392</v>
      </c>
      <c r="C89" s="852"/>
    </row>
    <row r="90" spans="1:3">
      <c r="A90" s="493"/>
      <c r="B90" s="851" t="s">
        <v>473</v>
      </c>
      <c r="C90" s="852"/>
    </row>
    <row r="91" spans="1:3" ht="12" customHeight="1">
      <c r="A91" s="493"/>
      <c r="B91" s="851" t="s">
        <v>474</v>
      </c>
      <c r="C91" s="852"/>
    </row>
    <row r="92" spans="1:3">
      <c r="A92" s="493"/>
      <c r="B92" s="851" t="s">
        <v>475</v>
      </c>
      <c r="C92" s="852"/>
    </row>
    <row r="93" spans="1:3" ht="24.75" customHeight="1">
      <c r="A93" s="493"/>
      <c r="B93" s="883" t="s">
        <v>517</v>
      </c>
      <c r="C93" s="884"/>
    </row>
    <row r="94" spans="1:3" ht="24" customHeight="1">
      <c r="A94" s="493"/>
      <c r="B94" s="883" t="s">
        <v>518</v>
      </c>
      <c r="C94" s="884"/>
    </row>
    <row r="95" spans="1:3" ht="13.5" customHeight="1">
      <c r="A95" s="493"/>
      <c r="B95" s="866" t="s">
        <v>476</v>
      </c>
      <c r="C95" s="867"/>
    </row>
    <row r="96" spans="1:3" ht="11.25" customHeight="1" thickBot="1">
      <c r="A96" s="885" t="s">
        <v>513</v>
      </c>
      <c r="B96" s="886"/>
      <c r="C96" s="887"/>
    </row>
    <row r="97" spans="1:3" ht="12.75" thickTop="1" thickBot="1">
      <c r="A97" s="894" t="s">
        <v>401</v>
      </c>
      <c r="B97" s="894"/>
      <c r="C97" s="894"/>
    </row>
    <row r="98" spans="1:3">
      <c r="A98" s="279">
        <v>2</v>
      </c>
      <c r="B98" s="423" t="s">
        <v>493</v>
      </c>
      <c r="C98" s="423" t="s">
        <v>514</v>
      </c>
    </row>
    <row r="99" spans="1:3">
      <c r="A99" s="189">
        <v>3</v>
      </c>
      <c r="B99" s="424" t="s">
        <v>494</v>
      </c>
      <c r="C99" s="425" t="s">
        <v>515</v>
      </c>
    </row>
    <row r="100" spans="1:3">
      <c r="A100" s="189">
        <v>4</v>
      </c>
      <c r="B100" s="424" t="s">
        <v>495</v>
      </c>
      <c r="C100" s="425" t="s">
        <v>519</v>
      </c>
    </row>
    <row r="101" spans="1:3" ht="11.25" customHeight="1">
      <c r="A101" s="189">
        <v>5</v>
      </c>
      <c r="B101" s="424" t="s">
        <v>496</v>
      </c>
      <c r="C101" s="425" t="s">
        <v>516</v>
      </c>
    </row>
    <row r="102" spans="1:3" ht="12" customHeight="1">
      <c r="A102" s="189">
        <v>6</v>
      </c>
      <c r="B102" s="424" t="s">
        <v>511</v>
      </c>
      <c r="C102" s="425" t="s">
        <v>497</v>
      </c>
    </row>
    <row r="103" spans="1:3" ht="12" customHeight="1">
      <c r="A103" s="189">
        <v>7</v>
      </c>
      <c r="B103" s="424" t="s">
        <v>498</v>
      </c>
      <c r="C103" s="425" t="s">
        <v>512</v>
      </c>
    </row>
    <row r="104" spans="1:3">
      <c r="A104" s="189">
        <v>8</v>
      </c>
      <c r="B104" s="424" t="s">
        <v>503</v>
      </c>
      <c r="C104" s="425" t="s">
        <v>523</v>
      </c>
    </row>
    <row r="105" spans="1:3" ht="11.25" customHeight="1">
      <c r="A105" s="880" t="s">
        <v>477</v>
      </c>
      <c r="B105" s="881"/>
      <c r="C105" s="882"/>
    </row>
    <row r="106" spans="1:3" ht="12" customHeight="1">
      <c r="A106" s="493"/>
      <c r="B106" s="851" t="s">
        <v>392</v>
      </c>
      <c r="C106" s="852"/>
    </row>
    <row r="107" spans="1:3">
      <c r="A107" s="880" t="s">
        <v>660</v>
      </c>
      <c r="B107" s="881"/>
      <c r="C107" s="882"/>
    </row>
    <row r="108" spans="1:3" ht="12" customHeight="1">
      <c r="A108" s="493"/>
      <c r="B108" s="851" t="s">
        <v>662</v>
      </c>
      <c r="C108" s="852"/>
    </row>
    <row r="109" spans="1:3">
      <c r="A109" s="493"/>
      <c r="B109" s="851" t="s">
        <v>663</v>
      </c>
      <c r="C109" s="852"/>
    </row>
    <row r="110" spans="1:3">
      <c r="A110" s="493"/>
      <c r="B110" s="851" t="s">
        <v>661</v>
      </c>
      <c r="C110" s="852"/>
    </row>
    <row r="111" spans="1:3">
      <c r="A111" s="888" t="s">
        <v>951</v>
      </c>
      <c r="B111" s="888"/>
      <c r="C111" s="888"/>
    </row>
    <row r="112" spans="1:3">
      <c r="A112" s="889" t="s">
        <v>325</v>
      </c>
      <c r="B112" s="889"/>
      <c r="C112" s="889"/>
    </row>
    <row r="113" spans="1:3">
      <c r="A113" s="494">
        <v>1</v>
      </c>
      <c r="B113" s="890" t="s">
        <v>837</v>
      </c>
      <c r="C113" s="891"/>
    </row>
    <row r="114" spans="1:3">
      <c r="A114" s="494">
        <v>2</v>
      </c>
      <c r="B114" s="892" t="s">
        <v>838</v>
      </c>
      <c r="C114" s="893"/>
    </row>
    <row r="115" spans="1:3">
      <c r="A115" s="494">
        <v>3</v>
      </c>
      <c r="B115" s="890" t="s">
        <v>839</v>
      </c>
      <c r="C115" s="891"/>
    </row>
    <row r="116" spans="1:3">
      <c r="A116" s="494">
        <v>4</v>
      </c>
      <c r="B116" s="890" t="s">
        <v>840</v>
      </c>
      <c r="C116" s="891"/>
    </row>
    <row r="117" spans="1:3">
      <c r="A117" s="494">
        <v>5</v>
      </c>
      <c r="B117" s="890" t="s">
        <v>841</v>
      </c>
      <c r="C117" s="891"/>
    </row>
    <row r="118" spans="1:3" ht="55.5" customHeight="1">
      <c r="A118" s="494">
        <v>6</v>
      </c>
      <c r="B118" s="890" t="s">
        <v>952</v>
      </c>
      <c r="C118" s="891"/>
    </row>
    <row r="119" spans="1:3" ht="22.5">
      <c r="A119" s="494">
        <v>6.01</v>
      </c>
      <c r="B119" s="495" t="s">
        <v>696</v>
      </c>
      <c r="C119" s="538" t="s">
        <v>953</v>
      </c>
    </row>
    <row r="120" spans="1:3" ht="33.75">
      <c r="A120" s="494">
        <v>6.02</v>
      </c>
      <c r="B120" s="495" t="s">
        <v>697</v>
      </c>
      <c r="C120" s="536" t="s">
        <v>957</v>
      </c>
    </row>
    <row r="121" spans="1:3">
      <c r="A121" s="494">
        <v>6.03</v>
      </c>
      <c r="B121" s="501" t="s">
        <v>698</v>
      </c>
      <c r="C121" s="501" t="s">
        <v>842</v>
      </c>
    </row>
    <row r="122" spans="1:3">
      <c r="A122" s="494">
        <v>6.04</v>
      </c>
      <c r="B122" s="495" t="s">
        <v>699</v>
      </c>
      <c r="C122" s="497" t="s">
        <v>843</v>
      </c>
    </row>
    <row r="123" spans="1:3">
      <c r="A123" s="494">
        <v>6.05</v>
      </c>
      <c r="B123" s="495" t="s">
        <v>700</v>
      </c>
      <c r="C123" s="497" t="s">
        <v>844</v>
      </c>
    </row>
    <row r="124" spans="1:3" ht="22.5">
      <c r="A124" s="494">
        <v>6.06</v>
      </c>
      <c r="B124" s="495" t="s">
        <v>701</v>
      </c>
      <c r="C124" s="497" t="s">
        <v>845</v>
      </c>
    </row>
    <row r="125" spans="1:3">
      <c r="A125" s="494">
        <v>6.07</v>
      </c>
      <c r="B125" s="498" t="s">
        <v>702</v>
      </c>
      <c r="C125" s="497" t="s">
        <v>846</v>
      </c>
    </row>
    <row r="126" spans="1:3" ht="22.5">
      <c r="A126" s="494">
        <v>6.08</v>
      </c>
      <c r="B126" s="495" t="s">
        <v>703</v>
      </c>
      <c r="C126" s="497" t="s">
        <v>847</v>
      </c>
    </row>
    <row r="127" spans="1:3" ht="22.5">
      <c r="A127" s="494">
        <v>6.09</v>
      </c>
      <c r="B127" s="499" t="s">
        <v>704</v>
      </c>
      <c r="C127" s="497" t="s">
        <v>848</v>
      </c>
    </row>
    <row r="128" spans="1:3">
      <c r="A128" s="500">
        <v>6.1</v>
      </c>
      <c r="B128" s="499" t="s">
        <v>705</v>
      </c>
      <c r="C128" s="497" t="s">
        <v>849</v>
      </c>
    </row>
    <row r="129" spans="1:3">
      <c r="A129" s="494">
        <v>6.11</v>
      </c>
      <c r="B129" s="499" t="s">
        <v>706</v>
      </c>
      <c r="C129" s="497" t="s">
        <v>850</v>
      </c>
    </row>
    <row r="130" spans="1:3">
      <c r="A130" s="494">
        <v>6.12</v>
      </c>
      <c r="B130" s="499" t="s">
        <v>707</v>
      </c>
      <c r="C130" s="497" t="s">
        <v>851</v>
      </c>
    </row>
    <row r="131" spans="1:3">
      <c r="A131" s="494">
        <v>6.13</v>
      </c>
      <c r="B131" s="499" t="s">
        <v>708</v>
      </c>
      <c r="C131" s="501" t="s">
        <v>852</v>
      </c>
    </row>
    <row r="132" spans="1:3">
      <c r="A132" s="494">
        <v>6.14</v>
      </c>
      <c r="B132" s="499" t="s">
        <v>709</v>
      </c>
      <c r="C132" s="501" t="s">
        <v>853</v>
      </c>
    </row>
    <row r="133" spans="1:3">
      <c r="A133" s="494">
        <v>6.15</v>
      </c>
      <c r="B133" s="499" t="s">
        <v>710</v>
      </c>
      <c r="C133" s="501" t="s">
        <v>854</v>
      </c>
    </row>
    <row r="134" spans="1:3" ht="22.5">
      <c r="A134" s="494">
        <v>6.16</v>
      </c>
      <c r="B134" s="499" t="s">
        <v>711</v>
      </c>
      <c r="C134" s="501" t="s">
        <v>855</v>
      </c>
    </row>
    <row r="135" spans="1:3">
      <c r="A135" s="494">
        <v>6.17</v>
      </c>
      <c r="B135" s="501" t="s">
        <v>712</v>
      </c>
      <c r="C135" s="501" t="s">
        <v>856</v>
      </c>
    </row>
    <row r="136" spans="1:3" ht="22.5">
      <c r="A136" s="494">
        <v>6.18</v>
      </c>
      <c r="B136" s="499" t="s">
        <v>713</v>
      </c>
      <c r="C136" s="501" t="s">
        <v>857</v>
      </c>
    </row>
    <row r="137" spans="1:3">
      <c r="A137" s="494">
        <v>6.19</v>
      </c>
      <c r="B137" s="499" t="s">
        <v>714</v>
      </c>
      <c r="C137" s="501" t="s">
        <v>858</v>
      </c>
    </row>
    <row r="138" spans="1:3">
      <c r="A138" s="500">
        <v>6.2</v>
      </c>
      <c r="B138" s="499" t="s">
        <v>715</v>
      </c>
      <c r="C138" s="501" t="s">
        <v>859</v>
      </c>
    </row>
    <row r="139" spans="1:3">
      <c r="A139" s="494">
        <v>6.21</v>
      </c>
      <c r="B139" s="499" t="s">
        <v>716</v>
      </c>
      <c r="C139" s="501" t="s">
        <v>860</v>
      </c>
    </row>
    <row r="140" spans="1:3">
      <c r="A140" s="494">
        <v>6.22</v>
      </c>
      <c r="B140" s="499" t="s">
        <v>717</v>
      </c>
      <c r="C140" s="501" t="s">
        <v>861</v>
      </c>
    </row>
    <row r="141" spans="1:3" ht="22.5">
      <c r="A141" s="494">
        <v>6.23</v>
      </c>
      <c r="B141" s="499" t="s">
        <v>718</v>
      </c>
      <c r="C141" s="501" t="s">
        <v>862</v>
      </c>
    </row>
    <row r="142" spans="1:3" ht="22.5">
      <c r="A142" s="494">
        <v>6.24</v>
      </c>
      <c r="B142" s="495" t="s">
        <v>719</v>
      </c>
      <c r="C142" s="501" t="s">
        <v>863</v>
      </c>
    </row>
    <row r="143" spans="1:3">
      <c r="A143" s="494">
        <v>6.2500000000000098</v>
      </c>
      <c r="B143" s="495" t="s">
        <v>720</v>
      </c>
      <c r="C143" s="501" t="s">
        <v>864</v>
      </c>
    </row>
    <row r="144" spans="1:3" ht="22.5">
      <c r="A144" s="494">
        <v>6.2600000000000202</v>
      </c>
      <c r="B144" s="495" t="s">
        <v>865</v>
      </c>
      <c r="C144" s="540" t="s">
        <v>866</v>
      </c>
    </row>
    <row r="145" spans="1:3" ht="22.5">
      <c r="A145" s="494">
        <v>6.2700000000000298</v>
      </c>
      <c r="B145" s="495" t="s">
        <v>165</v>
      </c>
      <c r="C145" s="540" t="s">
        <v>955</v>
      </c>
    </row>
    <row r="146" spans="1:3">
      <c r="A146" s="494"/>
      <c r="B146" s="899" t="s">
        <v>867</v>
      </c>
      <c r="C146" s="900"/>
    </row>
    <row r="147" spans="1:3" s="503" customFormat="1">
      <c r="A147" s="502">
        <v>7.1</v>
      </c>
      <c r="B147" s="495" t="s">
        <v>868</v>
      </c>
      <c r="C147" s="903" t="s">
        <v>869</v>
      </c>
    </row>
    <row r="148" spans="1:3" s="503" customFormat="1">
      <c r="A148" s="502">
        <v>7.2</v>
      </c>
      <c r="B148" s="495" t="s">
        <v>870</v>
      </c>
      <c r="C148" s="904"/>
    </row>
    <row r="149" spans="1:3" s="503" customFormat="1">
      <c r="A149" s="502">
        <v>7.3</v>
      </c>
      <c r="B149" s="495" t="s">
        <v>871</v>
      </c>
      <c r="C149" s="904"/>
    </row>
    <row r="150" spans="1:3" s="503" customFormat="1">
      <c r="A150" s="502">
        <v>7.4</v>
      </c>
      <c r="B150" s="495" t="s">
        <v>872</v>
      </c>
      <c r="C150" s="904"/>
    </row>
    <row r="151" spans="1:3" s="503" customFormat="1">
      <c r="A151" s="502">
        <v>7.5</v>
      </c>
      <c r="B151" s="495" t="s">
        <v>873</v>
      </c>
      <c r="C151" s="904"/>
    </row>
    <row r="152" spans="1:3" s="503" customFormat="1">
      <c r="A152" s="502">
        <v>7.6</v>
      </c>
      <c r="B152" s="495" t="s">
        <v>946</v>
      </c>
      <c r="C152" s="905"/>
    </row>
    <row r="153" spans="1:3" s="503" customFormat="1" ht="22.5">
      <c r="A153" s="502">
        <v>7.7</v>
      </c>
      <c r="B153" s="495" t="s">
        <v>874</v>
      </c>
      <c r="C153" s="504" t="s">
        <v>875</v>
      </c>
    </row>
    <row r="154" spans="1:3" s="503" customFormat="1" ht="22.5">
      <c r="A154" s="502">
        <v>7.8</v>
      </c>
      <c r="B154" s="495" t="s">
        <v>876</v>
      </c>
      <c r="C154" s="504" t="s">
        <v>877</v>
      </c>
    </row>
    <row r="155" spans="1:3">
      <c r="A155" s="493"/>
      <c r="B155" s="899" t="s">
        <v>878</v>
      </c>
      <c r="C155" s="900"/>
    </row>
    <row r="156" spans="1:3">
      <c r="A156" s="502">
        <v>1</v>
      </c>
      <c r="B156" s="895" t="s">
        <v>960</v>
      </c>
      <c r="C156" s="896"/>
    </row>
    <row r="157" spans="1:3" ht="24.95" customHeight="1">
      <c r="A157" s="502">
        <v>2</v>
      </c>
      <c r="B157" s="897" t="s">
        <v>956</v>
      </c>
      <c r="C157" s="898"/>
    </row>
    <row r="158" spans="1:3">
      <c r="A158" s="502">
        <v>3</v>
      </c>
      <c r="B158" s="897" t="s">
        <v>945</v>
      </c>
      <c r="C158" s="898"/>
    </row>
    <row r="159" spans="1:3">
      <c r="A159" s="493"/>
      <c r="B159" s="899" t="s">
        <v>879</v>
      </c>
      <c r="C159" s="900"/>
    </row>
    <row r="160" spans="1:3" ht="39" customHeight="1">
      <c r="A160" s="502">
        <v>1</v>
      </c>
      <c r="B160" s="901" t="s">
        <v>962</v>
      </c>
      <c r="C160" s="902"/>
    </row>
    <row r="161" spans="1:3" ht="22.5">
      <c r="A161" s="502">
        <v>3</v>
      </c>
      <c r="B161" s="495" t="s">
        <v>684</v>
      </c>
      <c r="C161" s="504" t="s">
        <v>880</v>
      </c>
    </row>
    <row r="162" spans="1:3" ht="22.5">
      <c r="A162" s="502">
        <v>4</v>
      </c>
      <c r="B162" s="495" t="s">
        <v>685</v>
      </c>
      <c r="C162" s="504" t="s">
        <v>881</v>
      </c>
    </row>
    <row r="163" spans="1:3" ht="33.75">
      <c r="A163" s="502">
        <v>5</v>
      </c>
      <c r="B163" s="495" t="s">
        <v>686</v>
      </c>
      <c r="C163" s="504" t="s">
        <v>882</v>
      </c>
    </row>
    <row r="164" spans="1:3">
      <c r="A164" s="502">
        <v>6</v>
      </c>
      <c r="B164" s="495" t="s">
        <v>687</v>
      </c>
      <c r="C164" s="495" t="s">
        <v>883</v>
      </c>
    </row>
    <row r="165" spans="1:3">
      <c r="A165" s="493"/>
      <c r="B165" s="899" t="s">
        <v>884</v>
      </c>
      <c r="C165" s="900"/>
    </row>
    <row r="166" spans="1:3" ht="22.5">
      <c r="A166" s="502"/>
      <c r="B166" s="495" t="s">
        <v>885</v>
      </c>
      <c r="C166" s="505" t="s">
        <v>886</v>
      </c>
    </row>
    <row r="167" spans="1:3">
      <c r="A167" s="502"/>
      <c r="B167" s="495" t="s">
        <v>686</v>
      </c>
      <c r="C167" s="504" t="s">
        <v>887</v>
      </c>
    </row>
    <row r="168" spans="1:3">
      <c r="A168" s="493"/>
      <c r="B168" s="899" t="s">
        <v>888</v>
      </c>
      <c r="C168" s="900"/>
    </row>
    <row r="169" spans="1:3">
      <c r="A169" s="493"/>
      <c r="B169" s="851" t="s">
        <v>949</v>
      </c>
      <c r="C169" s="852"/>
    </row>
    <row r="170" spans="1:3">
      <c r="A170" s="493" t="s">
        <v>889</v>
      </c>
      <c r="B170" s="506" t="s">
        <v>744</v>
      </c>
      <c r="C170" s="507" t="s">
        <v>890</v>
      </c>
    </row>
    <row r="171" spans="1:3">
      <c r="A171" s="493" t="s">
        <v>538</v>
      </c>
      <c r="B171" s="508" t="s">
        <v>745</v>
      </c>
      <c r="C171" s="504" t="s">
        <v>891</v>
      </c>
    </row>
    <row r="172" spans="1:3" ht="22.5">
      <c r="A172" s="493" t="s">
        <v>545</v>
      </c>
      <c r="B172" s="507" t="s">
        <v>746</v>
      </c>
      <c r="C172" s="504" t="s">
        <v>892</v>
      </c>
    </row>
    <row r="173" spans="1:3">
      <c r="A173" s="493" t="s">
        <v>893</v>
      </c>
      <c r="B173" s="508" t="s">
        <v>747</v>
      </c>
      <c r="C173" s="508" t="s">
        <v>894</v>
      </c>
    </row>
    <row r="174" spans="1:3" ht="22.5">
      <c r="A174" s="493" t="s">
        <v>895</v>
      </c>
      <c r="B174" s="509" t="s">
        <v>748</v>
      </c>
      <c r="C174" s="509" t="s">
        <v>896</v>
      </c>
    </row>
    <row r="175" spans="1:3" ht="22.5">
      <c r="A175" s="493" t="s">
        <v>546</v>
      </c>
      <c r="B175" s="509" t="s">
        <v>749</v>
      </c>
      <c r="C175" s="509" t="s">
        <v>897</v>
      </c>
    </row>
    <row r="176" spans="1:3" ht="22.5">
      <c r="A176" s="493" t="s">
        <v>898</v>
      </c>
      <c r="B176" s="509" t="s">
        <v>750</v>
      </c>
      <c r="C176" s="509" t="s">
        <v>899</v>
      </c>
    </row>
    <row r="177" spans="1:3" ht="22.5">
      <c r="A177" s="493" t="s">
        <v>900</v>
      </c>
      <c r="B177" s="509" t="s">
        <v>751</v>
      </c>
      <c r="C177" s="509" t="s">
        <v>902</v>
      </c>
    </row>
    <row r="178" spans="1:3" ht="22.5">
      <c r="A178" s="493" t="s">
        <v>901</v>
      </c>
      <c r="B178" s="509" t="s">
        <v>752</v>
      </c>
      <c r="C178" s="509" t="s">
        <v>904</v>
      </c>
    </row>
    <row r="179" spans="1:3" ht="22.5">
      <c r="A179" s="493" t="s">
        <v>903</v>
      </c>
      <c r="B179" s="509" t="s">
        <v>753</v>
      </c>
      <c r="C179" s="510" t="s">
        <v>906</v>
      </c>
    </row>
    <row r="180" spans="1:3" ht="22.5">
      <c r="A180" s="493" t="s">
        <v>905</v>
      </c>
      <c r="B180" s="527" t="s">
        <v>754</v>
      </c>
      <c r="C180" s="510" t="s">
        <v>908</v>
      </c>
    </row>
    <row r="181" spans="1:3" ht="22.5">
      <c r="A181" s="493" t="s">
        <v>907</v>
      </c>
      <c r="B181" s="509" t="s">
        <v>755</v>
      </c>
      <c r="C181" s="511" t="s">
        <v>910</v>
      </c>
    </row>
    <row r="182" spans="1:3">
      <c r="A182" s="537" t="s">
        <v>909</v>
      </c>
      <c r="B182" s="512" t="s">
        <v>756</v>
      </c>
      <c r="C182" s="507" t="s">
        <v>911</v>
      </c>
    </row>
    <row r="183" spans="1:3" ht="22.5">
      <c r="A183" s="493"/>
      <c r="B183" s="513" t="s">
        <v>912</v>
      </c>
      <c r="C183" s="497" t="s">
        <v>913</v>
      </c>
    </row>
    <row r="184" spans="1:3" ht="22.5">
      <c r="A184" s="493"/>
      <c r="B184" s="513" t="s">
        <v>914</v>
      </c>
      <c r="C184" s="497" t="s">
        <v>915</v>
      </c>
    </row>
    <row r="185" spans="1:3" ht="22.5">
      <c r="A185" s="493"/>
      <c r="B185" s="513" t="s">
        <v>916</v>
      </c>
      <c r="C185" s="497" t="s">
        <v>917</v>
      </c>
    </row>
    <row r="186" spans="1:3">
      <c r="A186" s="493"/>
      <c r="B186" s="899" t="s">
        <v>918</v>
      </c>
      <c r="C186" s="900"/>
    </row>
    <row r="187" spans="1:3" ht="50.1" customHeight="1">
      <c r="A187" s="493"/>
      <c r="B187" s="895" t="s">
        <v>961</v>
      </c>
      <c r="C187" s="896"/>
    </row>
    <row r="188" spans="1:3">
      <c r="A188" s="502">
        <v>1</v>
      </c>
      <c r="B188" s="501" t="s">
        <v>776</v>
      </c>
      <c r="C188" s="501" t="s">
        <v>776</v>
      </c>
    </row>
    <row r="189" spans="1:3" ht="33.75">
      <c r="A189" s="502">
        <v>2</v>
      </c>
      <c r="B189" s="501" t="s">
        <v>919</v>
      </c>
      <c r="C189" s="501" t="s">
        <v>920</v>
      </c>
    </row>
    <row r="190" spans="1:3">
      <c r="A190" s="502">
        <v>3</v>
      </c>
      <c r="B190" s="501" t="s">
        <v>778</v>
      </c>
      <c r="C190" s="501" t="s">
        <v>921</v>
      </c>
    </row>
    <row r="191" spans="1:3" ht="22.5">
      <c r="A191" s="502">
        <v>4</v>
      </c>
      <c r="B191" s="501" t="s">
        <v>779</v>
      </c>
      <c r="C191" s="501" t="s">
        <v>922</v>
      </c>
    </row>
    <row r="192" spans="1:3" ht="22.5">
      <c r="A192" s="502">
        <v>5</v>
      </c>
      <c r="B192" s="501" t="s">
        <v>780</v>
      </c>
      <c r="C192" s="496" t="s">
        <v>963</v>
      </c>
    </row>
    <row r="193" spans="1:4" ht="45">
      <c r="A193" s="502">
        <v>6</v>
      </c>
      <c r="B193" s="501" t="s">
        <v>781</v>
      </c>
      <c r="C193" s="501" t="s">
        <v>923</v>
      </c>
    </row>
    <row r="194" spans="1:4">
      <c r="A194" s="493"/>
      <c r="B194" s="899" t="s">
        <v>924</v>
      </c>
      <c r="C194" s="900"/>
    </row>
    <row r="195" spans="1:4" ht="26.1" customHeight="1">
      <c r="A195" s="493"/>
      <c r="B195" s="906" t="s">
        <v>947</v>
      </c>
      <c r="C195" s="908"/>
    </row>
    <row r="196" spans="1:4" ht="22.5">
      <c r="A196" s="493">
        <v>1.1000000000000001</v>
      </c>
      <c r="B196" s="514" t="s">
        <v>791</v>
      </c>
      <c r="C196" s="528" t="s">
        <v>925</v>
      </c>
      <c r="D196" s="529"/>
    </row>
    <row r="197" spans="1:4" ht="12.75">
      <c r="A197" s="493" t="s">
        <v>252</v>
      </c>
      <c r="B197" s="515" t="s">
        <v>792</v>
      </c>
      <c r="C197" s="528" t="s">
        <v>926</v>
      </c>
      <c r="D197" s="530"/>
    </row>
    <row r="198" spans="1:4" ht="12.75">
      <c r="A198" s="493" t="s">
        <v>793</v>
      </c>
      <c r="B198" s="516" t="s">
        <v>794</v>
      </c>
      <c r="C198" s="860" t="s">
        <v>948</v>
      </c>
      <c r="D198" s="531"/>
    </row>
    <row r="199" spans="1:4" ht="12.75">
      <c r="A199" s="493" t="s">
        <v>795</v>
      </c>
      <c r="B199" s="516" t="s">
        <v>796</v>
      </c>
      <c r="C199" s="860"/>
      <c r="D199" s="531"/>
    </row>
    <row r="200" spans="1:4" ht="12.75">
      <c r="A200" s="493" t="s">
        <v>797</v>
      </c>
      <c r="B200" s="516" t="s">
        <v>798</v>
      </c>
      <c r="C200" s="860"/>
      <c r="D200" s="531"/>
    </row>
    <row r="201" spans="1:4" ht="12.75">
      <c r="A201" s="493" t="s">
        <v>799</v>
      </c>
      <c r="B201" s="516" t="s">
        <v>800</v>
      </c>
      <c r="C201" s="860"/>
      <c r="D201" s="531"/>
    </row>
    <row r="202" spans="1:4" ht="22.5">
      <c r="A202" s="493">
        <v>1.2</v>
      </c>
      <c r="B202" s="517" t="s">
        <v>801</v>
      </c>
      <c r="C202" s="518" t="s">
        <v>927</v>
      </c>
      <c r="D202" s="532"/>
    </row>
    <row r="203" spans="1:4" ht="22.5">
      <c r="A203" s="493" t="s">
        <v>803</v>
      </c>
      <c r="B203" s="519" t="s">
        <v>804</v>
      </c>
      <c r="C203" s="520" t="s">
        <v>928</v>
      </c>
      <c r="D203" s="533"/>
    </row>
    <row r="204" spans="1:4" ht="23.25">
      <c r="A204" s="493" t="s">
        <v>805</v>
      </c>
      <c r="B204" s="521" t="s">
        <v>806</v>
      </c>
      <c r="C204" s="520" t="s">
        <v>929</v>
      </c>
      <c r="D204" s="534"/>
    </row>
    <row r="205" spans="1:4" ht="12.75">
      <c r="A205" s="493" t="s">
        <v>807</v>
      </c>
      <c r="B205" s="522" t="s">
        <v>808</v>
      </c>
      <c r="C205" s="518" t="s">
        <v>930</v>
      </c>
      <c r="D205" s="533"/>
    </row>
    <row r="206" spans="1:4" ht="18" customHeight="1">
      <c r="A206" s="493" t="s">
        <v>809</v>
      </c>
      <c r="B206" s="525" t="s">
        <v>810</v>
      </c>
      <c r="C206" s="518" t="s">
        <v>931</v>
      </c>
      <c r="D206" s="534"/>
    </row>
    <row r="207" spans="1:4" ht="22.5">
      <c r="A207" s="493">
        <v>1.4</v>
      </c>
      <c r="B207" s="519" t="s">
        <v>943</v>
      </c>
      <c r="C207" s="523" t="s">
        <v>932</v>
      </c>
      <c r="D207" s="535"/>
    </row>
    <row r="208" spans="1:4" ht="12.75">
      <c r="A208" s="493">
        <v>1.5</v>
      </c>
      <c r="B208" s="519" t="s">
        <v>944</v>
      </c>
      <c r="C208" s="523" t="s">
        <v>932</v>
      </c>
      <c r="D208" s="535"/>
    </row>
    <row r="209" spans="1:3">
      <c r="A209" s="493"/>
      <c r="B209" s="888" t="s">
        <v>933</v>
      </c>
      <c r="C209" s="888"/>
    </row>
    <row r="210" spans="1:3" ht="24.6" customHeight="1">
      <c r="A210" s="493"/>
      <c r="B210" s="906" t="s">
        <v>934</v>
      </c>
      <c r="C210" s="906"/>
    </row>
    <row r="211" spans="1:3" ht="22.5">
      <c r="A211" s="502"/>
      <c r="B211" s="495" t="s">
        <v>684</v>
      </c>
      <c r="C211" s="504" t="s">
        <v>880</v>
      </c>
    </row>
    <row r="212" spans="1:3" ht="22.5">
      <c r="A212" s="502"/>
      <c r="B212" s="495" t="s">
        <v>685</v>
      </c>
      <c r="C212" s="504" t="s">
        <v>881</v>
      </c>
    </row>
    <row r="213" spans="1:3" ht="22.5">
      <c r="A213" s="493"/>
      <c r="B213" s="495" t="s">
        <v>686</v>
      </c>
      <c r="C213" s="504" t="s">
        <v>935</v>
      </c>
    </row>
    <row r="214" spans="1:3">
      <c r="A214" s="493"/>
      <c r="B214" s="888" t="s">
        <v>936</v>
      </c>
      <c r="C214" s="888"/>
    </row>
    <row r="215" spans="1:3" ht="36" customHeight="1">
      <c r="A215" s="502"/>
      <c r="B215" s="907" t="s">
        <v>950</v>
      </c>
      <c r="C215" s="907"/>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9.9978637043366805E-2"/>
  </sheetPr>
  <dimension ref="A1:H43"/>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
    </sheetView>
  </sheetViews>
  <sheetFormatPr defaultRowHeight="15"/>
  <cols>
    <col min="1" max="1" width="9.5703125" style="1" bestFit="1" customWidth="1"/>
    <col min="2" max="2" width="55.140625" style="1" bestFit="1" customWidth="1"/>
    <col min="3" max="3" width="12.7109375" style="1" bestFit="1" customWidth="1"/>
    <col min="4" max="4" width="17" style="1" customWidth="1"/>
    <col min="5" max="5" width="14.5703125" style="1" customWidth="1"/>
    <col min="6" max="6" width="14.42578125" style="1" customWidth="1"/>
    <col min="7" max="7" width="13.7109375" style="1" customWidth="1"/>
    <col min="8" max="8" width="14.5703125" style="1" customWidth="1"/>
  </cols>
  <sheetData>
    <row r="1" spans="1:8" ht="15.75">
      <c r="A1" s="11" t="s">
        <v>188</v>
      </c>
      <c r="B1" s="277" t="s">
        <v>1003</v>
      </c>
    </row>
    <row r="2" spans="1:8" ht="15.75">
      <c r="A2" s="11" t="s">
        <v>189</v>
      </c>
      <c r="B2" s="383">
        <f>'1. key ratios'!B2</f>
        <v>44377</v>
      </c>
    </row>
    <row r="3" spans="1:8" ht="15.75">
      <c r="A3" s="11"/>
      <c r="H3" s="1">
        <v>0</v>
      </c>
    </row>
    <row r="4" spans="1:8" ht="16.5" thickBot="1">
      <c r="A4" s="23" t="s">
        <v>405</v>
      </c>
      <c r="B4" s="60" t="s">
        <v>244</v>
      </c>
      <c r="C4" s="23"/>
      <c r="D4" s="24"/>
      <c r="E4" s="24"/>
      <c r="F4" s="25"/>
      <c r="G4" s="25"/>
      <c r="H4" s="26" t="s">
        <v>93</v>
      </c>
    </row>
    <row r="5" spans="1:8" ht="15.75">
      <c r="A5" s="27"/>
      <c r="B5" s="28"/>
      <c r="C5" s="741" t="s">
        <v>194</v>
      </c>
      <c r="D5" s="742"/>
      <c r="E5" s="743"/>
      <c r="F5" s="741" t="s">
        <v>195</v>
      </c>
      <c r="G5" s="742"/>
      <c r="H5" s="744"/>
    </row>
    <row r="6" spans="1:8" ht="15.75">
      <c r="A6" s="29" t="s">
        <v>26</v>
      </c>
      <c r="B6" s="30" t="s">
        <v>153</v>
      </c>
      <c r="C6" s="31" t="s">
        <v>27</v>
      </c>
      <c r="D6" s="31" t="s">
        <v>94</v>
      </c>
      <c r="E6" s="31" t="s">
        <v>68</v>
      </c>
      <c r="F6" s="31" t="s">
        <v>27</v>
      </c>
      <c r="G6" s="31" t="s">
        <v>94</v>
      </c>
      <c r="H6" s="32" t="s">
        <v>68</v>
      </c>
    </row>
    <row r="7" spans="1:8" ht="15.75">
      <c r="A7" s="29">
        <v>1</v>
      </c>
      <c r="B7" s="33" t="s">
        <v>154</v>
      </c>
      <c r="C7" s="553">
        <v>288683035.94999999</v>
      </c>
      <c r="D7" s="553">
        <v>410014861.23000002</v>
      </c>
      <c r="E7" s="201">
        <f>C7+D7</f>
        <v>698697897.18000007</v>
      </c>
      <c r="F7" s="202">
        <v>264989610</v>
      </c>
      <c r="G7" s="203">
        <v>369470640</v>
      </c>
      <c r="H7" s="204">
        <v>634460250</v>
      </c>
    </row>
    <row r="8" spans="1:8" ht="15.75">
      <c r="A8" s="29">
        <v>2</v>
      </c>
      <c r="B8" s="33" t="s">
        <v>155</v>
      </c>
      <c r="C8" s="553">
        <v>147363666.34999999</v>
      </c>
      <c r="D8" s="553">
        <v>1975327857.8799999</v>
      </c>
      <c r="E8" s="201">
        <f t="shared" ref="E8:E20" si="0">C8+D8</f>
        <v>2122691524.2299998</v>
      </c>
      <c r="F8" s="202">
        <v>271535525</v>
      </c>
      <c r="G8" s="203">
        <v>1680900039</v>
      </c>
      <c r="H8" s="204">
        <v>1952435564</v>
      </c>
    </row>
    <row r="9" spans="1:8" ht="15.75">
      <c r="A9" s="29">
        <v>3</v>
      </c>
      <c r="B9" s="33" t="s">
        <v>156</v>
      </c>
      <c r="C9" s="553">
        <v>13119930.390000001</v>
      </c>
      <c r="D9" s="553">
        <v>817981993.29999995</v>
      </c>
      <c r="E9" s="201">
        <f t="shared" si="0"/>
        <v>831101923.68999994</v>
      </c>
      <c r="F9" s="202">
        <v>35201</v>
      </c>
      <c r="G9" s="203">
        <v>655815812</v>
      </c>
      <c r="H9" s="204">
        <v>655851014</v>
      </c>
    </row>
    <row r="10" spans="1:8" ht="15.75">
      <c r="A10" s="29">
        <v>4</v>
      </c>
      <c r="B10" s="33" t="s">
        <v>185</v>
      </c>
      <c r="C10" s="553">
        <v>303.24</v>
      </c>
      <c r="D10" s="553">
        <v>0</v>
      </c>
      <c r="E10" s="201">
        <f t="shared" si="0"/>
        <v>303.24</v>
      </c>
      <c r="F10" s="202">
        <v>303</v>
      </c>
      <c r="G10" s="203">
        <v>0</v>
      </c>
      <c r="H10" s="204">
        <v>303</v>
      </c>
    </row>
    <row r="11" spans="1:8" ht="15.75">
      <c r="A11" s="29">
        <v>5</v>
      </c>
      <c r="B11" s="33" t="s">
        <v>157</v>
      </c>
      <c r="C11" s="553">
        <v>1934300127.2400002</v>
      </c>
      <c r="D11" s="553">
        <v>55511574.629999995</v>
      </c>
      <c r="E11" s="201">
        <f t="shared" si="0"/>
        <v>1989811701.8700004</v>
      </c>
      <c r="F11" s="202">
        <v>1910456000</v>
      </c>
      <c r="G11" s="203">
        <v>49649964</v>
      </c>
      <c r="H11" s="204">
        <v>1960105964</v>
      </c>
    </row>
    <row r="12" spans="1:8" ht="15.75">
      <c r="A12" s="29">
        <v>6.1</v>
      </c>
      <c r="B12" s="34" t="s">
        <v>158</v>
      </c>
      <c r="C12" s="553">
        <v>6407747417.8374996</v>
      </c>
      <c r="D12" s="553">
        <v>7546860473.4709997</v>
      </c>
      <c r="E12" s="201">
        <f t="shared" si="0"/>
        <v>13954607891.308498</v>
      </c>
      <c r="F12" s="202">
        <v>4950302836</v>
      </c>
      <c r="G12" s="203">
        <v>6796278782</v>
      </c>
      <c r="H12" s="204">
        <v>11746581619</v>
      </c>
    </row>
    <row r="13" spans="1:8" ht="15.75">
      <c r="A13" s="29">
        <v>6.2</v>
      </c>
      <c r="B13" s="34" t="s">
        <v>159</v>
      </c>
      <c r="C13" s="553">
        <v>-270612605.0478</v>
      </c>
      <c r="D13" s="553">
        <v>-387211013.30900002</v>
      </c>
      <c r="E13" s="201">
        <f t="shared" si="0"/>
        <v>-657823618.35680008</v>
      </c>
      <c r="F13" s="202">
        <v>-474890525</v>
      </c>
      <c r="G13" s="203">
        <v>-300010887</v>
      </c>
      <c r="H13" s="204">
        <v>-774901412</v>
      </c>
    </row>
    <row r="14" spans="1:8" ht="15.75">
      <c r="A14" s="29">
        <v>6</v>
      </c>
      <c r="B14" s="33" t="s">
        <v>160</v>
      </c>
      <c r="C14" s="554">
        <f>C12+C13</f>
        <v>6137134812.7896996</v>
      </c>
      <c r="D14" s="554">
        <f>D12+D13</f>
        <v>7159649460.1619997</v>
      </c>
      <c r="E14" s="201">
        <f t="shared" si="0"/>
        <v>13296784272.951698</v>
      </c>
      <c r="F14" s="201">
        <v>4475412311</v>
      </c>
      <c r="G14" s="201">
        <v>6496267896</v>
      </c>
      <c r="H14" s="204">
        <v>10971680207</v>
      </c>
    </row>
    <row r="15" spans="1:8" ht="15.75">
      <c r="A15" s="29">
        <v>7</v>
      </c>
      <c r="B15" s="33" t="s">
        <v>161</v>
      </c>
      <c r="C15" s="553">
        <v>133909155.95640002</v>
      </c>
      <c r="D15" s="553">
        <v>56408111.801899992</v>
      </c>
      <c r="E15" s="201">
        <f t="shared" si="0"/>
        <v>190317267.75830001</v>
      </c>
      <c r="F15" s="202">
        <v>195298550</v>
      </c>
      <c r="G15" s="203">
        <v>85408173</v>
      </c>
      <c r="H15" s="204">
        <v>280706723</v>
      </c>
    </row>
    <row r="16" spans="1:8" ht="15.75">
      <c r="A16" s="29">
        <v>8</v>
      </c>
      <c r="B16" s="33" t="s">
        <v>162</v>
      </c>
      <c r="C16" s="553">
        <v>99459384.688999996</v>
      </c>
      <c r="D16" s="553">
        <v>0</v>
      </c>
      <c r="E16" s="201">
        <f t="shared" si="0"/>
        <v>99459384.688999996</v>
      </c>
      <c r="F16" s="202">
        <v>97601889</v>
      </c>
      <c r="G16" s="203">
        <v>0</v>
      </c>
      <c r="H16" s="204">
        <v>97601889</v>
      </c>
    </row>
    <row r="17" spans="1:8" ht="15.75">
      <c r="A17" s="29">
        <v>9</v>
      </c>
      <c r="B17" s="33" t="s">
        <v>163</v>
      </c>
      <c r="C17" s="553">
        <v>147720126.86000001</v>
      </c>
      <c r="D17" s="553">
        <v>4646254.6000000006</v>
      </c>
      <c r="E17" s="201">
        <f t="shared" si="0"/>
        <v>152366381.46000001</v>
      </c>
      <c r="F17" s="202">
        <v>142539239</v>
      </c>
      <c r="G17" s="203">
        <v>1161993</v>
      </c>
      <c r="H17" s="204">
        <v>143701232</v>
      </c>
    </row>
    <row r="18" spans="1:8" ht="15.75">
      <c r="A18" s="29">
        <v>10</v>
      </c>
      <c r="B18" s="33" t="s">
        <v>164</v>
      </c>
      <c r="C18" s="553">
        <v>517421737</v>
      </c>
      <c r="D18" s="553">
        <v>0</v>
      </c>
      <c r="E18" s="201">
        <f t="shared" si="0"/>
        <v>517421737</v>
      </c>
      <c r="F18" s="202">
        <v>528198404</v>
      </c>
      <c r="G18" s="203">
        <v>0</v>
      </c>
      <c r="H18" s="204">
        <v>528198404</v>
      </c>
    </row>
    <row r="19" spans="1:8" ht="15.75">
      <c r="A19" s="29">
        <v>11</v>
      </c>
      <c r="B19" s="33" t="s">
        <v>165</v>
      </c>
      <c r="C19" s="553">
        <v>136022504.05590001</v>
      </c>
      <c r="D19" s="553">
        <v>110696960.23920003</v>
      </c>
      <c r="E19" s="201">
        <f t="shared" si="0"/>
        <v>246719464.29510003</v>
      </c>
      <c r="F19" s="202">
        <v>166039752</v>
      </c>
      <c r="G19" s="203">
        <v>61229296</v>
      </c>
      <c r="H19" s="204">
        <v>227269048</v>
      </c>
    </row>
    <row r="20" spans="1:8" ht="15.75">
      <c r="A20" s="29">
        <v>12</v>
      </c>
      <c r="B20" s="35" t="s">
        <v>166</v>
      </c>
      <c r="C20" s="554">
        <f>SUM(C7:C11)+SUM(C14:C19)</f>
        <v>9555134784.5209999</v>
      </c>
      <c r="D20" s="554">
        <f>SUM(D7:D11)+SUM(D14:D19)</f>
        <v>10590237073.8431</v>
      </c>
      <c r="E20" s="201">
        <f t="shared" si="0"/>
        <v>20145371858.364098</v>
      </c>
      <c r="F20" s="201">
        <v>8052106784</v>
      </c>
      <c r="G20" s="201">
        <v>9399903813</v>
      </c>
      <c r="H20" s="204">
        <v>17452010598</v>
      </c>
    </row>
    <row r="21" spans="1:8" ht="15.75">
      <c r="A21" s="29"/>
      <c r="B21" s="30" t="s">
        <v>183</v>
      </c>
      <c r="C21" s="555"/>
      <c r="D21" s="555"/>
      <c r="E21" s="205"/>
      <c r="F21" s="206"/>
      <c r="G21" s="207"/>
      <c r="H21" s="208"/>
    </row>
    <row r="22" spans="1:8" ht="15.75">
      <c r="A22" s="29">
        <v>13</v>
      </c>
      <c r="B22" s="33" t="s">
        <v>167</v>
      </c>
      <c r="C22" s="553">
        <v>51891572.859999999</v>
      </c>
      <c r="D22" s="553">
        <v>194241040.85999998</v>
      </c>
      <c r="E22" s="201">
        <f>C22+D22</f>
        <v>246132613.71999997</v>
      </c>
      <c r="F22" s="202">
        <v>134468887</v>
      </c>
      <c r="G22" s="203">
        <v>137654966</v>
      </c>
      <c r="H22" s="204">
        <v>272123854</v>
      </c>
    </row>
    <row r="23" spans="1:8" ht="15.75">
      <c r="A23" s="29">
        <v>14</v>
      </c>
      <c r="B23" s="33" t="s">
        <v>168</v>
      </c>
      <c r="C23" s="553">
        <v>1341015453.7364998</v>
      </c>
      <c r="D23" s="553">
        <v>1651445007.6500001</v>
      </c>
      <c r="E23" s="201">
        <f t="shared" ref="E23:E40" si="1">C23+D23</f>
        <v>2992460461.3864999</v>
      </c>
      <c r="F23" s="202">
        <v>1033211765</v>
      </c>
      <c r="G23" s="203">
        <v>1246140079</v>
      </c>
      <c r="H23" s="204">
        <v>2279351845</v>
      </c>
    </row>
    <row r="24" spans="1:8" ht="15.75">
      <c r="A24" s="29">
        <v>15</v>
      </c>
      <c r="B24" s="33" t="s">
        <v>169</v>
      </c>
      <c r="C24" s="553">
        <v>985526723.95000005</v>
      </c>
      <c r="D24" s="553">
        <v>1958854950.7399998</v>
      </c>
      <c r="E24" s="201">
        <f t="shared" si="1"/>
        <v>2944381674.6899996</v>
      </c>
      <c r="F24" s="202">
        <v>841607159</v>
      </c>
      <c r="G24" s="203">
        <v>1728332955</v>
      </c>
      <c r="H24" s="204">
        <v>2569940114</v>
      </c>
    </row>
    <row r="25" spans="1:8" ht="15.75">
      <c r="A25" s="29">
        <v>16</v>
      </c>
      <c r="B25" s="33" t="s">
        <v>170</v>
      </c>
      <c r="C25" s="553">
        <v>3429909282.9700003</v>
      </c>
      <c r="D25" s="553">
        <v>4076718102.3699999</v>
      </c>
      <c r="E25" s="201">
        <f t="shared" si="1"/>
        <v>7506627385.3400002</v>
      </c>
      <c r="F25" s="202">
        <v>2436907069</v>
      </c>
      <c r="G25" s="203">
        <v>3662011518</v>
      </c>
      <c r="H25" s="204">
        <v>6098918587</v>
      </c>
    </row>
    <row r="26" spans="1:8" ht="15.75">
      <c r="A26" s="29">
        <v>17</v>
      </c>
      <c r="B26" s="33" t="s">
        <v>171</v>
      </c>
      <c r="C26" s="553">
        <v>0</v>
      </c>
      <c r="D26" s="553">
        <v>1035349129.26</v>
      </c>
      <c r="E26" s="201">
        <f t="shared" si="1"/>
        <v>1035349129.26</v>
      </c>
      <c r="F26" s="206">
        <v>0</v>
      </c>
      <c r="G26" s="207">
        <v>1127759866</v>
      </c>
      <c r="H26" s="204">
        <v>1127759866</v>
      </c>
    </row>
    <row r="27" spans="1:8" ht="15.75">
      <c r="A27" s="29">
        <v>18</v>
      </c>
      <c r="B27" s="33" t="s">
        <v>172</v>
      </c>
      <c r="C27" s="553">
        <v>1004332692.2</v>
      </c>
      <c r="D27" s="553">
        <v>700171762.97000003</v>
      </c>
      <c r="E27" s="201">
        <f t="shared" si="1"/>
        <v>1704504455.1700001</v>
      </c>
      <c r="F27" s="202">
        <v>1570114481</v>
      </c>
      <c r="G27" s="203">
        <v>547610898</v>
      </c>
      <c r="H27" s="204">
        <v>2117725378</v>
      </c>
    </row>
    <row r="28" spans="1:8" ht="15.75">
      <c r="A28" s="29">
        <v>19</v>
      </c>
      <c r="B28" s="33" t="s">
        <v>173</v>
      </c>
      <c r="C28" s="553">
        <v>53172452.789999992</v>
      </c>
      <c r="D28" s="553">
        <v>42008069.940000005</v>
      </c>
      <c r="E28" s="201">
        <f t="shared" si="1"/>
        <v>95180522.729999989</v>
      </c>
      <c r="F28" s="202">
        <v>50287713</v>
      </c>
      <c r="G28" s="203">
        <v>48664662</v>
      </c>
      <c r="H28" s="204">
        <v>98952375</v>
      </c>
    </row>
    <row r="29" spans="1:8" ht="15.75">
      <c r="A29" s="29">
        <v>20</v>
      </c>
      <c r="B29" s="33" t="s">
        <v>95</v>
      </c>
      <c r="C29" s="553">
        <v>120499556.14749999</v>
      </c>
      <c r="D29" s="553">
        <v>269579111.00040001</v>
      </c>
      <c r="E29" s="201">
        <f t="shared" si="1"/>
        <v>390078667.14789999</v>
      </c>
      <c r="F29" s="202">
        <v>86918791</v>
      </c>
      <c r="G29" s="203">
        <v>237136408</v>
      </c>
      <c r="H29" s="204">
        <v>324055199</v>
      </c>
    </row>
    <row r="30" spans="1:8" ht="15.75">
      <c r="A30" s="29">
        <v>21</v>
      </c>
      <c r="B30" s="33" t="s">
        <v>174</v>
      </c>
      <c r="C30" s="553">
        <v>0</v>
      </c>
      <c r="D30" s="553">
        <v>1001815100</v>
      </c>
      <c r="E30" s="201">
        <f t="shared" si="1"/>
        <v>1001815100</v>
      </c>
      <c r="F30" s="202">
        <v>0</v>
      </c>
      <c r="G30" s="203">
        <v>968498400</v>
      </c>
      <c r="H30" s="204">
        <v>968498400</v>
      </c>
    </row>
    <row r="31" spans="1:8" ht="15.75">
      <c r="A31" s="29">
        <v>22</v>
      </c>
      <c r="B31" s="35" t="s">
        <v>175</v>
      </c>
      <c r="C31" s="554">
        <f>SUM(C22:C30)</f>
        <v>6986347734.6540003</v>
      </c>
      <c r="D31" s="554">
        <f>SUM(D22:D30)</f>
        <v>10930182274.7904</v>
      </c>
      <c r="E31" s="201">
        <f>C31+D31</f>
        <v>17916530009.444401</v>
      </c>
      <c r="F31" s="201">
        <v>6153515866</v>
      </c>
      <c r="G31" s="201">
        <v>9703809751</v>
      </c>
      <c r="H31" s="204">
        <v>15857325617</v>
      </c>
    </row>
    <row r="32" spans="1:8" ht="15.75">
      <c r="A32" s="29"/>
      <c r="B32" s="30" t="s">
        <v>184</v>
      </c>
      <c r="C32" s="555"/>
      <c r="D32" s="555"/>
      <c r="E32" s="200"/>
      <c r="F32" s="206"/>
      <c r="G32" s="207"/>
      <c r="H32" s="208"/>
    </row>
    <row r="33" spans="1:8" ht="15.75">
      <c r="A33" s="29">
        <v>23</v>
      </c>
      <c r="B33" s="33" t="s">
        <v>176</v>
      </c>
      <c r="C33" s="553">
        <v>27993660.18</v>
      </c>
      <c r="D33" s="555"/>
      <c r="E33" s="201">
        <f t="shared" si="1"/>
        <v>27993660.18</v>
      </c>
      <c r="F33" s="202">
        <v>27993660</v>
      </c>
      <c r="G33" s="207"/>
      <c r="H33" s="204">
        <v>27993660</v>
      </c>
    </row>
    <row r="34" spans="1:8" ht="15.75">
      <c r="A34" s="29">
        <v>24</v>
      </c>
      <c r="B34" s="33" t="s">
        <v>177</v>
      </c>
      <c r="C34" s="553">
        <v>0</v>
      </c>
      <c r="D34" s="555"/>
      <c r="E34" s="201">
        <f t="shared" si="1"/>
        <v>0</v>
      </c>
      <c r="F34" s="202">
        <v>0</v>
      </c>
      <c r="G34" s="207"/>
      <c r="H34" s="204">
        <v>0</v>
      </c>
    </row>
    <row r="35" spans="1:8" ht="15.75">
      <c r="A35" s="29">
        <v>25</v>
      </c>
      <c r="B35" s="34" t="s">
        <v>178</v>
      </c>
      <c r="C35" s="553">
        <v>-2793285.2</v>
      </c>
      <c r="D35" s="555"/>
      <c r="E35" s="201">
        <f t="shared" si="1"/>
        <v>-2793285.2</v>
      </c>
      <c r="F35" s="202">
        <v>-2237680</v>
      </c>
      <c r="G35" s="207"/>
      <c r="H35" s="204">
        <v>-2237680</v>
      </c>
    </row>
    <row r="36" spans="1:8" ht="15.75">
      <c r="A36" s="29">
        <v>26</v>
      </c>
      <c r="B36" s="33" t="s">
        <v>179</v>
      </c>
      <c r="C36" s="553">
        <v>215698241.75</v>
      </c>
      <c r="D36" s="555"/>
      <c r="E36" s="201">
        <f t="shared" si="1"/>
        <v>215698241.75</v>
      </c>
      <c r="F36" s="202">
        <v>196868998</v>
      </c>
      <c r="G36" s="207"/>
      <c r="H36" s="204">
        <v>196868998</v>
      </c>
    </row>
    <row r="37" spans="1:8" ht="15.75">
      <c r="A37" s="29">
        <v>27</v>
      </c>
      <c r="B37" s="33" t="s">
        <v>180</v>
      </c>
      <c r="C37" s="553">
        <v>0</v>
      </c>
      <c r="D37" s="555"/>
      <c r="E37" s="201">
        <f t="shared" si="1"/>
        <v>0</v>
      </c>
      <c r="F37" s="202">
        <v>0</v>
      </c>
      <c r="G37" s="207"/>
      <c r="H37" s="204">
        <v>0</v>
      </c>
    </row>
    <row r="38" spans="1:8" ht="15.75">
      <c r="A38" s="29">
        <v>28</v>
      </c>
      <c r="B38" s="33" t="s">
        <v>181</v>
      </c>
      <c r="C38" s="553">
        <v>1982144167.0197029</v>
      </c>
      <c r="D38" s="555"/>
      <c r="E38" s="201">
        <f t="shared" si="1"/>
        <v>1982144167.0197029</v>
      </c>
      <c r="F38" s="202">
        <v>1352967331</v>
      </c>
      <c r="G38" s="207"/>
      <c r="H38" s="204">
        <v>1352967331</v>
      </c>
    </row>
    <row r="39" spans="1:8" ht="15.75">
      <c r="A39" s="29">
        <v>29</v>
      </c>
      <c r="B39" s="33" t="s">
        <v>196</v>
      </c>
      <c r="C39" s="553">
        <v>5799065.1700000018</v>
      </c>
      <c r="D39" s="555"/>
      <c r="E39" s="201">
        <f t="shared" si="1"/>
        <v>5799065.1700000018</v>
      </c>
      <c r="F39" s="202">
        <v>19092671</v>
      </c>
      <c r="G39" s="207"/>
      <c r="H39" s="204">
        <v>19092671</v>
      </c>
    </row>
    <row r="40" spans="1:8" ht="15.75">
      <c r="A40" s="29">
        <v>30</v>
      </c>
      <c r="B40" s="35" t="s">
        <v>182</v>
      </c>
      <c r="C40" s="553">
        <f>SUM(C33:C39)</f>
        <v>2228841848.919703</v>
      </c>
      <c r="D40" s="555"/>
      <c r="E40" s="201">
        <f t="shared" si="1"/>
        <v>2228841848.919703</v>
      </c>
      <c r="F40" s="202">
        <v>1594684981</v>
      </c>
      <c r="G40" s="207"/>
      <c r="H40" s="204">
        <v>1594684981</v>
      </c>
    </row>
    <row r="41" spans="1:8" ht="16.5" thickBot="1">
      <c r="A41" s="36">
        <v>31</v>
      </c>
      <c r="B41" s="37" t="s">
        <v>197</v>
      </c>
      <c r="C41" s="209">
        <f>C31+C40</f>
        <v>9215189583.5737038</v>
      </c>
      <c r="D41" s="209">
        <f>D31+D40</f>
        <v>10930182274.7904</v>
      </c>
      <c r="E41" s="209">
        <f>C41+D41</f>
        <v>20145371858.364105</v>
      </c>
      <c r="F41" s="209">
        <v>7748200846</v>
      </c>
      <c r="G41" s="209">
        <v>9703809751</v>
      </c>
      <c r="H41" s="210">
        <v>17452010598</v>
      </c>
    </row>
    <row r="43" spans="1:8">
      <c r="B43" s="38"/>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I67"/>
  <sheetViews>
    <sheetView showGridLines="0" zoomScaleNormal="100" workbookViewId="0">
      <pane xSplit="1" ySplit="6" topLeftCell="B7" activePane="bottomRight" state="frozen"/>
      <selection activeCell="B1" sqref="B1"/>
      <selection pane="topRight" activeCell="B1" sqref="B1"/>
      <selection pane="bottomLeft" activeCell="B1" sqref="B1"/>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8"/>
  </cols>
  <sheetData>
    <row r="1" spans="1:8" ht="15.75">
      <c r="A1" s="11" t="s">
        <v>188</v>
      </c>
      <c r="B1" s="10" t="s">
        <v>1003</v>
      </c>
      <c r="C1" s="10"/>
    </row>
    <row r="2" spans="1:8" ht="15.75">
      <c r="A2" s="11" t="s">
        <v>189</v>
      </c>
      <c r="B2" s="383">
        <f>'1. key ratios'!B2</f>
        <v>44377</v>
      </c>
      <c r="C2" s="21"/>
      <c r="D2" s="12"/>
      <c r="E2" s="12"/>
      <c r="F2" s="12"/>
      <c r="G2" s="12"/>
      <c r="H2" s="12"/>
    </row>
    <row r="3" spans="1:8" ht="15.75">
      <c r="A3" s="11"/>
      <c r="B3" s="10"/>
      <c r="C3" s="21"/>
      <c r="D3" s="12"/>
      <c r="E3" s="12"/>
      <c r="F3" s="12"/>
      <c r="G3" s="12"/>
      <c r="H3" s="12">
        <v>0</v>
      </c>
    </row>
    <row r="4" spans="1:8" ht="16.5" thickBot="1">
      <c r="A4" s="39" t="s">
        <v>406</v>
      </c>
      <c r="B4" s="22" t="s">
        <v>222</v>
      </c>
      <c r="C4" s="25"/>
      <c r="D4" s="25"/>
      <c r="E4" s="25"/>
      <c r="F4" s="39"/>
      <c r="G4" s="39"/>
      <c r="H4" s="40" t="s">
        <v>93</v>
      </c>
    </row>
    <row r="5" spans="1:8" ht="15.75">
      <c r="A5" s="101"/>
      <c r="B5" s="102"/>
      <c r="C5" s="741" t="s">
        <v>194</v>
      </c>
      <c r="D5" s="742"/>
      <c r="E5" s="743"/>
      <c r="F5" s="741" t="s">
        <v>195</v>
      </c>
      <c r="G5" s="742"/>
      <c r="H5" s="744"/>
    </row>
    <row r="6" spans="1:8">
      <c r="A6" s="103" t="s">
        <v>26</v>
      </c>
      <c r="B6" s="41"/>
      <c r="C6" s="42" t="s">
        <v>27</v>
      </c>
      <c r="D6" s="42" t="s">
        <v>96</v>
      </c>
      <c r="E6" s="42" t="s">
        <v>68</v>
      </c>
      <c r="F6" s="42" t="s">
        <v>27</v>
      </c>
      <c r="G6" s="42" t="s">
        <v>96</v>
      </c>
      <c r="H6" s="104" t="s">
        <v>68</v>
      </c>
    </row>
    <row r="7" spans="1:8">
      <c r="A7" s="105"/>
      <c r="B7" s="44" t="s">
        <v>92</v>
      </c>
      <c r="C7" s="45"/>
      <c r="D7" s="45"/>
      <c r="E7" s="45"/>
      <c r="F7" s="45"/>
      <c r="G7" s="45"/>
      <c r="H7" s="106"/>
    </row>
    <row r="8" spans="1:8" ht="15.75">
      <c r="A8" s="105">
        <v>1</v>
      </c>
      <c r="B8" s="46" t="s">
        <v>97</v>
      </c>
      <c r="C8" s="556">
        <v>8902292.1799999997</v>
      </c>
      <c r="D8" s="556">
        <v>-2248643.0299999998</v>
      </c>
      <c r="E8" s="201">
        <f>C8+D8</f>
        <v>6653649.1500000004</v>
      </c>
      <c r="F8" s="211">
        <v>8786635.1999999993</v>
      </c>
      <c r="G8" s="211">
        <v>3977706.6</v>
      </c>
      <c r="H8" s="212">
        <v>12764341.799999999</v>
      </c>
    </row>
    <row r="9" spans="1:8" ht="15.75">
      <c r="A9" s="105">
        <v>2</v>
      </c>
      <c r="B9" s="46" t="s">
        <v>98</v>
      </c>
      <c r="C9" s="557">
        <f>SUM(C10:C18)</f>
        <v>435335389.74970293</v>
      </c>
      <c r="D9" s="557">
        <f>SUM(D10:D18)</f>
        <v>258611336.82230011</v>
      </c>
      <c r="E9" s="201">
        <f t="shared" ref="E9:E67" si="0">C9+D9</f>
        <v>693946726.57200301</v>
      </c>
      <c r="F9" s="213">
        <v>342217543.07999998</v>
      </c>
      <c r="G9" s="213">
        <v>217981558.20780015</v>
      </c>
      <c r="H9" s="212">
        <v>560199101.28780007</v>
      </c>
    </row>
    <row r="10" spans="1:8" ht="15.75">
      <c r="A10" s="105">
        <v>2.1</v>
      </c>
      <c r="B10" s="47" t="s">
        <v>99</v>
      </c>
      <c r="C10" s="556">
        <v>686480.95</v>
      </c>
      <c r="D10" s="556">
        <v>30762.84</v>
      </c>
      <c r="E10" s="201">
        <f t="shared" si="0"/>
        <v>717243.78999999992</v>
      </c>
      <c r="F10" s="211">
        <v>45831.81</v>
      </c>
      <c r="G10" s="211">
        <v>200073.42</v>
      </c>
      <c r="H10" s="212">
        <v>245905.23</v>
      </c>
    </row>
    <row r="11" spans="1:8" ht="15.75">
      <c r="A11" s="105">
        <v>2.2000000000000002</v>
      </c>
      <c r="B11" s="47" t="s">
        <v>100</v>
      </c>
      <c r="C11" s="556">
        <v>61607157.757502913</v>
      </c>
      <c r="D11" s="556">
        <v>89433845.578564197</v>
      </c>
      <c r="E11" s="201">
        <f t="shared" si="0"/>
        <v>151041003.33606711</v>
      </c>
      <c r="F11" s="211">
        <v>49998364.953299999</v>
      </c>
      <c r="G11" s="211">
        <v>71175381.885954902</v>
      </c>
      <c r="H11" s="212">
        <v>121173746.8392549</v>
      </c>
    </row>
    <row r="12" spans="1:8" ht="15.75">
      <c r="A12" s="105">
        <v>2.2999999999999998</v>
      </c>
      <c r="B12" s="47" t="s">
        <v>101</v>
      </c>
      <c r="C12" s="556">
        <v>2661856.5699999998</v>
      </c>
      <c r="D12" s="556">
        <v>2899333.2490070635</v>
      </c>
      <c r="E12" s="201">
        <f t="shared" si="0"/>
        <v>5561189.8190070633</v>
      </c>
      <c r="F12" s="211">
        <v>1371763.31</v>
      </c>
      <c r="G12" s="211">
        <v>2758514.9395674099</v>
      </c>
      <c r="H12" s="212">
        <v>4130278.24956741</v>
      </c>
    </row>
    <row r="13" spans="1:8" ht="15.75">
      <c r="A13" s="105">
        <v>2.4</v>
      </c>
      <c r="B13" s="47" t="s">
        <v>102</v>
      </c>
      <c r="C13" s="556">
        <v>9340866.0102999993</v>
      </c>
      <c r="D13" s="556">
        <v>4730876.9059580863</v>
      </c>
      <c r="E13" s="201">
        <f t="shared" si="0"/>
        <v>14071742.916258086</v>
      </c>
      <c r="F13" s="211">
        <v>6432002.7566999998</v>
      </c>
      <c r="G13" s="211">
        <v>3689294.23676673</v>
      </c>
      <c r="H13" s="212">
        <v>10121296.993466729</v>
      </c>
    </row>
    <row r="14" spans="1:8" ht="15.75">
      <c r="A14" s="105">
        <v>2.5</v>
      </c>
      <c r="B14" s="47" t="s">
        <v>103</v>
      </c>
      <c r="C14" s="556">
        <v>4619066.08</v>
      </c>
      <c r="D14" s="556">
        <v>23267997.933523018</v>
      </c>
      <c r="E14" s="201">
        <f t="shared" si="0"/>
        <v>27887064.01352302</v>
      </c>
      <c r="F14" s="211">
        <v>2737560.35</v>
      </c>
      <c r="G14" s="211">
        <v>20546816.728</v>
      </c>
      <c r="H14" s="212">
        <v>23284377.078000002</v>
      </c>
    </row>
    <row r="15" spans="1:8" ht="15.75">
      <c r="A15" s="105">
        <v>2.6</v>
      </c>
      <c r="B15" s="47" t="s">
        <v>104</v>
      </c>
      <c r="C15" s="556">
        <v>18497598.397500001</v>
      </c>
      <c r="D15" s="556">
        <v>34822392.773947775</v>
      </c>
      <c r="E15" s="201">
        <f t="shared" si="0"/>
        <v>53319991.171447776</v>
      </c>
      <c r="F15" s="211">
        <v>10871555.539999999</v>
      </c>
      <c r="G15" s="211">
        <v>31930812.697011121</v>
      </c>
      <c r="H15" s="212">
        <v>42802368.23701112</v>
      </c>
    </row>
    <row r="16" spans="1:8" ht="15.75">
      <c r="A16" s="105">
        <v>2.7</v>
      </c>
      <c r="B16" s="47" t="s">
        <v>105</v>
      </c>
      <c r="C16" s="556">
        <v>4393326.7844000002</v>
      </c>
      <c r="D16" s="556">
        <v>4801394.3638000004</v>
      </c>
      <c r="E16" s="201">
        <f t="shared" si="0"/>
        <v>9194721.1482000016</v>
      </c>
      <c r="F16" s="211">
        <v>3886958.87</v>
      </c>
      <c r="G16" s="211">
        <v>4523343.4653000003</v>
      </c>
      <c r="H16" s="212">
        <v>8410302.3353000004</v>
      </c>
    </row>
    <row r="17" spans="1:8" ht="15.75">
      <c r="A17" s="105">
        <v>2.8</v>
      </c>
      <c r="B17" s="47" t="s">
        <v>106</v>
      </c>
      <c r="C17" s="556">
        <v>331942974.68000001</v>
      </c>
      <c r="D17" s="556">
        <v>97162641.257499993</v>
      </c>
      <c r="E17" s="201">
        <f t="shared" si="0"/>
        <v>429105615.9375</v>
      </c>
      <c r="F17" s="211">
        <v>265658669.94999999</v>
      </c>
      <c r="G17" s="211">
        <v>81710213.025199994</v>
      </c>
      <c r="H17" s="212">
        <v>347368882.9752</v>
      </c>
    </row>
    <row r="18" spans="1:8" ht="15.75">
      <c r="A18" s="105">
        <v>2.9</v>
      </c>
      <c r="B18" s="47" t="s">
        <v>107</v>
      </c>
      <c r="C18" s="556">
        <v>1586062.52</v>
      </c>
      <c r="D18" s="556">
        <v>1462091.92</v>
      </c>
      <c r="E18" s="201">
        <f t="shared" si="0"/>
        <v>3048154.44</v>
      </c>
      <c r="F18" s="211">
        <v>1214835.54</v>
      </c>
      <c r="G18" s="211">
        <v>1447107.81</v>
      </c>
      <c r="H18" s="212">
        <v>2661943.35</v>
      </c>
    </row>
    <row r="19" spans="1:8" ht="15.75">
      <c r="A19" s="105">
        <v>3</v>
      </c>
      <c r="B19" s="46" t="s">
        <v>108</v>
      </c>
      <c r="C19" s="556">
        <v>5413817.1500000004</v>
      </c>
      <c r="D19" s="556">
        <v>1069597.26</v>
      </c>
      <c r="E19" s="201">
        <f t="shared" si="0"/>
        <v>6483414.4100000001</v>
      </c>
      <c r="F19" s="211">
        <v>4366990.1100000003</v>
      </c>
      <c r="G19" s="211">
        <v>667075.66</v>
      </c>
      <c r="H19" s="212">
        <v>5034065.7700000005</v>
      </c>
    </row>
    <row r="20" spans="1:8" ht="15.75">
      <c r="A20" s="105">
        <v>4</v>
      </c>
      <c r="B20" s="46" t="s">
        <v>109</v>
      </c>
      <c r="C20" s="556">
        <v>93394846.709999993</v>
      </c>
      <c r="D20" s="556">
        <v>1514002.9</v>
      </c>
      <c r="E20" s="201">
        <f t="shared" si="0"/>
        <v>94908849.609999999</v>
      </c>
      <c r="F20" s="211">
        <v>77307085.939999998</v>
      </c>
      <c r="G20" s="211">
        <v>847303.96</v>
      </c>
      <c r="H20" s="212">
        <v>78154389.899999991</v>
      </c>
    </row>
    <row r="21" spans="1:8" ht="15.75">
      <c r="A21" s="105">
        <v>5</v>
      </c>
      <c r="B21" s="46" t="s">
        <v>110</v>
      </c>
      <c r="C21" s="556">
        <v>0</v>
      </c>
      <c r="D21" s="556">
        <v>0</v>
      </c>
      <c r="E21" s="201">
        <f t="shared" si="0"/>
        <v>0</v>
      </c>
      <c r="F21" s="211">
        <v>0</v>
      </c>
      <c r="G21" s="211">
        <v>0</v>
      </c>
      <c r="H21" s="212">
        <v>0</v>
      </c>
    </row>
    <row r="22" spans="1:8" ht="15.75">
      <c r="A22" s="105">
        <v>6</v>
      </c>
      <c r="B22" s="48" t="s">
        <v>111</v>
      </c>
      <c r="C22" s="557">
        <f>C8+C9+C19+C20+C21</f>
        <v>543046345.78970289</v>
      </c>
      <c r="D22" s="557">
        <f>D8+D9+D19+D20+D21</f>
        <v>258946293.9523001</v>
      </c>
      <c r="E22" s="201">
        <f>C22+D22</f>
        <v>801992639.74200296</v>
      </c>
      <c r="F22" s="213">
        <v>432678254.32999998</v>
      </c>
      <c r="G22" s="213">
        <v>223473644.42780015</v>
      </c>
      <c r="H22" s="212">
        <v>656151898.7578001</v>
      </c>
    </row>
    <row r="23" spans="1:8" ht="15.75">
      <c r="A23" s="105"/>
      <c r="B23" s="44" t="s">
        <v>90</v>
      </c>
      <c r="C23" s="556"/>
      <c r="D23" s="556"/>
      <c r="E23" s="200"/>
      <c r="F23" s="211"/>
      <c r="G23" s="211"/>
      <c r="H23" s="214"/>
    </row>
    <row r="24" spans="1:8" ht="15.75">
      <c r="A24" s="105">
        <v>7</v>
      </c>
      <c r="B24" s="46" t="s">
        <v>112</v>
      </c>
      <c r="C24" s="556">
        <v>45538557.890000001</v>
      </c>
      <c r="D24" s="556">
        <v>10433940.710000001</v>
      </c>
      <c r="E24" s="201">
        <f t="shared" si="0"/>
        <v>55972498.600000001</v>
      </c>
      <c r="F24" s="211">
        <v>33561283.119999997</v>
      </c>
      <c r="G24" s="211">
        <v>10370392.560000001</v>
      </c>
      <c r="H24" s="212">
        <v>43931675.68</v>
      </c>
    </row>
    <row r="25" spans="1:8" ht="15.75">
      <c r="A25" s="105">
        <v>8</v>
      </c>
      <c r="B25" s="46" t="s">
        <v>113</v>
      </c>
      <c r="C25" s="556">
        <v>133899521.59999999</v>
      </c>
      <c r="D25" s="556">
        <v>52132709.43</v>
      </c>
      <c r="E25" s="201">
        <f t="shared" si="0"/>
        <v>186032231.03</v>
      </c>
      <c r="F25" s="211">
        <v>83626877.989999995</v>
      </c>
      <c r="G25" s="211">
        <v>54743058.579999998</v>
      </c>
      <c r="H25" s="212">
        <v>138369936.56999999</v>
      </c>
    </row>
    <row r="26" spans="1:8" ht="15.75">
      <c r="A26" s="105">
        <v>9</v>
      </c>
      <c r="B26" s="46" t="s">
        <v>114</v>
      </c>
      <c r="C26" s="556">
        <v>3511975.5</v>
      </c>
      <c r="D26" s="556">
        <v>2652.63</v>
      </c>
      <c r="E26" s="201">
        <f t="shared" si="0"/>
        <v>3514628.13</v>
      </c>
      <c r="F26" s="211">
        <v>2327650.77</v>
      </c>
      <c r="G26" s="211">
        <v>301034.90000000002</v>
      </c>
      <c r="H26" s="212">
        <v>2628685.67</v>
      </c>
    </row>
    <row r="27" spans="1:8" ht="15.75">
      <c r="A27" s="105">
        <v>10</v>
      </c>
      <c r="B27" s="46" t="s">
        <v>115</v>
      </c>
      <c r="C27" s="556">
        <v>1389131.99</v>
      </c>
      <c r="D27" s="556">
        <v>55250627.649999999</v>
      </c>
      <c r="E27" s="201">
        <f t="shared" si="0"/>
        <v>56639759.640000001</v>
      </c>
      <c r="F27" s="211">
        <v>25744864.68</v>
      </c>
      <c r="G27" s="211">
        <v>54393624.780000001</v>
      </c>
      <c r="H27" s="212">
        <v>80138489.460000008</v>
      </c>
    </row>
    <row r="28" spans="1:8" ht="15.75">
      <c r="A28" s="105">
        <v>11</v>
      </c>
      <c r="B28" s="46" t="s">
        <v>116</v>
      </c>
      <c r="C28" s="556">
        <v>73167182.810000002</v>
      </c>
      <c r="D28" s="556">
        <v>32591440.859999999</v>
      </c>
      <c r="E28" s="201">
        <f t="shared" si="0"/>
        <v>105758623.67</v>
      </c>
      <c r="F28" s="211">
        <v>90882638.260000005</v>
      </c>
      <c r="G28" s="211">
        <v>32853481.66</v>
      </c>
      <c r="H28" s="212">
        <v>123736119.92</v>
      </c>
    </row>
    <row r="29" spans="1:8" ht="15.75">
      <c r="A29" s="105">
        <v>12</v>
      </c>
      <c r="B29" s="46" t="s">
        <v>117</v>
      </c>
      <c r="C29" s="556">
        <v>0</v>
      </c>
      <c r="D29" s="556">
        <v>0</v>
      </c>
      <c r="E29" s="201">
        <f t="shared" si="0"/>
        <v>0</v>
      </c>
      <c r="F29" s="211">
        <v>0</v>
      </c>
      <c r="G29" s="211">
        <v>0</v>
      </c>
      <c r="H29" s="212">
        <v>0</v>
      </c>
    </row>
    <row r="30" spans="1:8" ht="15.75">
      <c r="A30" s="105">
        <v>13</v>
      </c>
      <c r="B30" s="49" t="s">
        <v>118</v>
      </c>
      <c r="C30" s="557">
        <f>SUM(C24:C29)</f>
        <v>257506369.79000002</v>
      </c>
      <c r="D30" s="557">
        <f>SUM(D24:D29)</f>
        <v>150411371.28</v>
      </c>
      <c r="E30" s="201">
        <f t="shared" si="0"/>
        <v>407917741.07000005</v>
      </c>
      <c r="F30" s="213">
        <v>236143314.81999999</v>
      </c>
      <c r="G30" s="213">
        <v>152661592.47999999</v>
      </c>
      <c r="H30" s="212">
        <v>388804907.29999995</v>
      </c>
    </row>
    <row r="31" spans="1:8" ht="15.75">
      <c r="A31" s="105">
        <v>14</v>
      </c>
      <c r="B31" s="49" t="s">
        <v>119</v>
      </c>
      <c r="C31" s="557">
        <f>C22-C30</f>
        <v>285539975.99970287</v>
      </c>
      <c r="D31" s="557">
        <f>D22-D30</f>
        <v>108534922.6723001</v>
      </c>
      <c r="E31" s="201">
        <f t="shared" si="0"/>
        <v>394074898.67200297</v>
      </c>
      <c r="F31" s="213">
        <v>196534939.50999999</v>
      </c>
      <c r="G31" s="213">
        <v>70812051.947800159</v>
      </c>
      <c r="H31" s="212">
        <v>267346991.45780015</v>
      </c>
    </row>
    <row r="32" spans="1:8">
      <c r="A32" s="105"/>
      <c r="B32" s="44"/>
      <c r="C32" s="558"/>
      <c r="D32" s="558"/>
      <c r="E32" s="215"/>
      <c r="F32" s="215"/>
      <c r="G32" s="215"/>
      <c r="H32" s="216"/>
    </row>
    <row r="33" spans="1:8" ht="15.75">
      <c r="A33" s="105"/>
      <c r="B33" s="44" t="s">
        <v>120</v>
      </c>
      <c r="C33" s="556"/>
      <c r="D33" s="556"/>
      <c r="E33" s="200"/>
      <c r="F33" s="211"/>
      <c r="G33" s="211"/>
      <c r="H33" s="214"/>
    </row>
    <row r="34" spans="1:8" ht="15.75">
      <c r="A34" s="105">
        <v>15</v>
      </c>
      <c r="B34" s="43" t="s">
        <v>91</v>
      </c>
      <c r="C34" s="559">
        <f>C35-C36</f>
        <v>96185228.890000001</v>
      </c>
      <c r="D34" s="559">
        <f>D35-D36</f>
        <v>-9277058.9100000001</v>
      </c>
      <c r="E34" s="201">
        <f t="shared" si="0"/>
        <v>86908169.980000004</v>
      </c>
      <c r="F34" s="217">
        <v>68068646.600000009</v>
      </c>
      <c r="G34" s="217">
        <v>-13226637.870000001</v>
      </c>
      <c r="H34" s="212">
        <v>54842008.730000004</v>
      </c>
    </row>
    <row r="35" spans="1:8" ht="15.75">
      <c r="A35" s="105">
        <v>15.1</v>
      </c>
      <c r="B35" s="47" t="s">
        <v>121</v>
      </c>
      <c r="C35" s="556">
        <v>122570076.09</v>
      </c>
      <c r="D35" s="556">
        <v>32252248.27</v>
      </c>
      <c r="E35" s="201">
        <f t="shared" si="0"/>
        <v>154822324.36000001</v>
      </c>
      <c r="F35" s="211">
        <v>86387190.010000005</v>
      </c>
      <c r="G35" s="211">
        <v>24806846.510000002</v>
      </c>
      <c r="H35" s="212">
        <v>111194036.52000001</v>
      </c>
    </row>
    <row r="36" spans="1:8" ht="15.75">
      <c r="A36" s="105">
        <v>15.2</v>
      </c>
      <c r="B36" s="47" t="s">
        <v>122</v>
      </c>
      <c r="C36" s="556">
        <v>26384847.199999999</v>
      </c>
      <c r="D36" s="556">
        <v>41529307.18</v>
      </c>
      <c r="E36" s="201">
        <f t="shared" si="0"/>
        <v>67914154.379999995</v>
      </c>
      <c r="F36" s="211">
        <v>18318543.41</v>
      </c>
      <c r="G36" s="211">
        <v>38033484.380000003</v>
      </c>
      <c r="H36" s="212">
        <v>56352027.790000007</v>
      </c>
    </row>
    <row r="37" spans="1:8" ht="15.75">
      <c r="A37" s="105">
        <v>16</v>
      </c>
      <c r="B37" s="46" t="s">
        <v>123</v>
      </c>
      <c r="C37" s="556">
        <v>400504.96</v>
      </c>
      <c r="D37" s="556">
        <v>0</v>
      </c>
      <c r="E37" s="201">
        <f t="shared" si="0"/>
        <v>400504.96</v>
      </c>
      <c r="F37" s="211">
        <v>632376.25</v>
      </c>
      <c r="G37" s="211">
        <v>0</v>
      </c>
      <c r="H37" s="212">
        <v>632376.25</v>
      </c>
    </row>
    <row r="38" spans="1:8" ht="15.75">
      <c r="A38" s="105">
        <v>17</v>
      </c>
      <c r="B38" s="46" t="s">
        <v>124</v>
      </c>
      <c r="C38" s="556">
        <v>0</v>
      </c>
      <c r="D38" s="556">
        <v>0</v>
      </c>
      <c r="E38" s="201">
        <f t="shared" si="0"/>
        <v>0</v>
      </c>
      <c r="F38" s="211">
        <v>0</v>
      </c>
      <c r="G38" s="211">
        <v>1223336.3799999999</v>
      </c>
      <c r="H38" s="212">
        <v>1223336.3799999999</v>
      </c>
    </row>
    <row r="39" spans="1:8" ht="15.75">
      <c r="A39" s="105">
        <v>18</v>
      </c>
      <c r="B39" s="46" t="s">
        <v>125</v>
      </c>
      <c r="C39" s="556">
        <v>25433841.140000001</v>
      </c>
      <c r="D39" s="556">
        <v>32599.88</v>
      </c>
      <c r="E39" s="201">
        <f t="shared" si="0"/>
        <v>25466441.02</v>
      </c>
      <c r="F39" s="211">
        <v>412279.06</v>
      </c>
      <c r="G39" s="211">
        <v>847232.84</v>
      </c>
      <c r="H39" s="212">
        <v>1259511.8999999999</v>
      </c>
    </row>
    <row r="40" spans="1:8" ht="15.75">
      <c r="A40" s="105">
        <v>19</v>
      </c>
      <c r="B40" s="46" t="s">
        <v>126</v>
      </c>
      <c r="C40" s="556">
        <v>51226790.240000002</v>
      </c>
      <c r="D40" s="556">
        <v>0</v>
      </c>
      <c r="E40" s="201">
        <f t="shared" si="0"/>
        <v>51226790.240000002</v>
      </c>
      <c r="F40" s="211">
        <v>91542917.109999999</v>
      </c>
      <c r="G40" s="211">
        <v>0</v>
      </c>
      <c r="H40" s="212">
        <v>91542917.109999999</v>
      </c>
    </row>
    <row r="41" spans="1:8" ht="15.75">
      <c r="A41" s="105">
        <v>20</v>
      </c>
      <c r="B41" s="46" t="s">
        <v>127</v>
      </c>
      <c r="C41" s="556">
        <v>10973516.66</v>
      </c>
      <c r="D41" s="556">
        <v>0</v>
      </c>
      <c r="E41" s="201">
        <f t="shared" si="0"/>
        <v>10973516.66</v>
      </c>
      <c r="F41" s="211">
        <v>-14309122.27</v>
      </c>
      <c r="G41" s="211">
        <v>0</v>
      </c>
      <c r="H41" s="212">
        <v>-14309122.27</v>
      </c>
    </row>
    <row r="42" spans="1:8" ht="15.75">
      <c r="A42" s="105">
        <v>21</v>
      </c>
      <c r="B42" s="46" t="s">
        <v>128</v>
      </c>
      <c r="C42" s="556">
        <v>16313901.77</v>
      </c>
      <c r="D42" s="556">
        <v>0</v>
      </c>
      <c r="E42" s="201">
        <f t="shared" si="0"/>
        <v>16313901.77</v>
      </c>
      <c r="F42" s="211">
        <v>3091124.38</v>
      </c>
      <c r="G42" s="211">
        <v>0</v>
      </c>
      <c r="H42" s="212">
        <v>3091124.38</v>
      </c>
    </row>
    <row r="43" spans="1:8" ht="15.75">
      <c r="A43" s="105">
        <v>22</v>
      </c>
      <c r="B43" s="46" t="s">
        <v>129</v>
      </c>
      <c r="C43" s="556">
        <v>6124699.29</v>
      </c>
      <c r="D43" s="556">
        <v>15647158.710000001</v>
      </c>
      <c r="E43" s="201">
        <f t="shared" si="0"/>
        <v>21771858</v>
      </c>
      <c r="F43" s="211">
        <v>5604463.5499999998</v>
      </c>
      <c r="G43" s="211">
        <v>15944694.380000001</v>
      </c>
      <c r="H43" s="212">
        <v>21549157.93</v>
      </c>
    </row>
    <row r="44" spans="1:8" ht="15.75">
      <c r="A44" s="105">
        <v>23</v>
      </c>
      <c r="B44" s="46" t="s">
        <v>130</v>
      </c>
      <c r="C44" s="556">
        <v>13151273.65</v>
      </c>
      <c r="D44" s="556">
        <v>422578.86</v>
      </c>
      <c r="E44" s="201">
        <f t="shared" si="0"/>
        <v>13573852.51</v>
      </c>
      <c r="F44" s="211">
        <v>10532972.880000001</v>
      </c>
      <c r="G44" s="211">
        <v>-345.59</v>
      </c>
      <c r="H44" s="212">
        <v>10532627.290000001</v>
      </c>
    </row>
    <row r="45" spans="1:8" ht="15.75">
      <c r="A45" s="105">
        <v>24</v>
      </c>
      <c r="B45" s="49" t="s">
        <v>131</v>
      </c>
      <c r="C45" s="557">
        <f>C34+C37+C38+C39+C40+C41+C42+C43+C44</f>
        <v>219809756.59999999</v>
      </c>
      <c r="D45" s="557">
        <f>D34+D37+D38+D39+D40+D41+D42+D43+D44</f>
        <v>6825278.5400000019</v>
      </c>
      <c r="E45" s="201">
        <f t="shared" si="0"/>
        <v>226635035.13999999</v>
      </c>
      <c r="F45" s="213">
        <v>165575657.56</v>
      </c>
      <c r="G45" s="213">
        <v>4788280.1399999987</v>
      </c>
      <c r="H45" s="212">
        <v>170363937.69999999</v>
      </c>
    </row>
    <row r="46" spans="1:8">
      <c r="A46" s="105"/>
      <c r="B46" s="44" t="s">
        <v>132</v>
      </c>
      <c r="C46" s="556"/>
      <c r="D46" s="556"/>
      <c r="E46" s="211"/>
      <c r="F46" s="211"/>
      <c r="G46" s="211"/>
      <c r="H46" s="218"/>
    </row>
    <row r="47" spans="1:8" ht="15.75">
      <c r="A47" s="105">
        <v>25</v>
      </c>
      <c r="B47" s="46" t="s">
        <v>133</v>
      </c>
      <c r="C47" s="556">
        <v>8586554.0600000005</v>
      </c>
      <c r="D47" s="556">
        <v>4384549.33</v>
      </c>
      <c r="E47" s="201">
        <f t="shared" si="0"/>
        <v>12971103.390000001</v>
      </c>
      <c r="F47" s="211">
        <v>5744752.0899999999</v>
      </c>
      <c r="G47" s="211">
        <v>4443287.6900000004</v>
      </c>
      <c r="H47" s="212">
        <v>10188039.780000001</v>
      </c>
    </row>
    <row r="48" spans="1:8" ht="15.75">
      <c r="A48" s="105">
        <v>26</v>
      </c>
      <c r="B48" s="46" t="s">
        <v>134</v>
      </c>
      <c r="C48" s="556">
        <v>12870602.07</v>
      </c>
      <c r="D48" s="556">
        <v>5377107.4100000001</v>
      </c>
      <c r="E48" s="201">
        <f t="shared" si="0"/>
        <v>18247709.48</v>
      </c>
      <c r="F48" s="211">
        <v>10417605.689999999</v>
      </c>
      <c r="G48" s="211">
        <v>9504373.2200000007</v>
      </c>
      <c r="H48" s="212">
        <v>19921978.91</v>
      </c>
    </row>
    <row r="49" spans="1:9" ht="15.75">
      <c r="A49" s="105">
        <v>27</v>
      </c>
      <c r="B49" s="46" t="s">
        <v>135</v>
      </c>
      <c r="C49" s="556">
        <v>121464841.84999999</v>
      </c>
      <c r="D49" s="556">
        <v>0</v>
      </c>
      <c r="E49" s="201">
        <f t="shared" si="0"/>
        <v>121464841.84999999</v>
      </c>
      <c r="F49" s="211">
        <v>102449809.12</v>
      </c>
      <c r="G49" s="211">
        <v>0</v>
      </c>
      <c r="H49" s="212">
        <v>102449809.12</v>
      </c>
    </row>
    <row r="50" spans="1:9" ht="15.75">
      <c r="A50" s="105">
        <v>28</v>
      </c>
      <c r="B50" s="46" t="s">
        <v>271</v>
      </c>
      <c r="C50" s="556">
        <v>7741381.6600000001</v>
      </c>
      <c r="D50" s="556">
        <v>0</v>
      </c>
      <c r="E50" s="201">
        <f t="shared" si="0"/>
        <v>7741381.6600000001</v>
      </c>
      <c r="F50" s="211">
        <v>5790131.5999999996</v>
      </c>
      <c r="G50" s="211">
        <v>0</v>
      </c>
      <c r="H50" s="212">
        <v>5790131.5999999996</v>
      </c>
    </row>
    <row r="51" spans="1:9" ht="15.75">
      <c r="A51" s="105">
        <v>29</v>
      </c>
      <c r="B51" s="46" t="s">
        <v>136</v>
      </c>
      <c r="C51" s="556">
        <v>37620805.740000002</v>
      </c>
      <c r="D51" s="556">
        <v>0</v>
      </c>
      <c r="E51" s="201">
        <f t="shared" si="0"/>
        <v>37620805.740000002</v>
      </c>
      <c r="F51" s="211">
        <v>42235867.259999998</v>
      </c>
      <c r="G51" s="211">
        <v>0</v>
      </c>
      <c r="H51" s="212">
        <v>42235867.259999998</v>
      </c>
    </row>
    <row r="52" spans="1:9" ht="15.75">
      <c r="A52" s="105">
        <v>30</v>
      </c>
      <c r="B52" s="46" t="s">
        <v>137</v>
      </c>
      <c r="C52" s="556">
        <v>31213560.43</v>
      </c>
      <c r="D52" s="556">
        <v>848180.11</v>
      </c>
      <c r="E52" s="201">
        <f t="shared" si="0"/>
        <v>32061740.539999999</v>
      </c>
      <c r="F52" s="211">
        <v>25018385.379999999</v>
      </c>
      <c r="G52" s="211">
        <v>401463.88</v>
      </c>
      <c r="H52" s="212">
        <v>25419849.259999998</v>
      </c>
    </row>
    <row r="53" spans="1:9" ht="15.75">
      <c r="A53" s="105">
        <v>31</v>
      </c>
      <c r="B53" s="49" t="s">
        <v>138</v>
      </c>
      <c r="C53" s="557">
        <f>C47+C48+C49+C50+C51+C52</f>
        <v>219497745.81</v>
      </c>
      <c r="D53" s="557">
        <f>D47+D48+D49+D50+D51+D52</f>
        <v>10609836.85</v>
      </c>
      <c r="E53" s="201">
        <f t="shared" si="0"/>
        <v>230107582.66</v>
      </c>
      <c r="F53" s="213">
        <v>191656551.13999999</v>
      </c>
      <c r="G53" s="213">
        <v>14349124.790000001</v>
      </c>
      <c r="H53" s="212">
        <v>206005675.92999998</v>
      </c>
    </row>
    <row r="54" spans="1:9" ht="15.75">
      <c r="A54" s="105">
        <v>32</v>
      </c>
      <c r="B54" s="49" t="s">
        <v>139</v>
      </c>
      <c r="C54" s="557">
        <f>C45-C53</f>
        <v>312010.78999999166</v>
      </c>
      <c r="D54" s="557">
        <f>D45-D53</f>
        <v>-3784558.3099999977</v>
      </c>
      <c r="E54" s="201">
        <f t="shared" si="0"/>
        <v>-3472547.5200000061</v>
      </c>
      <c r="F54" s="213">
        <v>-26080893.579999983</v>
      </c>
      <c r="G54" s="213">
        <v>-9560844.6500000022</v>
      </c>
      <c r="H54" s="212">
        <v>-35641738.229999989</v>
      </c>
    </row>
    <row r="55" spans="1:9">
      <c r="A55" s="105"/>
      <c r="B55" s="44"/>
      <c r="C55" s="558"/>
      <c r="D55" s="558"/>
      <c r="E55" s="215"/>
      <c r="F55" s="215"/>
      <c r="G55" s="215"/>
      <c r="H55" s="216"/>
    </row>
    <row r="56" spans="1:9" ht="15.75">
      <c r="A56" s="105">
        <v>33</v>
      </c>
      <c r="B56" s="49" t="s">
        <v>140</v>
      </c>
      <c r="C56" s="557">
        <f>C31+C54</f>
        <v>285851986.78970289</v>
      </c>
      <c r="D56" s="557">
        <f>D31+D54</f>
        <v>104750364.3623001</v>
      </c>
      <c r="E56" s="201">
        <f t="shared" si="0"/>
        <v>390602351.15200299</v>
      </c>
      <c r="F56" s="213">
        <v>170454045.93000001</v>
      </c>
      <c r="G56" s="213">
        <v>61251207.297800153</v>
      </c>
      <c r="H56" s="212">
        <v>231705253.22780016</v>
      </c>
    </row>
    <row r="57" spans="1:9">
      <c r="A57" s="105"/>
      <c r="B57" s="44"/>
      <c r="C57" s="558"/>
      <c r="D57" s="558"/>
      <c r="E57" s="215"/>
      <c r="F57" s="215"/>
      <c r="G57" s="215"/>
      <c r="H57" s="216"/>
    </row>
    <row r="58" spans="1:9" ht="15.75">
      <c r="A58" s="105">
        <v>34</v>
      </c>
      <c r="B58" s="46" t="s">
        <v>141</v>
      </c>
      <c r="C58" s="556">
        <v>-63009318.2469</v>
      </c>
      <c r="D58" s="556">
        <v>-26322677.969999999</v>
      </c>
      <c r="E58" s="201">
        <f t="shared" si="0"/>
        <v>-89331996.216899991</v>
      </c>
      <c r="F58" s="211">
        <v>399000636.23390001</v>
      </c>
      <c r="G58" s="211">
        <v>-248126.62</v>
      </c>
      <c r="H58" s="212">
        <v>398752509.61390001</v>
      </c>
    </row>
    <row r="59" spans="1:9" s="177" customFormat="1" ht="15.75">
      <c r="A59" s="105">
        <v>35</v>
      </c>
      <c r="B59" s="43" t="s">
        <v>142</v>
      </c>
      <c r="C59" s="556">
        <v>-2347871.0299999998</v>
      </c>
      <c r="D59" s="556">
        <v>0</v>
      </c>
      <c r="E59" s="219">
        <f t="shared" si="0"/>
        <v>-2347871.0299999998</v>
      </c>
      <c r="F59" s="220">
        <v>9182727.1799999997</v>
      </c>
      <c r="G59" s="220">
        <v>0</v>
      </c>
      <c r="H59" s="221">
        <v>9182727.1799999997</v>
      </c>
      <c r="I59" s="176"/>
    </row>
    <row r="60" spans="1:9" ht="15.75">
      <c r="A60" s="105">
        <v>36</v>
      </c>
      <c r="B60" s="46" t="s">
        <v>143</v>
      </c>
      <c r="C60" s="556">
        <v>4522100.7892000005</v>
      </c>
      <c r="D60" s="556">
        <v>1311482.3999999999</v>
      </c>
      <c r="E60" s="201">
        <f t="shared" si="0"/>
        <v>5833583.1892000008</v>
      </c>
      <c r="F60" s="211">
        <v>22277364.473900001</v>
      </c>
      <c r="G60" s="211">
        <v>1343020.37</v>
      </c>
      <c r="H60" s="212">
        <v>23620384.843900003</v>
      </c>
    </row>
    <row r="61" spans="1:9" ht="15.75">
      <c r="A61" s="105">
        <v>37</v>
      </c>
      <c r="B61" s="49" t="s">
        <v>144</v>
      </c>
      <c r="C61" s="557">
        <f>C58+C59+C60</f>
        <v>-60835088.4877</v>
      </c>
      <c r="D61" s="557">
        <f>D58+D59+D60</f>
        <v>-25011195.57</v>
      </c>
      <c r="E61" s="201">
        <f t="shared" si="0"/>
        <v>-85846284.057700008</v>
      </c>
      <c r="F61" s="213">
        <v>430460727.88780004</v>
      </c>
      <c r="G61" s="213">
        <v>1094893.75</v>
      </c>
      <c r="H61" s="212">
        <v>431555621.63780004</v>
      </c>
    </row>
    <row r="62" spans="1:9">
      <c r="A62" s="105"/>
      <c r="B62" s="50"/>
      <c r="C62" s="556"/>
      <c r="D62" s="556"/>
      <c r="E62" s="211"/>
      <c r="F62" s="211"/>
      <c r="G62" s="211"/>
      <c r="H62" s="218"/>
    </row>
    <row r="63" spans="1:9" ht="15.75">
      <c r="A63" s="105">
        <v>38</v>
      </c>
      <c r="B63" s="51" t="s">
        <v>272</v>
      </c>
      <c r="C63" s="557">
        <f>C56-C61</f>
        <v>346687075.27740288</v>
      </c>
      <c r="D63" s="557">
        <f>D56-D61</f>
        <v>129761559.93230009</v>
      </c>
      <c r="E63" s="201">
        <f t="shared" si="0"/>
        <v>476448635.20970297</v>
      </c>
      <c r="F63" s="213">
        <v>-260006681.95780003</v>
      </c>
      <c r="G63" s="213">
        <v>60156313.547800153</v>
      </c>
      <c r="H63" s="212">
        <v>-199850368.40999988</v>
      </c>
    </row>
    <row r="64" spans="1:9" ht="15.75">
      <c r="A64" s="103">
        <v>39</v>
      </c>
      <c r="B64" s="46" t="s">
        <v>145</v>
      </c>
      <c r="C64" s="560">
        <v>40459514</v>
      </c>
      <c r="D64" s="560"/>
      <c r="E64" s="201">
        <f t="shared" si="0"/>
        <v>40459514</v>
      </c>
      <c r="F64" s="222">
        <v>-44845506</v>
      </c>
      <c r="G64" s="222"/>
      <c r="H64" s="212">
        <v>-44845506</v>
      </c>
    </row>
    <row r="65" spans="1:8" ht="15.75">
      <c r="A65" s="105">
        <v>40</v>
      </c>
      <c r="B65" s="49" t="s">
        <v>146</v>
      </c>
      <c r="C65" s="557">
        <f>C63-C64</f>
        <v>306227561.27740288</v>
      </c>
      <c r="D65" s="557">
        <f>D63-D64</f>
        <v>129761559.93230009</v>
      </c>
      <c r="E65" s="201">
        <f t="shared" si="0"/>
        <v>435989121.20970297</v>
      </c>
      <c r="F65" s="213">
        <v>-215161175.95780003</v>
      </c>
      <c r="G65" s="213">
        <v>60156313.547800153</v>
      </c>
      <c r="H65" s="212">
        <v>-155004862.40999988</v>
      </c>
    </row>
    <row r="66" spans="1:8" ht="15.75">
      <c r="A66" s="103">
        <v>41</v>
      </c>
      <c r="B66" s="46" t="s">
        <v>147</v>
      </c>
      <c r="C66" s="560">
        <v>-1117528.19</v>
      </c>
      <c r="D66" s="560"/>
      <c r="E66" s="201">
        <f t="shared" si="0"/>
        <v>-1117528.19</v>
      </c>
      <c r="F66" s="222">
        <v>-2159129.59</v>
      </c>
      <c r="G66" s="222"/>
      <c r="H66" s="212">
        <v>-2159129.59</v>
      </c>
    </row>
    <row r="67" spans="1:8" ht="16.5" thickBot="1">
      <c r="A67" s="107">
        <v>42</v>
      </c>
      <c r="B67" s="108" t="s">
        <v>148</v>
      </c>
      <c r="C67" s="223">
        <f>C65+C66</f>
        <v>305110033.08740288</v>
      </c>
      <c r="D67" s="223">
        <f>D65+D66</f>
        <v>129761559.93230009</v>
      </c>
      <c r="E67" s="209">
        <f t="shared" si="0"/>
        <v>434871593.01970297</v>
      </c>
      <c r="F67" s="223">
        <v>-217320305.54780003</v>
      </c>
      <c r="G67" s="223">
        <v>60156313.547800153</v>
      </c>
      <c r="H67" s="224">
        <v>-157163991.99999988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J53"/>
  <sheetViews>
    <sheetView showGridLines="0" zoomScaleNormal="100" workbookViewId="0"/>
  </sheetViews>
  <sheetFormatPr defaultRowHeight="15"/>
  <cols>
    <col min="1" max="1" width="9.5703125" bestFit="1" customWidth="1"/>
    <col min="2" max="2" width="72.28515625" customWidth="1"/>
    <col min="3" max="3" width="20" style="668" customWidth="1"/>
    <col min="4" max="4" width="15.28515625" style="668" customWidth="1"/>
    <col min="5" max="5" width="15" style="668" customWidth="1"/>
    <col min="6" max="6" width="12.7109375" customWidth="1"/>
    <col min="7" max="7" width="14.140625" customWidth="1"/>
    <col min="8" max="8" width="14.85546875" customWidth="1"/>
    <col min="10" max="10" width="11.5703125" bestFit="1" customWidth="1"/>
  </cols>
  <sheetData>
    <row r="1" spans="1:10">
      <c r="A1" s="1" t="s">
        <v>188</v>
      </c>
      <c r="B1" t="s">
        <v>1003</v>
      </c>
    </row>
    <row r="2" spans="1:10">
      <c r="A2" s="1" t="s">
        <v>189</v>
      </c>
      <c r="B2" s="383">
        <f>'1. key ratios'!B2</f>
        <v>44377</v>
      </c>
    </row>
    <row r="3" spans="1:10">
      <c r="A3" s="1"/>
      <c r="H3">
        <v>0</v>
      </c>
    </row>
    <row r="4" spans="1:10" ht="16.5" thickBot="1">
      <c r="A4" s="1" t="s">
        <v>407</v>
      </c>
      <c r="B4" s="1"/>
      <c r="C4" s="675"/>
      <c r="D4" s="675"/>
      <c r="E4" s="676"/>
      <c r="F4" s="180"/>
      <c r="G4" s="180"/>
      <c r="H4" s="181" t="s">
        <v>93</v>
      </c>
    </row>
    <row r="5" spans="1:10" ht="15.75">
      <c r="A5" s="745" t="s">
        <v>26</v>
      </c>
      <c r="B5" s="747" t="s">
        <v>245</v>
      </c>
      <c r="C5" s="749" t="s">
        <v>194</v>
      </c>
      <c r="D5" s="749"/>
      <c r="E5" s="749"/>
      <c r="F5" s="749" t="s">
        <v>195</v>
      </c>
      <c r="G5" s="749"/>
      <c r="H5" s="750"/>
    </row>
    <row r="6" spans="1:10">
      <c r="A6" s="746"/>
      <c r="B6" s="748"/>
      <c r="C6" s="721" t="s">
        <v>27</v>
      </c>
      <c r="D6" s="721" t="s">
        <v>94</v>
      </c>
      <c r="E6" s="721" t="s">
        <v>68</v>
      </c>
      <c r="F6" s="721" t="s">
        <v>27</v>
      </c>
      <c r="G6" s="721" t="s">
        <v>94</v>
      </c>
      <c r="H6" s="32" t="s">
        <v>68</v>
      </c>
    </row>
    <row r="7" spans="1:10" s="2" customFormat="1" ht="15.75">
      <c r="A7" s="281">
        <v>1</v>
      </c>
      <c r="B7" s="722" t="s">
        <v>483</v>
      </c>
      <c r="C7" s="723"/>
      <c r="D7" s="723"/>
      <c r="E7" s="724">
        <f>C7+D7</f>
        <v>0</v>
      </c>
      <c r="F7" s="723"/>
      <c r="G7" s="723"/>
      <c r="H7" s="204">
        <v>0</v>
      </c>
    </row>
    <row r="8" spans="1:10" s="2" customFormat="1" ht="15.75">
      <c r="A8" s="281">
        <v>1.1000000000000001</v>
      </c>
      <c r="B8" s="725" t="s">
        <v>275</v>
      </c>
      <c r="C8" s="723">
        <v>747462817.58000004</v>
      </c>
      <c r="D8" s="723">
        <v>768866682.93429995</v>
      </c>
      <c r="E8" s="724">
        <f t="shared" ref="E8:E53" si="0">C8+D8</f>
        <v>1516329500.5142999</v>
      </c>
      <c r="F8" s="723">
        <v>640657229.92999995</v>
      </c>
      <c r="G8" s="723">
        <v>716459285.8211</v>
      </c>
      <c r="H8" s="204">
        <v>1357116515.7511001</v>
      </c>
    </row>
    <row r="9" spans="1:10" s="2" customFormat="1" ht="15.75">
      <c r="A9" s="281">
        <v>1.2</v>
      </c>
      <c r="B9" s="725" t="s">
        <v>276</v>
      </c>
      <c r="C9" s="723">
        <v>0</v>
      </c>
      <c r="D9" s="723">
        <v>107241943.29999998</v>
      </c>
      <c r="E9" s="724">
        <f t="shared" si="0"/>
        <v>107241943.29999998</v>
      </c>
      <c r="F9" s="723">
        <v>0</v>
      </c>
      <c r="G9" s="723">
        <v>98583331.940000013</v>
      </c>
      <c r="H9" s="204">
        <v>98583331.940000013</v>
      </c>
    </row>
    <row r="10" spans="1:10" s="2" customFormat="1" ht="15.75">
      <c r="A10" s="281">
        <v>1.3</v>
      </c>
      <c r="B10" s="725" t="s">
        <v>277</v>
      </c>
      <c r="C10" s="723">
        <v>226353068.41</v>
      </c>
      <c r="D10" s="723">
        <v>16738896.873000011</v>
      </c>
      <c r="E10" s="724">
        <f t="shared" si="0"/>
        <v>243091965.28299999</v>
      </c>
      <c r="F10" s="723">
        <v>201189289</v>
      </c>
      <c r="G10" s="723">
        <v>14217759.283999994</v>
      </c>
      <c r="H10" s="204">
        <v>215407048.28399998</v>
      </c>
      <c r="J10" s="665"/>
    </row>
    <row r="11" spans="1:10" s="2" customFormat="1" ht="15.75">
      <c r="A11" s="281">
        <v>1.4</v>
      </c>
      <c r="B11" s="725" t="s">
        <v>278</v>
      </c>
      <c r="C11" s="723">
        <v>131252638.8</v>
      </c>
      <c r="D11" s="723">
        <v>294757762.53560001</v>
      </c>
      <c r="E11" s="724">
        <f t="shared" si="0"/>
        <v>426010401.33560002</v>
      </c>
      <c r="F11" s="723">
        <v>108364227.61</v>
      </c>
      <c r="G11" s="723">
        <v>188126910.77919999</v>
      </c>
      <c r="H11" s="204">
        <v>296491138.38919997</v>
      </c>
    </row>
    <row r="12" spans="1:10" s="2" customFormat="1" ht="29.25" customHeight="1">
      <c r="A12" s="281">
        <v>2</v>
      </c>
      <c r="B12" s="722" t="s">
        <v>279</v>
      </c>
      <c r="C12" s="723">
        <v>0</v>
      </c>
      <c r="D12" s="723">
        <v>0</v>
      </c>
      <c r="E12" s="724">
        <f t="shared" si="0"/>
        <v>0</v>
      </c>
      <c r="F12" s="723">
        <v>0</v>
      </c>
      <c r="G12" s="723">
        <v>0</v>
      </c>
      <c r="H12" s="204">
        <v>0</v>
      </c>
    </row>
    <row r="13" spans="1:10" s="2" customFormat="1" ht="25.5">
      <c r="A13" s="281">
        <v>3</v>
      </c>
      <c r="B13" s="722" t="s">
        <v>280</v>
      </c>
      <c r="C13" s="723"/>
      <c r="D13" s="723"/>
      <c r="E13" s="724">
        <f t="shared" si="0"/>
        <v>0</v>
      </c>
      <c r="F13" s="723"/>
      <c r="G13" s="723"/>
      <c r="H13" s="204">
        <v>0</v>
      </c>
    </row>
    <row r="14" spans="1:10" s="2" customFormat="1" ht="15.75">
      <c r="A14" s="281">
        <v>3.1</v>
      </c>
      <c r="B14" s="725" t="s">
        <v>281</v>
      </c>
      <c r="C14" s="723">
        <v>2034506000</v>
      </c>
      <c r="D14" s="723">
        <v>0</v>
      </c>
      <c r="E14" s="724">
        <f t="shared" si="0"/>
        <v>2034506000</v>
      </c>
      <c r="F14" s="723">
        <v>1889748000</v>
      </c>
      <c r="G14" s="723">
        <v>0</v>
      </c>
      <c r="H14" s="204">
        <v>1889748000</v>
      </c>
    </row>
    <row r="15" spans="1:10" s="2" customFormat="1" ht="15.75">
      <c r="A15" s="281">
        <v>3.2</v>
      </c>
      <c r="B15" s="725" t="s">
        <v>282</v>
      </c>
      <c r="C15" s="723"/>
      <c r="D15" s="723"/>
      <c r="E15" s="724">
        <f t="shared" si="0"/>
        <v>0</v>
      </c>
      <c r="F15" s="723"/>
      <c r="G15" s="723"/>
      <c r="H15" s="204">
        <v>0</v>
      </c>
    </row>
    <row r="16" spans="1:10" s="2" customFormat="1" ht="15.75">
      <c r="A16" s="281">
        <v>4</v>
      </c>
      <c r="B16" s="722" t="s">
        <v>283</v>
      </c>
      <c r="C16" s="723"/>
      <c r="D16" s="723"/>
      <c r="E16" s="724">
        <f t="shared" si="0"/>
        <v>0</v>
      </c>
      <c r="F16" s="723"/>
      <c r="G16" s="723"/>
      <c r="H16" s="204">
        <v>0</v>
      </c>
    </row>
    <row r="17" spans="1:8" s="2" customFormat="1" ht="15.75">
      <c r="A17" s="281">
        <v>4.0999999999999996</v>
      </c>
      <c r="B17" s="725" t="s">
        <v>284</v>
      </c>
      <c r="C17" s="723">
        <v>331004277.93000001</v>
      </c>
      <c r="D17" s="723">
        <v>281196148.24000001</v>
      </c>
      <c r="E17" s="724">
        <f t="shared" si="0"/>
        <v>612200426.17000008</v>
      </c>
      <c r="F17" s="723">
        <v>247062315.69999999</v>
      </c>
      <c r="G17" s="723">
        <v>243093562.18000001</v>
      </c>
      <c r="H17" s="204">
        <v>490155877.88</v>
      </c>
    </row>
    <row r="18" spans="1:8" s="2" customFormat="1" ht="15.75">
      <c r="A18" s="281">
        <v>4.2</v>
      </c>
      <c r="B18" s="725" t="s">
        <v>285</v>
      </c>
      <c r="C18" s="723">
        <v>482009422.44999999</v>
      </c>
      <c r="D18" s="723">
        <v>492356294.31889999</v>
      </c>
      <c r="E18" s="724">
        <f t="shared" si="0"/>
        <v>974365716.76889992</v>
      </c>
      <c r="F18" s="723">
        <v>439847761.81999999</v>
      </c>
      <c r="G18" s="723">
        <v>466912749.84859997</v>
      </c>
      <c r="H18" s="204">
        <v>906760511.66859996</v>
      </c>
    </row>
    <row r="19" spans="1:8" s="2" customFormat="1" ht="25.5">
      <c r="A19" s="281">
        <v>5</v>
      </c>
      <c r="B19" s="722" t="s">
        <v>286</v>
      </c>
      <c r="C19" s="723"/>
      <c r="D19" s="723"/>
      <c r="E19" s="724">
        <f t="shared" si="0"/>
        <v>0</v>
      </c>
      <c r="F19" s="723"/>
      <c r="G19" s="723"/>
      <c r="H19" s="204">
        <v>0</v>
      </c>
    </row>
    <row r="20" spans="1:8" s="2" customFormat="1" ht="15.75">
      <c r="A20" s="281">
        <v>5.0999999999999996</v>
      </c>
      <c r="B20" s="725" t="s">
        <v>287</v>
      </c>
      <c r="C20" s="723">
        <v>182522932.62</v>
      </c>
      <c r="D20" s="723">
        <v>209106455.90000001</v>
      </c>
      <c r="E20" s="724">
        <f t="shared" si="0"/>
        <v>391629388.51999998</v>
      </c>
      <c r="F20" s="723">
        <v>119794095.41</v>
      </c>
      <c r="G20" s="723">
        <v>282935478.58999997</v>
      </c>
      <c r="H20" s="204">
        <v>402729574</v>
      </c>
    </row>
    <row r="21" spans="1:8" s="2" customFormat="1" ht="15.75">
      <c r="A21" s="281">
        <v>5.2</v>
      </c>
      <c r="B21" s="725" t="s">
        <v>288</v>
      </c>
      <c r="C21" s="723">
        <v>168055244.12</v>
      </c>
      <c r="D21" s="723">
        <v>466068.6</v>
      </c>
      <c r="E21" s="724">
        <f t="shared" si="0"/>
        <v>168521312.72</v>
      </c>
      <c r="F21" s="723">
        <v>98840714.409999996</v>
      </c>
      <c r="G21" s="723">
        <v>958233.65</v>
      </c>
      <c r="H21" s="204">
        <v>99798948.060000002</v>
      </c>
    </row>
    <row r="22" spans="1:8" s="2" customFormat="1" ht="15.75">
      <c r="A22" s="281">
        <v>5.3</v>
      </c>
      <c r="B22" s="725" t="s">
        <v>289</v>
      </c>
      <c r="C22" s="723">
        <v>10140404992.77</v>
      </c>
      <c r="D22" s="723">
        <v>11876881995.73</v>
      </c>
      <c r="E22" s="724">
        <f t="shared" si="0"/>
        <v>22017286988.5</v>
      </c>
      <c r="F22" s="723">
        <v>8026566385.3400011</v>
      </c>
      <c r="G22" s="723">
        <v>10777271283.570002</v>
      </c>
      <c r="H22" s="204">
        <v>18803837668.910004</v>
      </c>
    </row>
    <row r="23" spans="1:8" s="2" customFormat="1" ht="15.75">
      <c r="A23" s="281" t="s">
        <v>290</v>
      </c>
      <c r="B23" s="726" t="s">
        <v>291</v>
      </c>
      <c r="C23" s="723">
        <v>7312632173.7600002</v>
      </c>
      <c r="D23" s="723">
        <v>5201176539.7600002</v>
      </c>
      <c r="E23" s="724">
        <f t="shared" si="0"/>
        <v>12513808713.52</v>
      </c>
      <c r="F23" s="723">
        <v>5930422474.2700005</v>
      </c>
      <c r="G23" s="723">
        <v>4848839383.8400002</v>
      </c>
      <c r="H23" s="204">
        <v>10779261858.110001</v>
      </c>
    </row>
    <row r="24" spans="1:8" s="2" customFormat="1" ht="15.75">
      <c r="A24" s="281" t="s">
        <v>292</v>
      </c>
      <c r="B24" s="726" t="s">
        <v>293</v>
      </c>
      <c r="C24" s="723">
        <v>1716255833.3</v>
      </c>
      <c r="D24" s="723">
        <v>4895608767.3599997</v>
      </c>
      <c r="E24" s="724">
        <f t="shared" si="0"/>
        <v>6611864600.6599998</v>
      </c>
      <c r="F24" s="723">
        <v>1283396769.21</v>
      </c>
      <c r="G24" s="723">
        <v>4388310236.04</v>
      </c>
      <c r="H24" s="204">
        <v>5671707005.25</v>
      </c>
    </row>
    <row r="25" spans="1:8" s="2" customFormat="1" ht="15.75">
      <c r="A25" s="281" t="s">
        <v>294</v>
      </c>
      <c r="B25" s="727" t="s">
        <v>295</v>
      </c>
      <c r="C25" s="723">
        <v>0</v>
      </c>
      <c r="D25" s="723">
        <v>0</v>
      </c>
      <c r="E25" s="724">
        <f t="shared" si="0"/>
        <v>0</v>
      </c>
      <c r="F25" s="723">
        <v>0</v>
      </c>
      <c r="G25" s="723">
        <v>0</v>
      </c>
      <c r="H25" s="204">
        <v>0</v>
      </c>
    </row>
    <row r="26" spans="1:8" s="2" customFormat="1" ht="15.75">
      <c r="A26" s="281" t="s">
        <v>296</v>
      </c>
      <c r="B26" s="726" t="s">
        <v>297</v>
      </c>
      <c r="C26" s="723">
        <v>1111516985.71</v>
      </c>
      <c r="D26" s="723">
        <v>1780096688.6099999</v>
      </c>
      <c r="E26" s="724">
        <f t="shared" si="0"/>
        <v>2891613674.3199997</v>
      </c>
      <c r="F26" s="723">
        <v>812743692.23000002</v>
      </c>
      <c r="G26" s="723">
        <v>1540121663.6900001</v>
      </c>
      <c r="H26" s="204">
        <v>2352865355.9200001</v>
      </c>
    </row>
    <row r="27" spans="1:8" s="2" customFormat="1" ht="15.75">
      <c r="A27" s="281" t="s">
        <v>298</v>
      </c>
      <c r="B27" s="726" t="s">
        <v>299</v>
      </c>
      <c r="C27" s="723">
        <v>0</v>
      </c>
      <c r="D27" s="723">
        <v>0</v>
      </c>
      <c r="E27" s="724">
        <f t="shared" si="0"/>
        <v>0</v>
      </c>
      <c r="F27" s="723">
        <v>3449.63</v>
      </c>
      <c r="G27" s="723">
        <v>0</v>
      </c>
      <c r="H27" s="204">
        <v>3449.63</v>
      </c>
    </row>
    <row r="28" spans="1:8" s="2" customFormat="1" ht="15.75">
      <c r="A28" s="281">
        <v>5.4</v>
      </c>
      <c r="B28" s="725" t="s">
        <v>300</v>
      </c>
      <c r="C28" s="723">
        <v>243008878.50999999</v>
      </c>
      <c r="D28" s="723">
        <v>538905846.15999997</v>
      </c>
      <c r="E28" s="724">
        <f t="shared" si="0"/>
        <v>781914724.66999996</v>
      </c>
      <c r="F28" s="723">
        <v>282863641.98000002</v>
      </c>
      <c r="G28" s="723">
        <v>730074711.82000005</v>
      </c>
      <c r="H28" s="204">
        <v>1012938353.8000001</v>
      </c>
    </row>
    <row r="29" spans="1:8" s="2" customFormat="1" ht="15.75">
      <c r="A29" s="281">
        <v>5.5</v>
      </c>
      <c r="B29" s="725" t="s">
        <v>301</v>
      </c>
      <c r="C29" s="723">
        <v>0</v>
      </c>
      <c r="D29" s="723">
        <v>0</v>
      </c>
      <c r="E29" s="724">
        <f t="shared" si="0"/>
        <v>0</v>
      </c>
      <c r="F29" s="723">
        <v>0</v>
      </c>
      <c r="G29" s="723">
        <v>0</v>
      </c>
      <c r="H29" s="204">
        <v>0</v>
      </c>
    </row>
    <row r="30" spans="1:8" s="2" customFormat="1" ht="15.75">
      <c r="A30" s="281">
        <v>5.6</v>
      </c>
      <c r="B30" s="725" t="s">
        <v>302</v>
      </c>
      <c r="C30" s="723">
        <v>210266908.34</v>
      </c>
      <c r="D30" s="723">
        <v>1355734360.0799999</v>
      </c>
      <c r="E30" s="724">
        <f t="shared" si="0"/>
        <v>1566001268.4199998</v>
      </c>
      <c r="F30" s="723">
        <v>199043139.03</v>
      </c>
      <c r="G30" s="723">
        <v>1327170957.45</v>
      </c>
      <c r="H30" s="204">
        <v>1526214096.48</v>
      </c>
    </row>
    <row r="31" spans="1:8" s="2" customFormat="1" ht="15.75">
      <c r="A31" s="281">
        <v>5.7</v>
      </c>
      <c r="B31" s="725" t="s">
        <v>303</v>
      </c>
      <c r="C31" s="723">
        <v>2056783311.3499999</v>
      </c>
      <c r="D31" s="723">
        <v>4154002094.2199998</v>
      </c>
      <c r="E31" s="724">
        <f t="shared" si="0"/>
        <v>6210785405.5699997</v>
      </c>
      <c r="F31" s="723">
        <v>1692134469.3599999</v>
      </c>
      <c r="G31" s="723">
        <v>3945950799.9299998</v>
      </c>
      <c r="H31" s="204">
        <v>5638085269.29</v>
      </c>
    </row>
    <row r="32" spans="1:8" s="2" customFormat="1" ht="15.75">
      <c r="A32" s="281">
        <v>6</v>
      </c>
      <c r="B32" s="722" t="s">
        <v>304</v>
      </c>
      <c r="C32" s="723">
        <v>0</v>
      </c>
      <c r="D32" s="723">
        <v>0</v>
      </c>
      <c r="E32" s="724">
        <f t="shared" si="0"/>
        <v>0</v>
      </c>
      <c r="F32" s="723"/>
      <c r="G32" s="723"/>
      <c r="H32" s="204">
        <v>0</v>
      </c>
    </row>
    <row r="33" spans="1:8" s="2" customFormat="1" ht="25.5">
      <c r="A33" s="281">
        <v>6.1</v>
      </c>
      <c r="B33" s="725" t="s">
        <v>484</v>
      </c>
      <c r="C33" s="723">
        <v>121874941.04999998</v>
      </c>
      <c r="D33" s="723">
        <v>3092666516.040957</v>
      </c>
      <c r="E33" s="724">
        <f t="shared" si="0"/>
        <v>3214541457.0909572</v>
      </c>
      <c r="F33" s="723">
        <v>133693206.45</v>
      </c>
      <c r="G33" s="723">
        <v>2849082304.5496998</v>
      </c>
      <c r="H33" s="204">
        <v>2982775510.9996996</v>
      </c>
    </row>
    <row r="34" spans="1:8" s="2" customFormat="1" ht="25.5">
      <c r="A34" s="281">
        <v>6.2</v>
      </c>
      <c r="B34" s="725" t="s">
        <v>305</v>
      </c>
      <c r="C34" s="723">
        <v>86826789.370000005</v>
      </c>
      <c r="D34" s="723">
        <v>3144058206.276547</v>
      </c>
      <c r="E34" s="724">
        <f t="shared" si="0"/>
        <v>3230884995.6465468</v>
      </c>
      <c r="F34" s="723">
        <v>84050844.549999997</v>
      </c>
      <c r="G34" s="723">
        <v>2902086107.3755002</v>
      </c>
      <c r="H34" s="204">
        <v>2986136951.9255004</v>
      </c>
    </row>
    <row r="35" spans="1:8" s="2" customFormat="1" ht="25.5">
      <c r="A35" s="281">
        <v>6.3</v>
      </c>
      <c r="B35" s="725" t="s">
        <v>306</v>
      </c>
      <c r="C35" s="723"/>
      <c r="D35" s="723"/>
      <c r="E35" s="724">
        <f t="shared" si="0"/>
        <v>0</v>
      </c>
      <c r="F35" s="723"/>
      <c r="G35" s="723">
        <v>0</v>
      </c>
      <c r="H35" s="204">
        <v>0</v>
      </c>
    </row>
    <row r="36" spans="1:8" s="2" customFormat="1" ht="15.75">
      <c r="A36" s="281">
        <v>6.4</v>
      </c>
      <c r="B36" s="725" t="s">
        <v>307</v>
      </c>
      <c r="C36" s="723"/>
      <c r="D36" s="723"/>
      <c r="E36" s="724">
        <f t="shared" si="0"/>
        <v>0</v>
      </c>
      <c r="F36" s="723"/>
      <c r="G36" s="723"/>
      <c r="H36" s="204">
        <v>0</v>
      </c>
    </row>
    <row r="37" spans="1:8" s="2" customFormat="1" ht="15.75">
      <c r="A37" s="281">
        <v>6.5</v>
      </c>
      <c r="B37" s="725" t="s">
        <v>308</v>
      </c>
      <c r="C37" s="723"/>
      <c r="D37" s="723">
        <v>7584720</v>
      </c>
      <c r="E37" s="724">
        <f t="shared" si="0"/>
        <v>7584720</v>
      </c>
      <c r="F37" s="723"/>
      <c r="G37" s="723">
        <v>15581520</v>
      </c>
      <c r="H37" s="204">
        <v>15581520</v>
      </c>
    </row>
    <row r="38" spans="1:8" s="2" customFormat="1" ht="25.5">
      <c r="A38" s="281">
        <v>6.6</v>
      </c>
      <c r="B38" s="725" t="s">
        <v>309</v>
      </c>
      <c r="C38" s="723"/>
      <c r="D38" s="723"/>
      <c r="E38" s="724">
        <f t="shared" si="0"/>
        <v>0</v>
      </c>
      <c r="F38" s="723"/>
      <c r="G38" s="723"/>
      <c r="H38" s="204">
        <v>0</v>
      </c>
    </row>
    <row r="39" spans="1:8" s="2" customFormat="1" ht="25.5">
      <c r="A39" s="281">
        <v>6.7</v>
      </c>
      <c r="B39" s="725" t="s">
        <v>310</v>
      </c>
      <c r="C39" s="723"/>
      <c r="D39" s="723"/>
      <c r="E39" s="724">
        <f t="shared" si="0"/>
        <v>0</v>
      </c>
      <c r="F39" s="723"/>
      <c r="G39" s="723"/>
      <c r="H39" s="204">
        <v>0</v>
      </c>
    </row>
    <row r="40" spans="1:8" s="2" customFormat="1" ht="15.75">
      <c r="A40" s="281">
        <v>7</v>
      </c>
      <c r="B40" s="722" t="s">
        <v>311</v>
      </c>
      <c r="C40" s="723"/>
      <c r="D40" s="723"/>
      <c r="E40" s="724">
        <f t="shared" si="0"/>
        <v>0</v>
      </c>
      <c r="F40" s="723"/>
      <c r="G40" s="723"/>
      <c r="H40" s="204">
        <v>0</v>
      </c>
    </row>
    <row r="41" spans="1:8" s="2" customFormat="1" ht="25.5">
      <c r="A41" s="281">
        <v>7.1</v>
      </c>
      <c r="B41" s="725" t="s">
        <v>312</v>
      </c>
      <c r="C41" s="723">
        <v>17899646.93</v>
      </c>
      <c r="D41" s="723">
        <v>3126046.61</v>
      </c>
      <c r="E41" s="724">
        <f t="shared" si="0"/>
        <v>21025693.539999999</v>
      </c>
      <c r="F41" s="723">
        <v>1293688.7</v>
      </c>
      <c r="G41" s="723">
        <v>2747551.45</v>
      </c>
      <c r="H41" s="204">
        <v>4041240.1500000004</v>
      </c>
    </row>
    <row r="42" spans="1:8" s="2" customFormat="1" ht="25.5">
      <c r="A42" s="281">
        <v>7.2</v>
      </c>
      <c r="B42" s="725" t="s">
        <v>313</v>
      </c>
      <c r="C42" s="723">
        <v>5208394.87</v>
      </c>
      <c r="D42" s="723">
        <v>2229396.8212870001</v>
      </c>
      <c r="E42" s="724">
        <f t="shared" si="0"/>
        <v>7437791.6912869997</v>
      </c>
      <c r="F42" s="723">
        <v>1166644.8700000001</v>
      </c>
      <c r="G42" s="723">
        <v>998632.8550477</v>
      </c>
      <c r="H42" s="204">
        <v>2165277.7250477001</v>
      </c>
    </row>
    <row r="43" spans="1:8" s="2" customFormat="1" ht="25.5">
      <c r="A43" s="281">
        <v>7.3</v>
      </c>
      <c r="B43" s="725" t="s">
        <v>314</v>
      </c>
      <c r="C43" s="723">
        <v>124868406.46000001</v>
      </c>
      <c r="D43" s="723">
        <v>123027067.73</v>
      </c>
      <c r="E43" s="724">
        <f t="shared" si="0"/>
        <v>247895474.19</v>
      </c>
      <c r="F43" s="723">
        <v>132550554.91</v>
      </c>
      <c r="G43" s="723">
        <v>124454933.69</v>
      </c>
      <c r="H43" s="204">
        <v>257005488.59999999</v>
      </c>
    </row>
    <row r="44" spans="1:8" s="2" customFormat="1" ht="25.5">
      <c r="A44" s="281">
        <v>7.4</v>
      </c>
      <c r="B44" s="725" t="s">
        <v>315</v>
      </c>
      <c r="C44" s="723">
        <v>44877880.020000003</v>
      </c>
      <c r="D44" s="723">
        <v>30689287.448621001</v>
      </c>
      <c r="E44" s="724">
        <f t="shared" si="0"/>
        <v>75567167.468621001</v>
      </c>
      <c r="F44" s="723">
        <v>47278359.480000004</v>
      </c>
      <c r="G44" s="723">
        <v>65508631.251504704</v>
      </c>
      <c r="H44" s="204">
        <v>112786990.73150471</v>
      </c>
    </row>
    <row r="45" spans="1:8" s="2" customFormat="1" ht="15.75">
      <c r="A45" s="281">
        <v>8</v>
      </c>
      <c r="B45" s="722" t="s">
        <v>316</v>
      </c>
      <c r="C45" s="723"/>
      <c r="D45" s="723"/>
      <c r="E45" s="724">
        <f t="shared" si="0"/>
        <v>0</v>
      </c>
      <c r="F45" s="723"/>
      <c r="G45" s="723"/>
      <c r="H45" s="204">
        <v>0</v>
      </c>
    </row>
    <row r="46" spans="1:8" s="2" customFormat="1" ht="15.75">
      <c r="A46" s="281">
        <v>8.1</v>
      </c>
      <c r="B46" s="725" t="s">
        <v>317</v>
      </c>
      <c r="C46" s="723"/>
      <c r="D46" s="723"/>
      <c r="E46" s="724">
        <f t="shared" si="0"/>
        <v>0</v>
      </c>
      <c r="F46" s="723"/>
      <c r="G46" s="723"/>
      <c r="H46" s="204">
        <v>0</v>
      </c>
    </row>
    <row r="47" spans="1:8" s="2" customFormat="1" ht="15.75">
      <c r="A47" s="281">
        <v>8.1999999999999993</v>
      </c>
      <c r="B47" s="725" t="s">
        <v>318</v>
      </c>
      <c r="C47" s="723"/>
      <c r="D47" s="723"/>
      <c r="E47" s="724">
        <f t="shared" si="0"/>
        <v>0</v>
      </c>
      <c r="F47" s="723"/>
      <c r="G47" s="723"/>
      <c r="H47" s="204">
        <v>0</v>
      </c>
    </row>
    <row r="48" spans="1:8" s="2" customFormat="1" ht="15.75">
      <c r="A48" s="281">
        <v>8.3000000000000007</v>
      </c>
      <c r="B48" s="725" t="s">
        <v>319</v>
      </c>
      <c r="C48" s="723"/>
      <c r="D48" s="723"/>
      <c r="E48" s="724">
        <f t="shared" si="0"/>
        <v>0</v>
      </c>
      <c r="F48" s="723"/>
      <c r="G48" s="723"/>
      <c r="H48" s="204">
        <v>0</v>
      </c>
    </row>
    <row r="49" spans="1:8" s="2" customFormat="1" ht="15.75">
      <c r="A49" s="281">
        <v>8.4</v>
      </c>
      <c r="B49" s="725" t="s">
        <v>320</v>
      </c>
      <c r="C49" s="723"/>
      <c r="D49" s="723"/>
      <c r="E49" s="724">
        <f t="shared" si="0"/>
        <v>0</v>
      </c>
      <c r="F49" s="723"/>
      <c r="G49" s="723"/>
      <c r="H49" s="204">
        <v>0</v>
      </c>
    </row>
    <row r="50" spans="1:8" s="2" customFormat="1" ht="15.75">
      <c r="A50" s="281">
        <v>8.5</v>
      </c>
      <c r="B50" s="725" t="s">
        <v>321</v>
      </c>
      <c r="C50" s="723"/>
      <c r="D50" s="723"/>
      <c r="E50" s="724">
        <f t="shared" si="0"/>
        <v>0</v>
      </c>
      <c r="F50" s="723"/>
      <c r="G50" s="723"/>
      <c r="H50" s="204">
        <v>0</v>
      </c>
    </row>
    <row r="51" spans="1:8" s="2" customFormat="1" ht="15.75">
      <c r="A51" s="281">
        <v>8.6</v>
      </c>
      <c r="B51" s="725" t="s">
        <v>322</v>
      </c>
      <c r="C51" s="723"/>
      <c r="D51" s="723"/>
      <c r="E51" s="724">
        <f t="shared" si="0"/>
        <v>0</v>
      </c>
      <c r="F51" s="723"/>
      <c r="G51" s="723"/>
      <c r="H51" s="204">
        <v>0</v>
      </c>
    </row>
    <row r="52" spans="1:8" s="2" customFormat="1" ht="15.75">
      <c r="A52" s="281">
        <v>8.6999999999999993</v>
      </c>
      <c r="B52" s="725" t="s">
        <v>323</v>
      </c>
      <c r="C52" s="723"/>
      <c r="D52" s="723"/>
      <c r="E52" s="724">
        <f t="shared" si="0"/>
        <v>0</v>
      </c>
      <c r="F52" s="723"/>
      <c r="G52" s="723"/>
      <c r="H52" s="204">
        <v>0</v>
      </c>
    </row>
    <row r="53" spans="1:8" s="2" customFormat="1" ht="26.25" thickBot="1">
      <c r="A53" s="182">
        <v>9</v>
      </c>
      <c r="B53" s="728" t="s">
        <v>324</v>
      </c>
      <c r="C53" s="677"/>
      <c r="D53" s="677"/>
      <c r="E53" s="729">
        <f t="shared" si="0"/>
        <v>0</v>
      </c>
      <c r="F53" s="677"/>
      <c r="G53" s="677"/>
      <c r="H53" s="21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2"/>
  <sheetViews>
    <sheetView showGridLines="0" zoomScaleNormal="100" workbookViewId="0">
      <pane xSplit="1" ySplit="4" topLeftCell="B5" activePane="bottomRight" state="frozen"/>
      <selection activeCell="B1" sqref="B1"/>
      <selection pane="topRight" activeCell="B1" sqref="B1"/>
      <selection pane="bottomLeft" activeCell="B1" sqref="B1"/>
      <selection pane="bottomRight" activeCell="B5" sqref="B5"/>
    </sheetView>
  </sheetViews>
  <sheetFormatPr defaultColWidth="9.140625" defaultRowHeight="12.75"/>
  <cols>
    <col min="1" max="1" width="9.5703125" style="1" bestFit="1" customWidth="1"/>
    <col min="2" max="2" width="93.5703125" style="1" customWidth="1"/>
    <col min="3" max="4" width="12.7109375" style="1" customWidth="1"/>
    <col min="5" max="5" width="12.28515625" style="8" customWidth="1"/>
    <col min="6" max="6" width="13.42578125" style="8" customWidth="1"/>
    <col min="7" max="7" width="13.140625" style="8" customWidth="1"/>
    <col min="8" max="11" width="9.7109375" style="8" customWidth="1"/>
    <col min="12" max="16384" width="9.140625" style="8"/>
  </cols>
  <sheetData>
    <row r="1" spans="1:8" ht="15">
      <c r="A1" s="11" t="s">
        <v>188</v>
      </c>
      <c r="B1" s="10" t="s">
        <v>1003</v>
      </c>
      <c r="C1" s="10"/>
      <c r="D1" s="277"/>
    </row>
    <row r="2" spans="1:8" ht="15">
      <c r="A2" s="11" t="s">
        <v>189</v>
      </c>
      <c r="B2" s="370">
        <f>'1. key ratios'!B2</f>
        <v>44377</v>
      </c>
      <c r="C2" s="21"/>
      <c r="D2" s="12"/>
      <c r="E2" s="7"/>
      <c r="F2" s="7"/>
      <c r="G2" s="7"/>
      <c r="H2" s="7"/>
    </row>
    <row r="3" spans="1:8" ht="15">
      <c r="A3" s="11"/>
      <c r="B3" s="10"/>
      <c r="C3" s="21"/>
      <c r="D3" s="12"/>
      <c r="E3" s="7"/>
      <c r="F3" s="7"/>
      <c r="G3" s="7"/>
      <c r="H3" s="7">
        <v>0</v>
      </c>
    </row>
    <row r="4" spans="1:8" ht="15" customHeight="1" thickBot="1">
      <c r="A4" s="12" t="s">
        <v>408</v>
      </c>
      <c r="B4" s="606" t="s">
        <v>187</v>
      </c>
      <c r="C4" s="607" t="s">
        <v>93</v>
      </c>
    </row>
    <row r="5" spans="1:8" ht="15" customHeight="1">
      <c r="A5" s="608" t="s">
        <v>26</v>
      </c>
      <c r="B5" s="609"/>
      <c r="C5" s="371" t="str">
        <f>INT((MONTH($B$2))/3)&amp;"Q"&amp;"-"&amp;YEAR($B$2)</f>
        <v>2Q-2021</v>
      </c>
      <c r="D5" s="371" t="str">
        <f>IF(INT(MONTH($B$2))=3, "4"&amp;"Q"&amp;"-"&amp;YEAR($B$2)-1, IF(INT(MONTH($B$2))=6, "1"&amp;"Q"&amp;"-"&amp;YEAR($B$2), IF(INT(MONTH($B$2))=9, "2"&amp;"Q"&amp;"-"&amp;YEAR($B$2),IF(INT(MONTH($B$2))=12, "3"&amp;"Q"&amp;"-"&amp;YEAR($B$2), 0))))</f>
        <v>1Q-2021</v>
      </c>
      <c r="E5" s="371" t="str">
        <f>IF(INT(MONTH($B$2))=3, "3"&amp;"Q"&amp;"-"&amp;YEAR($B$2)-1, IF(INT(MONTH($B$2))=6, "4"&amp;"Q"&amp;"-"&amp;YEAR($B$2)-1, IF(INT(MONTH($B$2))=9, "1"&amp;"Q"&amp;"-"&amp;YEAR($B$2),IF(INT(MONTH($B$2))=12, "2"&amp;"Q"&amp;"-"&amp;YEAR($B$2), 0))))</f>
        <v>4Q-2020</v>
      </c>
      <c r="F5" s="371" t="str">
        <f>IF(INT(MONTH($B$2))=3, "2"&amp;"Q"&amp;"-"&amp;YEAR($B$2)-1, IF(INT(MONTH($B$2))=6, "3"&amp;"Q"&amp;"-"&amp;YEAR($B$2)-1, IF(INT(MONTH($B$2))=9, "4"&amp;"Q"&amp;"-"&amp;YEAR($B$2)-1,IF(INT(MONTH($B$2))=12, "1"&amp;"Q"&amp;"-"&amp;YEAR($B$2), 0))))</f>
        <v>3Q-2020</v>
      </c>
      <c r="G5" s="372" t="str">
        <f>IF(INT(MONTH($B$2))=3, "1"&amp;"Q"&amp;"-"&amp;YEAR($B$2)-1, IF(INT(MONTH($B$2))=6, "2"&amp;"Q"&amp;"-"&amp;YEAR($B$2)-1, IF(INT(MONTH($B$2))=9, "3"&amp;"Q"&amp;"-"&amp;YEAR($B$2)-1,IF(INT(MONTH($B$2))=12, "4"&amp;"Q"&amp;"-"&amp;YEAR($B$2)-1, 0))))</f>
        <v>2Q-2020</v>
      </c>
    </row>
    <row r="6" spans="1:8" ht="15" customHeight="1">
      <c r="A6" s="311">
        <v>1</v>
      </c>
      <c r="B6" s="366" t="s">
        <v>192</v>
      </c>
      <c r="C6" s="312">
        <f>C7+C9+C10</f>
        <v>14781633317.500257</v>
      </c>
      <c r="D6" s="312">
        <v>14731047465.729626</v>
      </c>
      <c r="E6" s="312">
        <v>14248098033.158522</v>
      </c>
      <c r="F6" s="312">
        <v>13463446480</v>
      </c>
      <c r="G6" s="313">
        <v>12321125371</v>
      </c>
    </row>
    <row r="7" spans="1:8" ht="15" customHeight="1">
      <c r="A7" s="311">
        <v>1.1000000000000001</v>
      </c>
      <c r="B7" s="314" t="s">
        <v>605</v>
      </c>
      <c r="C7" s="315">
        <v>14069685683.007097</v>
      </c>
      <c r="D7" s="315">
        <v>14055197733.61487</v>
      </c>
      <c r="E7" s="315">
        <v>13556391833.248442</v>
      </c>
      <c r="F7" s="315">
        <v>12749398930</v>
      </c>
      <c r="G7" s="610">
        <v>11696327094</v>
      </c>
    </row>
    <row r="8" spans="1:8" ht="25.5">
      <c r="A8" s="311" t="s">
        <v>252</v>
      </c>
      <c r="B8" s="316" t="s">
        <v>402</v>
      </c>
      <c r="C8" s="315">
        <v>147363666.34999999</v>
      </c>
      <c r="D8" s="315">
        <v>19638083.670000002</v>
      </c>
      <c r="E8" s="315">
        <v>338783151.70000005</v>
      </c>
      <c r="F8" s="315">
        <v>288205272</v>
      </c>
      <c r="G8" s="610">
        <v>317934764</v>
      </c>
    </row>
    <row r="9" spans="1:8" ht="15" customHeight="1">
      <c r="A9" s="311">
        <v>1.2</v>
      </c>
      <c r="B9" s="314" t="s">
        <v>22</v>
      </c>
      <c r="C9" s="315">
        <v>689421727.60358751</v>
      </c>
      <c r="D9" s="315">
        <v>649953863.49223745</v>
      </c>
      <c r="E9" s="315">
        <v>659735895.97358751</v>
      </c>
      <c r="F9" s="315">
        <v>677904371</v>
      </c>
      <c r="G9" s="610">
        <v>591314013</v>
      </c>
    </row>
    <row r="10" spans="1:8" ht="15" customHeight="1">
      <c r="A10" s="311">
        <v>1.3</v>
      </c>
      <c r="B10" s="367" t="s">
        <v>77</v>
      </c>
      <c r="C10" s="315">
        <v>22525906.889572997</v>
      </c>
      <c r="D10" s="315">
        <v>25895868.6225182</v>
      </c>
      <c r="E10" s="317">
        <v>31970303.936493397</v>
      </c>
      <c r="F10" s="315">
        <v>36143179</v>
      </c>
      <c r="G10" s="611">
        <v>33484264</v>
      </c>
    </row>
    <row r="11" spans="1:8" ht="15" customHeight="1">
      <c r="A11" s="311">
        <v>2</v>
      </c>
      <c r="B11" s="366" t="s">
        <v>193</v>
      </c>
      <c r="C11" s="317">
        <v>37900848.839961916</v>
      </c>
      <c r="D11" s="315">
        <v>6106753.9886693675</v>
      </c>
      <c r="E11" s="315">
        <v>12719589.748634126</v>
      </c>
      <c r="F11" s="315">
        <v>7126381</v>
      </c>
      <c r="G11" s="610">
        <v>86183447</v>
      </c>
    </row>
    <row r="12" spans="1:8" ht="15" customHeight="1">
      <c r="A12" s="328">
        <v>3</v>
      </c>
      <c r="B12" s="368" t="s">
        <v>191</v>
      </c>
      <c r="C12" s="317">
        <v>1779276234</v>
      </c>
      <c r="D12" s="315">
        <v>1779276234</v>
      </c>
      <c r="E12" s="317">
        <v>1779276234</v>
      </c>
      <c r="F12" s="315">
        <v>1691801176</v>
      </c>
      <c r="G12" s="611">
        <v>1691801176</v>
      </c>
    </row>
    <row r="13" spans="1:8" ht="15" customHeight="1" thickBot="1">
      <c r="A13" s="110">
        <v>4</v>
      </c>
      <c r="B13" s="369" t="s">
        <v>253</v>
      </c>
      <c r="C13" s="225">
        <f>C6+C11+C12</f>
        <v>16598810400.340219</v>
      </c>
      <c r="D13" s="225">
        <v>16516430453.718294</v>
      </c>
      <c r="E13" s="225">
        <v>16040093856.907156</v>
      </c>
      <c r="F13" s="225">
        <v>15162374037</v>
      </c>
      <c r="G13" s="226">
        <v>14099109994</v>
      </c>
    </row>
    <row r="14" spans="1:8">
      <c r="B14" s="17"/>
    </row>
    <row r="15" spans="1:8" ht="25.5">
      <c r="B15" s="87" t="s">
        <v>606</v>
      </c>
      <c r="C15" s="692">
        <f>C13-'1. key ratios'!C15</f>
        <v>0</v>
      </c>
      <c r="D15" s="732"/>
      <c r="E15" s="732"/>
      <c r="F15" s="732"/>
      <c r="G15" s="732"/>
    </row>
    <row r="16" spans="1:8">
      <c r="B16" s="87"/>
      <c r="D16" s="732"/>
      <c r="E16" s="732"/>
      <c r="F16" s="732"/>
      <c r="G16" s="732"/>
    </row>
    <row r="17" spans="2:7">
      <c r="B17" s="87"/>
      <c r="D17" s="732"/>
      <c r="E17" s="732"/>
      <c r="F17" s="732"/>
      <c r="G17" s="732"/>
    </row>
    <row r="18" spans="2:7">
      <c r="B18" s="87"/>
      <c r="D18" s="732"/>
      <c r="E18" s="732"/>
      <c r="F18" s="732"/>
      <c r="G18" s="732"/>
    </row>
    <row r="19" spans="2:7">
      <c r="D19" s="732"/>
      <c r="E19" s="732"/>
      <c r="F19" s="732"/>
      <c r="G19" s="732"/>
    </row>
    <row r="20" spans="2:7">
      <c r="D20" s="732"/>
      <c r="E20" s="732"/>
      <c r="F20" s="732"/>
      <c r="G20" s="732"/>
    </row>
    <row r="21" spans="2:7">
      <c r="D21" s="732"/>
      <c r="E21" s="732"/>
      <c r="F21" s="732"/>
      <c r="G21" s="732"/>
    </row>
    <row r="22" spans="2:7">
      <c r="D22" s="732"/>
      <c r="E22" s="732"/>
      <c r="F22" s="732"/>
      <c r="G22" s="73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G37"/>
  <sheetViews>
    <sheetView showGridLines="0" zoomScaleNormal="100" workbookViewId="0">
      <pane xSplit="1" ySplit="4" topLeftCell="B5" activePane="bottomRight" state="frozen"/>
      <selection activeCell="B1" sqref="B1"/>
      <selection pane="topRight" activeCell="B1" sqref="B1"/>
      <selection pane="bottomLeft" activeCell="B1" sqref="B1"/>
      <selection pane="bottomRight" activeCell="B5" sqref="B5"/>
    </sheetView>
  </sheetViews>
  <sheetFormatPr defaultRowHeight="15"/>
  <cols>
    <col min="1" max="1" width="9.5703125" style="277" bestFit="1" customWidth="1"/>
    <col min="2" max="2" width="58.85546875" style="277" customWidth="1"/>
    <col min="3" max="3" width="84.140625" style="277" customWidth="1"/>
  </cols>
  <sheetData>
    <row r="1" spans="1:7">
      <c r="A1" s="277" t="s">
        <v>188</v>
      </c>
      <c r="B1" s="277" t="s">
        <v>1003</v>
      </c>
    </row>
    <row r="2" spans="1:7">
      <c r="A2" s="277" t="s">
        <v>189</v>
      </c>
      <c r="B2" s="383">
        <f>'1. key ratios'!B2</f>
        <v>44377</v>
      </c>
    </row>
    <row r="4" spans="1:7" ht="30.75" thickBot="1">
      <c r="A4" s="193" t="s">
        <v>409</v>
      </c>
      <c r="B4" s="53" t="s">
        <v>149</v>
      </c>
      <c r="C4" s="9"/>
    </row>
    <row r="5" spans="1:7" ht="15.75">
      <c r="A5" s="670"/>
      <c r="B5" s="662" t="s">
        <v>150</v>
      </c>
      <c r="C5" s="684" t="s">
        <v>620</v>
      </c>
    </row>
    <row r="6" spans="1:7" ht="15.75">
      <c r="A6" s="671">
        <v>1</v>
      </c>
      <c r="B6" s="686" t="s">
        <v>971</v>
      </c>
      <c r="C6" s="661" t="s">
        <v>972</v>
      </c>
    </row>
    <row r="7" spans="1:7" ht="15.75">
      <c r="A7" s="671">
        <v>2</v>
      </c>
      <c r="B7" s="686" t="s">
        <v>973</v>
      </c>
      <c r="C7" s="661" t="s">
        <v>974</v>
      </c>
    </row>
    <row r="8" spans="1:7" ht="15.75">
      <c r="A8" s="671">
        <v>3</v>
      </c>
      <c r="B8" s="686" t="s">
        <v>975</v>
      </c>
      <c r="C8" s="661" t="s">
        <v>976</v>
      </c>
    </row>
    <row r="9" spans="1:7" ht="15.75">
      <c r="A9" s="671">
        <v>4</v>
      </c>
      <c r="B9" s="686" t="s">
        <v>977</v>
      </c>
      <c r="C9" s="661" t="s">
        <v>974</v>
      </c>
    </row>
    <row r="10" spans="1:7" ht="18">
      <c r="A10" s="671">
        <v>5</v>
      </c>
      <c r="B10" s="686" t="s">
        <v>978</v>
      </c>
      <c r="C10" s="660" t="s">
        <v>974</v>
      </c>
    </row>
    <row r="11" spans="1:7">
      <c r="A11" s="671">
        <v>6</v>
      </c>
      <c r="B11" s="664" t="s">
        <v>979</v>
      </c>
      <c r="C11" s="661" t="s">
        <v>974</v>
      </c>
    </row>
    <row r="12" spans="1:7">
      <c r="A12" s="671">
        <v>7</v>
      </c>
      <c r="B12" s="664" t="s">
        <v>980</v>
      </c>
      <c r="C12" s="661" t="s">
        <v>974</v>
      </c>
      <c r="G12" s="3"/>
    </row>
    <row r="13" spans="1:7">
      <c r="A13" s="671">
        <v>8</v>
      </c>
      <c r="B13" s="664" t="s">
        <v>1006</v>
      </c>
      <c r="C13" s="661" t="s">
        <v>974</v>
      </c>
    </row>
    <row r="14" spans="1:7">
      <c r="A14" s="671">
        <v>9</v>
      </c>
      <c r="B14" s="697"/>
      <c r="C14" s="680"/>
    </row>
    <row r="15" spans="1:7">
      <c r="A15" s="671">
        <v>10</v>
      </c>
      <c r="B15" s="697"/>
      <c r="C15" s="680"/>
    </row>
    <row r="16" spans="1:7">
      <c r="A16" s="671"/>
      <c r="B16" s="751"/>
      <c r="C16" s="752"/>
    </row>
    <row r="17" spans="1:3">
      <c r="A17" s="671"/>
      <c r="B17" s="663" t="s">
        <v>151</v>
      </c>
      <c r="C17" s="685" t="s">
        <v>621</v>
      </c>
    </row>
    <row r="18" spans="1:3" ht="15.75">
      <c r="A18" s="671">
        <v>1</v>
      </c>
      <c r="B18" s="687" t="s">
        <v>981</v>
      </c>
      <c r="C18" s="661" t="s">
        <v>982</v>
      </c>
    </row>
    <row r="19" spans="1:3" ht="15.75">
      <c r="A19" s="671">
        <v>2</v>
      </c>
      <c r="B19" s="687" t="s">
        <v>983</v>
      </c>
      <c r="C19" s="661" t="s">
        <v>984</v>
      </c>
    </row>
    <row r="20" spans="1:3" ht="15.75">
      <c r="A20" s="671">
        <v>3</v>
      </c>
      <c r="B20" s="687" t="s">
        <v>985</v>
      </c>
      <c r="C20" s="661" t="s">
        <v>986</v>
      </c>
    </row>
    <row r="21" spans="1:3" ht="15.75">
      <c r="A21" s="671">
        <v>4</v>
      </c>
      <c r="B21" s="687" t="s">
        <v>987</v>
      </c>
      <c r="C21" s="661" t="s">
        <v>988</v>
      </c>
    </row>
    <row r="22" spans="1:3" ht="15.75">
      <c r="A22" s="671">
        <v>5</v>
      </c>
      <c r="B22" s="687" t="s">
        <v>989</v>
      </c>
      <c r="C22" s="661" t="s">
        <v>990</v>
      </c>
    </row>
    <row r="23" spans="1:3" ht="15.75">
      <c r="A23" s="671">
        <v>6</v>
      </c>
      <c r="B23" s="687" t="s">
        <v>991</v>
      </c>
      <c r="C23" s="661" t="s">
        <v>992</v>
      </c>
    </row>
    <row r="24" spans="1:3" ht="30">
      <c r="A24" s="671">
        <v>7</v>
      </c>
      <c r="B24" s="687" t="s">
        <v>993</v>
      </c>
      <c r="C24" s="661" t="s">
        <v>994</v>
      </c>
    </row>
    <row r="25" spans="1:3" ht="30">
      <c r="A25" s="671">
        <v>8</v>
      </c>
      <c r="B25" s="687" t="s">
        <v>995</v>
      </c>
      <c r="C25" s="661" t="s">
        <v>996</v>
      </c>
    </row>
    <row r="26" spans="1:3" ht="15.75">
      <c r="A26" s="671">
        <v>9</v>
      </c>
      <c r="B26" s="687"/>
      <c r="C26" s="682"/>
    </row>
    <row r="27" spans="1:3" ht="15.75">
      <c r="A27" s="671">
        <v>10</v>
      </c>
      <c r="B27" s="687"/>
      <c r="C27" s="683"/>
    </row>
    <row r="28" spans="1:3" ht="15.75">
      <c r="A28" s="671"/>
      <c r="B28" s="687"/>
      <c r="C28" s="683"/>
    </row>
    <row r="29" spans="1:3">
      <c r="A29" s="671"/>
      <c r="B29" s="753" t="s">
        <v>152</v>
      </c>
      <c r="C29" s="754"/>
    </row>
    <row r="30" spans="1:3" ht="15.75">
      <c r="A30" s="671">
        <v>1</v>
      </c>
      <c r="B30" s="693" t="s">
        <v>997</v>
      </c>
      <c r="C30" s="694">
        <v>0.19770973141775675</v>
      </c>
    </row>
    <row r="31" spans="1:3">
      <c r="A31" s="671">
        <v>2</v>
      </c>
      <c r="B31" s="695" t="s">
        <v>998</v>
      </c>
      <c r="C31" s="694" t="s">
        <v>999</v>
      </c>
    </row>
    <row r="32" spans="1:3">
      <c r="A32" s="671"/>
      <c r="B32" s="697"/>
      <c r="C32" s="680"/>
    </row>
    <row r="33" spans="1:3" ht="39.75" customHeight="1">
      <c r="A33" s="671"/>
      <c r="B33" s="755" t="s">
        <v>1000</v>
      </c>
      <c r="C33" s="756"/>
    </row>
    <row r="34" spans="1:3">
      <c r="A34" s="671">
        <v>1</v>
      </c>
      <c r="B34" s="696" t="s">
        <v>1001</v>
      </c>
      <c r="C34" s="694">
        <v>0.19900000000000001</v>
      </c>
    </row>
    <row r="35" spans="1:3">
      <c r="A35" s="671">
        <v>2</v>
      </c>
      <c r="B35" s="696" t="s">
        <v>1002</v>
      </c>
      <c r="C35" s="694">
        <v>6.3500000000000001E-2</v>
      </c>
    </row>
    <row r="36" spans="1:3">
      <c r="A36" s="671"/>
      <c r="B36" s="697"/>
      <c r="C36" s="680"/>
    </row>
    <row r="37" spans="1:3" ht="16.5" thickBot="1">
      <c r="A37" s="672"/>
      <c r="B37" s="659"/>
      <c r="C37" s="681"/>
    </row>
  </sheetData>
  <mergeCells count="3">
    <mergeCell ref="B16:C16"/>
    <mergeCell ref="B29:C29"/>
    <mergeCell ref="B33:C33"/>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H37"/>
  <sheetViews>
    <sheetView showGridLines="0" zoomScaleNormal="100" workbookViewId="0">
      <pane xSplit="1" ySplit="5" topLeftCell="B6" activePane="bottomRight" state="frozen"/>
      <selection activeCell="B1" sqref="B1"/>
      <selection pane="topRight" activeCell="B1" sqref="B1"/>
      <selection pane="bottomLeft" activeCell="B1" sqref="B1"/>
      <selection pane="bottomRight" activeCell="B6" sqref="B6:B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8" ht="15.75">
      <c r="A1" s="11" t="s">
        <v>188</v>
      </c>
      <c r="B1" s="10" t="s">
        <v>1003</v>
      </c>
    </row>
    <row r="2" spans="1:8" s="15" customFormat="1" ht="15.75" customHeight="1">
      <c r="A2" s="15" t="s">
        <v>189</v>
      </c>
      <c r="B2" s="383">
        <f>'1. key ratios'!B2</f>
        <v>44377</v>
      </c>
    </row>
    <row r="3" spans="1:8" s="15" customFormat="1" ht="15.75" customHeight="1">
      <c r="H3" s="15">
        <v>0</v>
      </c>
    </row>
    <row r="4" spans="1:8" s="15" customFormat="1" ht="15.75" customHeight="1" thickBot="1">
      <c r="A4" s="194" t="s">
        <v>410</v>
      </c>
      <c r="B4" s="195" t="s">
        <v>263</v>
      </c>
      <c r="C4" s="161"/>
      <c r="D4" s="161"/>
      <c r="E4" s="162" t="s">
        <v>93</v>
      </c>
    </row>
    <row r="5" spans="1:8" s="98" customFormat="1" ht="17.45" customHeight="1">
      <c r="A5" s="286"/>
      <c r="B5" s="287"/>
      <c r="C5" s="160" t="s">
        <v>0</v>
      </c>
      <c r="D5" s="160" t="s">
        <v>1</v>
      </c>
      <c r="E5" s="288" t="s">
        <v>2</v>
      </c>
    </row>
    <row r="6" spans="1:8" s="128" customFormat="1" ht="14.45" customHeight="1">
      <c r="A6" s="289"/>
      <c r="B6" s="757" t="s">
        <v>231</v>
      </c>
      <c r="C6" s="757" t="s">
        <v>230</v>
      </c>
      <c r="D6" s="758" t="s">
        <v>229</v>
      </c>
      <c r="E6" s="759"/>
      <c r="G6"/>
    </row>
    <row r="7" spans="1:8" s="128" customFormat="1" ht="99.6" customHeight="1">
      <c r="A7" s="289"/>
      <c r="B7" s="757"/>
      <c r="C7" s="757"/>
      <c r="D7" s="284" t="s">
        <v>228</v>
      </c>
      <c r="E7" s="285" t="s">
        <v>522</v>
      </c>
      <c r="G7"/>
    </row>
    <row r="8" spans="1:8">
      <c r="A8" s="290">
        <v>1</v>
      </c>
      <c r="B8" s="291" t="s">
        <v>154</v>
      </c>
      <c r="C8" s="561">
        <f>'2. RC'!E7</f>
        <v>698697897.18000007</v>
      </c>
      <c r="D8" s="561"/>
      <c r="E8" s="562">
        <f>C8-D8</f>
        <v>698697897.18000007</v>
      </c>
    </row>
    <row r="9" spans="1:8">
      <c r="A9" s="290">
        <v>2</v>
      </c>
      <c r="B9" s="291" t="s">
        <v>155</v>
      </c>
      <c r="C9" s="561">
        <f>'2. RC'!E8</f>
        <v>2122691524.2299998</v>
      </c>
      <c r="D9" s="561"/>
      <c r="E9" s="562">
        <f t="shared" ref="E9:E20" si="0">C9-D9</f>
        <v>2122691524.2299998</v>
      </c>
    </row>
    <row r="10" spans="1:8">
      <c r="A10" s="290">
        <v>3</v>
      </c>
      <c r="B10" s="291" t="s">
        <v>227</v>
      </c>
      <c r="C10" s="561">
        <f>'2. RC'!E9</f>
        <v>831101923.68999994</v>
      </c>
      <c r="D10" s="561"/>
      <c r="E10" s="562">
        <f t="shared" si="0"/>
        <v>831101923.68999994</v>
      </c>
    </row>
    <row r="11" spans="1:8" ht="25.5">
      <c r="A11" s="290">
        <v>4</v>
      </c>
      <c r="B11" s="291" t="s">
        <v>185</v>
      </c>
      <c r="C11" s="561">
        <f>'2. RC'!E10</f>
        <v>303.24</v>
      </c>
      <c r="D11" s="561"/>
      <c r="E11" s="562">
        <f t="shared" si="0"/>
        <v>303.24</v>
      </c>
    </row>
    <row r="12" spans="1:8">
      <c r="A12" s="290">
        <v>5</v>
      </c>
      <c r="B12" s="291" t="s">
        <v>157</v>
      </c>
      <c r="C12" s="561">
        <f>'2. RC'!E11</f>
        <v>1989811701.8700004</v>
      </c>
      <c r="D12" s="561"/>
      <c r="E12" s="562">
        <f t="shared" si="0"/>
        <v>1989811701.8700004</v>
      </c>
    </row>
    <row r="13" spans="1:8">
      <c r="A13" s="290">
        <v>6.1</v>
      </c>
      <c r="B13" s="291" t="s">
        <v>158</v>
      </c>
      <c r="C13" s="561">
        <f>'2. RC'!E12</f>
        <v>13954607891.308498</v>
      </c>
      <c r="D13" s="561">
        <v>0</v>
      </c>
      <c r="E13" s="562">
        <f t="shared" si="0"/>
        <v>13954607891.308498</v>
      </c>
    </row>
    <row r="14" spans="1:8">
      <c r="A14" s="290">
        <v>6.2</v>
      </c>
      <c r="B14" s="292" t="s">
        <v>159</v>
      </c>
      <c r="C14" s="561">
        <f>'2. RC'!E13</f>
        <v>-657823618.35680008</v>
      </c>
      <c r="D14" s="561">
        <v>0</v>
      </c>
      <c r="E14" s="562">
        <f t="shared" si="0"/>
        <v>-657823618.35680008</v>
      </c>
    </row>
    <row r="15" spans="1:8">
      <c r="A15" s="290">
        <v>6</v>
      </c>
      <c r="B15" s="291" t="s">
        <v>226</v>
      </c>
      <c r="C15" s="561">
        <f>'2. RC'!E14</f>
        <v>13296784272.951698</v>
      </c>
      <c r="D15" s="561">
        <f>SUM(D13:D14)</f>
        <v>0</v>
      </c>
      <c r="E15" s="562">
        <f t="shared" si="0"/>
        <v>13296784272.951698</v>
      </c>
    </row>
    <row r="16" spans="1:8" ht="25.5">
      <c r="A16" s="290">
        <v>7</v>
      </c>
      <c r="B16" s="291" t="s">
        <v>161</v>
      </c>
      <c r="C16" s="561">
        <f>'2. RC'!E15</f>
        <v>190317267.75830001</v>
      </c>
      <c r="D16" s="561"/>
      <c r="E16" s="562">
        <f t="shared" si="0"/>
        <v>190317267.75830001</v>
      </c>
    </row>
    <row r="17" spans="1:7">
      <c r="A17" s="290">
        <v>8</v>
      </c>
      <c r="B17" s="291" t="s">
        <v>162</v>
      </c>
      <c r="C17" s="561">
        <f>'2. RC'!E16</f>
        <v>99459384.688999996</v>
      </c>
      <c r="D17" s="561"/>
      <c r="E17" s="562">
        <f t="shared" si="0"/>
        <v>99459384.688999996</v>
      </c>
      <c r="F17" s="5"/>
      <c r="G17" s="5"/>
    </row>
    <row r="18" spans="1:7">
      <c r="A18" s="290">
        <v>9</v>
      </c>
      <c r="B18" s="291" t="s">
        <v>163</v>
      </c>
      <c r="C18" s="561">
        <f>'2. RC'!E17</f>
        <v>152366381.46000001</v>
      </c>
      <c r="D18" s="561">
        <v>13722995.77</v>
      </c>
      <c r="E18" s="562">
        <f t="shared" si="0"/>
        <v>138643385.69</v>
      </c>
      <c r="G18" s="5"/>
    </row>
    <row r="19" spans="1:7" ht="25.5">
      <c r="A19" s="290">
        <v>10</v>
      </c>
      <c r="B19" s="291" t="s">
        <v>164</v>
      </c>
      <c r="C19" s="561">
        <f>'2. RC'!E18</f>
        <v>517421737</v>
      </c>
      <c r="D19" s="561">
        <v>135759767.72999999</v>
      </c>
      <c r="E19" s="562">
        <f t="shared" si="0"/>
        <v>381661969.26999998</v>
      </c>
      <c r="G19" s="5"/>
    </row>
    <row r="20" spans="1:7">
      <c r="A20" s="290">
        <v>11</v>
      </c>
      <c r="B20" s="291" t="s">
        <v>165</v>
      </c>
      <c r="C20" s="561">
        <f>'2. RC'!E19</f>
        <v>246719464.29510003</v>
      </c>
      <c r="D20" s="561">
        <v>0</v>
      </c>
      <c r="E20" s="562">
        <f t="shared" si="0"/>
        <v>246719464.29510003</v>
      </c>
    </row>
    <row r="21" spans="1:7" ht="51.75" thickBot="1">
      <c r="A21" s="293"/>
      <c r="B21" s="294" t="s">
        <v>485</v>
      </c>
      <c r="C21" s="257">
        <f>SUM(C8:C12, C15:C20)</f>
        <v>20145371858.364098</v>
      </c>
      <c r="D21" s="257">
        <f>SUM(D8:D12, D15:D20)</f>
        <v>149482763.5</v>
      </c>
      <c r="E21" s="295">
        <f>SUM(E8:E12, E15:E20)</f>
        <v>19995889094.864098</v>
      </c>
    </row>
    <row r="22" spans="1:7">
      <c r="A22"/>
      <c r="B22"/>
      <c r="C22"/>
      <c r="D22"/>
      <c r="E22"/>
    </row>
    <row r="23" spans="1:7">
      <c r="A23"/>
      <c r="B23"/>
      <c r="C23" s="669">
        <f>C21-'2. RC'!E20</f>
        <v>0</v>
      </c>
      <c r="D23"/>
      <c r="E23"/>
    </row>
    <row r="25" spans="1:7" s="1" customFormat="1">
      <c r="B25" s="55"/>
      <c r="F25"/>
      <c r="G25"/>
    </row>
    <row r="26" spans="1:7" s="1" customFormat="1">
      <c r="B26" s="56"/>
      <c r="F26"/>
      <c r="G26"/>
    </row>
    <row r="27" spans="1:7" s="1" customFormat="1">
      <c r="B27" s="55"/>
      <c r="F27"/>
      <c r="G27"/>
    </row>
    <row r="28" spans="1:7" s="1" customFormat="1">
      <c r="B28" s="55"/>
      <c r="F28"/>
      <c r="G28"/>
    </row>
    <row r="29" spans="1:7" s="1" customFormat="1">
      <c r="B29" s="55"/>
      <c r="F29"/>
      <c r="G29"/>
    </row>
    <row r="30" spans="1:7" s="1" customFormat="1">
      <c r="B30" s="55"/>
      <c r="F30"/>
      <c r="G30"/>
    </row>
    <row r="31" spans="1:7" s="1" customFormat="1">
      <c r="B31" s="55"/>
      <c r="F31"/>
      <c r="G31"/>
    </row>
    <row r="32" spans="1:7" s="1" customFormat="1">
      <c r="B32" s="56"/>
      <c r="F32"/>
      <c r="G32"/>
    </row>
    <row r="33" spans="2:7" s="1" customFormat="1">
      <c r="B33" s="56"/>
      <c r="F33"/>
      <c r="G33"/>
    </row>
    <row r="34" spans="2:7" s="1" customFormat="1">
      <c r="B34" s="56"/>
      <c r="F34"/>
      <c r="G34"/>
    </row>
    <row r="35" spans="2:7" s="1" customFormat="1">
      <c r="B35" s="56"/>
      <c r="F35"/>
      <c r="G35"/>
    </row>
    <row r="36" spans="2:7" s="1" customFormat="1">
      <c r="B36" s="56"/>
      <c r="F36"/>
      <c r="G36"/>
    </row>
    <row r="37" spans="2:7" s="1" customFormat="1">
      <c r="B37" s="5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showGridLines="0" zoomScaleNormal="100" workbookViewId="0">
      <pane xSplit="1" ySplit="4" topLeftCell="B5" activePane="bottomRight" state="frozen"/>
      <selection activeCell="B1" sqref="B1"/>
      <selection pane="topRight" activeCell="B1" sqref="B1"/>
      <selection pane="bottomLeft" activeCell="B1" sqref="B1"/>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8" ht="15.75">
      <c r="A1" s="11" t="s">
        <v>188</v>
      </c>
      <c r="B1" s="10" t="s">
        <v>1003</v>
      </c>
    </row>
    <row r="2" spans="1:8" s="15" customFormat="1" ht="15.75" customHeight="1">
      <c r="A2" s="15" t="s">
        <v>189</v>
      </c>
      <c r="B2" s="383">
        <f>'1. key ratios'!B2</f>
        <v>44377</v>
      </c>
      <c r="C2"/>
      <c r="D2"/>
      <c r="E2"/>
      <c r="F2"/>
    </row>
    <row r="3" spans="1:8" s="15" customFormat="1" ht="15.75" customHeight="1">
      <c r="C3"/>
      <c r="D3"/>
      <c r="E3"/>
      <c r="F3"/>
      <c r="H3" s="15">
        <v>0</v>
      </c>
    </row>
    <row r="4" spans="1:8" s="15" customFormat="1" ht="26.25" thickBot="1">
      <c r="A4" s="15" t="s">
        <v>411</v>
      </c>
      <c r="B4" s="168" t="s">
        <v>266</v>
      </c>
      <c r="C4" s="162" t="s">
        <v>93</v>
      </c>
      <c r="D4"/>
      <c r="E4"/>
      <c r="F4"/>
    </row>
    <row r="5" spans="1:8" ht="26.25">
      <c r="A5" s="163">
        <v>1</v>
      </c>
      <c r="B5" s="164" t="s">
        <v>433</v>
      </c>
      <c r="C5" s="227">
        <f>'7. LI1'!E21</f>
        <v>19995889094.864098</v>
      </c>
    </row>
    <row r="6" spans="1:8" s="153" customFormat="1">
      <c r="A6" s="97">
        <v>2.1</v>
      </c>
      <c r="B6" s="170" t="s">
        <v>267</v>
      </c>
      <c r="C6" s="563">
        <v>2282472622.2270999</v>
      </c>
    </row>
    <row r="7" spans="1:8" s="3" customFormat="1" ht="25.5" outlineLevel="1">
      <c r="A7" s="169">
        <v>2.2000000000000002</v>
      </c>
      <c r="B7" s="165" t="s">
        <v>268</v>
      </c>
      <c r="C7" s="564">
        <v>2697443840.6823001</v>
      </c>
    </row>
    <row r="8" spans="1:8" s="3" customFormat="1" ht="26.25">
      <c r="A8" s="169">
        <v>3</v>
      </c>
      <c r="B8" s="166" t="s">
        <v>434</v>
      </c>
      <c r="C8" s="565">
        <f>SUM(C5:C7)</f>
        <v>24975805557.773499</v>
      </c>
    </row>
    <row r="9" spans="1:8" s="153" customFormat="1">
      <c r="A9" s="97">
        <v>4</v>
      </c>
      <c r="B9" s="173" t="s">
        <v>264</v>
      </c>
      <c r="C9" s="738">
        <v>244245856.52819991</v>
      </c>
    </row>
    <row r="10" spans="1:8" s="3" customFormat="1" ht="25.5" outlineLevel="1">
      <c r="A10" s="169">
        <v>5.0999999999999996</v>
      </c>
      <c r="B10" s="165" t="s">
        <v>273</v>
      </c>
      <c r="C10" s="563">
        <v>-1316849154.96525</v>
      </c>
    </row>
    <row r="11" spans="1:8" s="3" customFormat="1" ht="25.5" outlineLevel="1">
      <c r="A11" s="169">
        <v>5.2</v>
      </c>
      <c r="B11" s="165" t="s">
        <v>274</v>
      </c>
      <c r="C11" s="564">
        <v>-2643299243.2133732</v>
      </c>
    </row>
    <row r="12" spans="1:8" s="3" customFormat="1">
      <c r="A12" s="169">
        <v>6</v>
      </c>
      <c r="B12" s="171" t="s">
        <v>607</v>
      </c>
      <c r="C12" s="564">
        <v>35681924.619999997</v>
      </c>
    </row>
    <row r="13" spans="1:8" s="3" customFormat="1" ht="15.75" thickBot="1">
      <c r="A13" s="172">
        <v>7</v>
      </c>
      <c r="B13" s="167" t="s">
        <v>265</v>
      </c>
      <c r="C13" s="228">
        <f>SUM(C8:C12)</f>
        <v>21295584940.743076</v>
      </c>
    </row>
    <row r="15" spans="1:8" ht="26.25">
      <c r="B15" s="17" t="s">
        <v>608</v>
      </c>
    </row>
    <row r="17" spans="2:9" s="1" customFormat="1">
      <c r="B17" s="57"/>
      <c r="C17"/>
      <c r="D17"/>
      <c r="E17"/>
      <c r="F17"/>
      <c r="G17"/>
      <c r="H17"/>
      <c r="I17"/>
    </row>
    <row r="18" spans="2:9" s="1" customFormat="1">
      <c r="B18" s="54"/>
      <c r="C18"/>
      <c r="D18"/>
      <c r="E18"/>
      <c r="F18"/>
      <c r="G18"/>
      <c r="H18"/>
      <c r="I18"/>
    </row>
    <row r="19" spans="2:9" s="1" customFormat="1">
      <c r="B19" s="54"/>
      <c r="C19"/>
      <c r="D19"/>
      <c r="E19"/>
      <c r="F19"/>
      <c r="G19"/>
      <c r="H19"/>
      <c r="I19"/>
    </row>
    <row r="20" spans="2:9" s="1" customFormat="1">
      <c r="B20" s="56"/>
      <c r="C20"/>
      <c r="D20"/>
      <c r="E20"/>
      <c r="F20"/>
      <c r="G20"/>
      <c r="H20"/>
      <c r="I20"/>
    </row>
    <row r="21" spans="2:9" s="1" customFormat="1">
      <c r="B21" s="55"/>
      <c r="C21"/>
      <c r="D21"/>
      <c r="E21"/>
      <c r="F21"/>
      <c r="G21"/>
      <c r="H21"/>
      <c r="I21"/>
    </row>
    <row r="22" spans="2:9" s="1" customFormat="1">
      <c r="B22" s="56"/>
      <c r="C22"/>
      <c r="D22"/>
      <c r="E22"/>
      <c r="F22"/>
      <c r="G22"/>
      <c r="H22"/>
      <c r="I22"/>
    </row>
    <row r="23" spans="2:9" s="1" customFormat="1">
      <c r="B23" s="55"/>
      <c r="C23"/>
      <c r="D23"/>
      <c r="E23"/>
      <c r="F23"/>
      <c r="G23"/>
      <c r="H23"/>
      <c r="I23"/>
    </row>
    <row r="24" spans="2:9" s="1" customFormat="1">
      <c r="B24" s="55"/>
      <c r="C24"/>
      <c r="D24"/>
      <c r="E24"/>
      <c r="F24"/>
      <c r="G24"/>
      <c r="H24"/>
      <c r="I24"/>
    </row>
    <row r="25" spans="2:9" s="1" customFormat="1">
      <c r="B25" s="55"/>
      <c r="C25"/>
      <c r="D25"/>
      <c r="E25"/>
      <c r="F25"/>
      <c r="G25"/>
      <c r="H25"/>
      <c r="I25"/>
    </row>
    <row r="26" spans="2:9" s="1" customFormat="1">
      <c r="B26" s="55"/>
      <c r="C26"/>
      <c r="D26"/>
      <c r="E26"/>
      <c r="F26"/>
      <c r="G26"/>
      <c r="H26"/>
      <c r="I26"/>
    </row>
    <row r="27" spans="2:9" s="1" customFormat="1">
      <c r="B27" s="55"/>
      <c r="C27"/>
      <c r="D27"/>
      <c r="E27"/>
      <c r="F27"/>
      <c r="G27"/>
      <c r="H27"/>
      <c r="I27"/>
    </row>
    <row r="28" spans="2:9" s="1" customFormat="1">
      <c r="B28" s="56"/>
      <c r="C28"/>
      <c r="D28"/>
      <c r="E28"/>
      <c r="F28"/>
      <c r="G28"/>
      <c r="H28"/>
      <c r="I28"/>
    </row>
    <row r="29" spans="2:9" s="1" customFormat="1">
      <c r="B29" s="56"/>
      <c r="C29"/>
      <c r="D29"/>
      <c r="E29"/>
      <c r="F29"/>
      <c r="G29"/>
      <c r="H29"/>
      <c r="I29"/>
    </row>
    <row r="30" spans="2:9" s="1" customFormat="1">
      <c r="B30" s="56"/>
      <c r="C30"/>
      <c r="D30"/>
      <c r="E30"/>
      <c r="F30"/>
      <c r="G30"/>
      <c r="H30"/>
      <c r="I30"/>
    </row>
    <row r="31" spans="2:9" s="1" customFormat="1">
      <c r="B31" s="56"/>
      <c r="C31"/>
      <c r="D31"/>
      <c r="E31"/>
      <c r="F31"/>
      <c r="G31"/>
      <c r="H31"/>
      <c r="I31"/>
    </row>
    <row r="32" spans="2:9" s="1" customFormat="1">
      <c r="B32" s="56"/>
      <c r="C32"/>
      <c r="D32"/>
      <c r="E32"/>
      <c r="F32"/>
      <c r="G32"/>
      <c r="H32"/>
      <c r="I32"/>
    </row>
    <row r="33" spans="2:9" s="1" customFormat="1">
      <c r="B33" s="5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e5uKFckugW4HDJYvQef31o/jUSM=</DigestValue>
    </Reference>
    <Reference URI="#idOfficeObject" Type="http://www.w3.org/2000/09/xmldsig#Object">
      <DigestMethod Algorithm="http://www.w3.org/2000/09/xmldsig#sha1"/>
      <DigestValue>HD9IA73t5dKi8TMc/YsrN+xXchM=</DigestValue>
    </Reference>
    <Reference URI="#idSignedProperties" Type="http://uri.etsi.org/01903#SignedProperties">
      <Transforms>
        <Transform Algorithm="http://www.w3.org/TR/2001/REC-xml-c14n-20010315"/>
      </Transforms>
      <DigestMethod Algorithm="http://www.w3.org/2000/09/xmldsig#sha1"/>
      <DigestValue>6VL3gm7epl7IWvrjXq7IVIHDJzA=</DigestValue>
    </Reference>
  </SignedInfo>
  <SignatureValue>SxgVpMwGeQPtDCDYCn/AXZUz1iZcTsBbT7y+Izh+3lhyz57vzQ1eZbUabZ8RNkXO5hlkKdTHO61R
XKa+WdpCEWBB4gC1FuzP2LIXxyiPm1ZSFtKhPJE/D6wCEDXw55cq0Ik1A6vMs1rFH6z7WxXVxeBj
oKD35Pxr2Rz2Ld+3l1jVHOBVWQ8SmASP5C2KoX50xx0Nl4v6Ni2ruXz5i1k3uPWjKvkOtpqKa+/9
QzxHiC6547Pzwwjf1+lJK+DYEYfJanSuuxFE9YY6vVqhfqTy4lB8L5uF7IKuMp32Xjq7G0rPklz0
QrTDP+IBM6atgQCHDeXlMRYgLAY6IM6w5lgrYg==</SignatureValue>
  <KeyInfo>
    <X509Data>
      <X509Certificate>MIIGPzCCBSegAwIBAgIKfzWKsAADAAHg2TANBgkqhkiG9w0BAQsFADBKMRIwEAYKCZImiZPyLGQB
GRYCZ2UxEzARBgoJkiaJk/IsZAEZFgNuYmcxHzAdBgNVBAMTFk5CRyBDbGFzcyAyIElOVCBTdWIg
Q0EwHhcNMjEwNjI4MTI1MTE4WhcNMjMwNjI4MTI1MTE4WjA9MRwwGgYDVQQKExNKU0MgQmFuayBP
ZiBHZW9yZ2lhMR0wGwYDVQQDExRCQkcgLSBTdWxraGFuIEd2YWxpYTCCASIwDQYJKoZIhvcNAQEB
BQADggEPADCCAQoCggEBAOH0twIcpGC05hsgTIgpse09e4sVXJIN8/v8NDNbnV2WRZCvQptz2Xld
2np06o903hK54DEU/k1XSGqegeiQfruruzkpXlsgDqRX1G1rhqCbCEAMlRYmkQ7vVyVVCHtGxTGj
u+of1eADT8iM8sq68S7d6/8hzmYmlIs453gK4suJCx4Ix2ltncZmAhNlQvMjwoy0HP6O1XIIW8AM
RDXP3YzAX1QCG67/bGSZx+YgzLZsUJI2QOZ91t7Y8NuRadj83gKHUMG4Pqhqk1mR/LVcax5Ty9qp
PTYEZv0xDVeq1rwMY39z7z+PiAfuEx+Nf1dwCEvVz1KLbGcnghIV+UgBBYsCAwEAAaOCAzIwggMu
MDwGCSsGAQQBgjcVBwQvMC0GJSsGAQQBgjcVCOayYION9USGgZkJg7ihSoO+hHEEg8SRM4SDiF0C
AWQCASMwHQYDVR0lBBYwFAYIKwYBBQUHAwIGCCsGAQUFBwMEMAsGA1UdDwQEAwIHgDAnBgkrBgEE
AYI3FQoEGjAYMAoGCCsGAQUFBwMCMAoGCCsGAQUFBwMEMB0GA1UdDgQWBBSnM8DnI4OEl4STtNBv
nMmV+uIeMDAfBgNVHSMEGDAWgBTDLtIv8EwvGcIngvz2LqxqsEnPwTCCASUGA1UdHwSCARwwggEY
MIIBFKCCARCgggEMhoHHbGRhcDovLy9DTj1OQkclMjBDbGFzcyUyMDIlMjBJTlQlMjBTdWIlMjBD
QSgxKSxDTj1uYmctc3ViQ0EsQ049Q0RQLENOPVB1YmxpYyUyMEtleSUyMFNlcnZpY2VzLENOPVNl
cnZpY2VzLENOPUNvbmZpZ3VyYXRpb24sREM9bmJnLERDPWdlP2NlcnRpZmljYXRlUmV2b2NhdGlv
bkxpc3Q/YmFzZT9vYmplY3RDbGFzcz1jUkxEaXN0cmlidXRpb25Qb2ludIZAaHR0cDovL2NybC5u
YmcuZ292LmdlL2NhL05CRyUyMENsYXNzJTIwMiUyMElOVCUyMFN1YiUyMENBKDEpLmNybDCCAS4G
CCsGAQUFBwEBBIIBIDCCARwwgboGCCsGAQUFBzAChoGtbGRhcDovLy9DTj1OQkclMjBDbGFzcyUy
MDIlMjBJTlQlMjBTdWIlMjBDQSxDTj1BSUEsQ049UHVibGljJTIwS2V5JTIwU2VydmljZXMsQ049
U2VydmljZXMsQ049Q29uZmlndXJhdGlvbixEQz1uYmcsREM9Z2U/Y0FDZXJ0aWZpY2F0ZT9iYXNl
P29iamVjdENsYXNzPWNlcnRpZmljYXRpb25BdXRob3JpdHkwXQYIKwYBBQUHMAKGUWh0dHA6Ly9j
cmwubmJnLmdvdi5nZS9jYS9uYmctc3ViQ0EubmJnLmdlX05CRyUyMENsYXNzJTIwMiUyMElOVCUy
MFN1YiUyMENBKDMpLmNydDANBgkqhkiG9w0BAQsFAAOCAQEAZ61c/VfFl4dKvY1nQJKHGbMs+Loi
VZ8yxbkrYDY/sZpRiX8eHQ00zY+A0UJNJd9JBRJLhfZxWwwTh6uVmn/s8z3Q48/TFwWB7N2+r81m
uyqldPFzcTrUO9GDf2SjQgeqIdMe4I59q8A4IgiUyGCZimQQW54cTWJMwUkSxLQ++Sij47npdu8F
E87tjy81YsUjNXeR4pGeNiFOi3bx22bHlmxFxOBL9LGNj7IbuWKTQeqkaI00BdtmhkBp8jZByKOi
urdz3YpCYIOhhTxGvBnQKIOsAkGZ/3bydteo+D13fHQc+7p27yeVUf8HrtQFfnAMuNdzYAL0oOTH
8BD57dz0UA==</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5INcEJ1eQDgw22QA4kay85oIaqo=</DigestValue>
      </Reference>
      <Reference URI="/xl/worksheets/sheet15.xml?ContentType=application/vnd.openxmlformats-officedocument.spreadsheetml.worksheet+xml">
        <DigestMethod Algorithm="http://www.w3.org/2000/09/xmldsig#sha1"/>
        <DigestValue>1+/+pGrOt5IV9uQqEsy7kg5DAIA=</DigestValue>
      </Reference>
      <Reference URI="/xl/worksheets/sheet13.xml?ContentType=application/vnd.openxmlformats-officedocument.spreadsheetml.worksheet+xml">
        <DigestMethod Algorithm="http://www.w3.org/2000/09/xmldsig#sha1"/>
        <DigestValue>4XLs/S6tMUNQPCmLgQVelI0mKgM=</DigestValue>
      </Reference>
      <Reference URI="/xl/printerSettings/printerSettings2.bin?ContentType=application/vnd.openxmlformats-officedocument.spreadsheetml.printerSettings">
        <DigestMethod Algorithm="http://www.w3.org/2000/09/xmldsig#sha1"/>
        <DigestValue>ZjYF1rngT8+3SuHmWZ9lPAE7NMg=</DigestValue>
      </Reference>
      <Reference URI="/xl/worksheets/sheet5.xml?ContentType=application/vnd.openxmlformats-officedocument.spreadsheetml.worksheet+xml">
        <DigestMethod Algorithm="http://www.w3.org/2000/09/xmldsig#sha1"/>
        <DigestValue>wyf0mAqYPDhXSj4tWQJ5ERde0HQ=</DigestValue>
      </Reference>
      <Reference URI="/xl/printerSettings/printerSettings7.bin?ContentType=application/vnd.openxmlformats-officedocument.spreadsheetml.printerSettings">
        <DigestMethod Algorithm="http://www.w3.org/2000/09/xmldsig#sha1"/>
        <DigestValue>MGCLY15IEbgb8wmZ+lmUlxuO3pA=</DigestValue>
      </Reference>
      <Reference URI="/xl/worksheets/sheet6.xml?ContentType=application/vnd.openxmlformats-officedocument.spreadsheetml.worksheet+xml">
        <DigestMethod Algorithm="http://www.w3.org/2000/09/xmldsig#sha1"/>
        <DigestValue>G/Z009RnssWb5QOB77fZqYxOiOU=</DigestValue>
      </Reference>
      <Reference URI="/xl/styles.xml?ContentType=application/vnd.openxmlformats-officedocument.spreadsheetml.styles+xml">
        <DigestMethod Algorithm="http://www.w3.org/2000/09/xmldsig#sha1"/>
        <DigestValue>IOags7tMBYlEnBdwhiluJ2U6v9k=</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24.xml?ContentType=application/vnd.openxmlformats-officedocument.spreadsheetml.worksheet+xml">
        <DigestMethod Algorithm="http://www.w3.org/2000/09/xmldsig#sha1"/>
        <DigestValue>+G9oKqmZWvbSAWRRNylCNi5SOzo=</DigestValue>
      </Reference>
      <Reference URI="/xl/printerSettings/printerSettings6.bin?ContentType=application/vnd.openxmlformats-officedocument.spreadsheetml.printerSettings">
        <DigestMethod Algorithm="http://www.w3.org/2000/09/xmldsig#sha1"/>
        <DigestValue>rIQkecewHJmKQmPeTxaMM8kcco0=</DigestValue>
      </Reference>
      <Reference URI="/xl/worksheets/sheet26.xml?ContentType=application/vnd.openxmlformats-officedocument.spreadsheetml.worksheet+xml">
        <DigestMethod Algorithm="http://www.w3.org/2000/09/xmldsig#sha1"/>
        <DigestValue>ieyD/5ktpCFctwEvC9s4mZKY9yI=</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25.xml?ContentType=application/vnd.openxmlformats-officedocument.spreadsheetml.worksheet+xml">
        <DigestMethod Algorithm="http://www.w3.org/2000/09/xmldsig#sha1"/>
        <DigestValue>v/CV0VCV4yVG3jCmMf7D5ZBueqc=</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14.xml?ContentType=application/vnd.openxmlformats-officedocument.spreadsheetml.worksheet+xml">
        <DigestMethod Algorithm="http://www.w3.org/2000/09/xmldsig#sha1"/>
        <DigestValue>6bsUjPusiLkV9zqbfqS8XRJOdRc=</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11.xml?ContentType=application/vnd.openxmlformats-officedocument.spreadsheetml.worksheet+xml">
        <DigestMethod Algorithm="http://www.w3.org/2000/09/xmldsig#sha1"/>
        <DigestValue>5F7YAhHhtgrhfuJ+e4k0f9FTgJM=</DigestValue>
      </Reference>
      <Reference URI="/xl/printerSettings/printerSettings11.bin?ContentType=application/vnd.openxmlformats-officedocument.spreadsheetml.printerSettings">
        <DigestMethod Algorithm="http://www.w3.org/2000/09/xmldsig#sha1"/>
        <DigestValue>5CCDbiUxKnZXwDhafJDIbYTD2uc=</DigestValue>
      </Reference>
      <Reference URI="/xl/worksheets/sheet12.xml?ContentType=application/vnd.openxmlformats-officedocument.spreadsheetml.worksheet+xml">
        <DigestMethod Algorithm="http://www.w3.org/2000/09/xmldsig#sha1"/>
        <DigestValue>cwpmaY9TkvFgoZPsKnJp9IcwIT8=</DigestValue>
      </Reference>
      <Reference URI="/xl/printerSettings/printerSettings10.bin?ContentType=application/vnd.openxmlformats-officedocument.spreadsheetml.printerSettings">
        <DigestMethod Algorithm="http://www.w3.org/2000/09/xmldsig#sha1"/>
        <DigestValue>iOUdri0DrHYIo5Tw3Wqktoik9TI=</DigestValue>
      </Reference>
      <Reference URI="/xl/printerSettings/printerSettings1.bin?ContentType=application/vnd.openxmlformats-officedocument.spreadsheetml.printerSettings">
        <DigestMethod Algorithm="http://www.w3.org/2000/09/xmldsig#sha1"/>
        <DigestValue>yR5KEOq64d7KaTHktW4P8v7cLMA=</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ZQzLqDR3eVdpb5o2ocqIxrCScQA=</DigestValue>
      </Reference>
      <Reference URI="/xl/theme/theme1.xml?ContentType=application/vnd.openxmlformats-officedocument.theme+xml">
        <DigestMethod Algorithm="http://www.w3.org/2000/09/xmldsig#sha1"/>
        <DigestValue>9qmLS+LilE9mSl2hTMj5oHE8VR8=</DigestValue>
      </Reference>
      <Reference URI="/xl/worksheets/sheet8.xml?ContentType=application/vnd.openxmlformats-officedocument.spreadsheetml.worksheet+xml">
        <DigestMethod Algorithm="http://www.w3.org/2000/09/xmldsig#sha1"/>
        <DigestValue>xm9v0NNT+hCvGHQxokM+XF9eedk=</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3Gs1C6x/Plg3l8L/Je8BbMb2OVk=</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gRCBUtDb/nKXcMnE+R+ItsnmD44=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27.xml?ContentType=application/vnd.openxmlformats-officedocument.spreadsheetml.worksheet+xml">
        <DigestMethod Algorithm="http://www.w3.org/2000/09/xmldsig#sha1"/>
        <DigestValue>OnrbA59W1oC+qQOJKtaFxKkmdbA=</DigestValue>
      </Reference>
      <Reference URI="/xl/worksheets/sheet28.xml?ContentType=application/vnd.openxmlformats-officedocument.spreadsheetml.worksheet+xml">
        <DigestMethod Algorithm="http://www.w3.org/2000/09/xmldsig#sha1"/>
        <DigestValue>NZ1NPtSjfjMXn8AxIZKXXTYdG/4=</DigestValue>
      </Reference>
      <Reference URI="/xl/printerSettings/printerSettings19.bin?ContentType=application/vnd.openxmlformats-officedocument.spreadsheetml.printerSettings">
        <DigestMethod Algorithm="http://www.w3.org/2000/09/xmldsig#sha1"/>
        <DigestValue>V4Q2KAUBOgq0wJh61MGFmq/bqCI=</DigestValue>
      </Reference>
      <Reference URI="/xl/sharedStrings.xml?ContentType=application/vnd.openxmlformats-officedocument.spreadsheetml.sharedStrings+xml">
        <DigestMethod Algorithm="http://www.w3.org/2000/09/xmldsig#sha1"/>
        <DigestValue>5Yet9+BJUChlZ9pLghpqtDpacRA=</DigestValue>
      </Reference>
      <Reference URI="/xl/worksheets/sheet1.xml?ContentType=application/vnd.openxmlformats-officedocument.spreadsheetml.worksheet+xml">
        <DigestMethod Algorithm="http://www.w3.org/2000/09/xmldsig#sha1"/>
        <DigestValue>1rSHnw8HIvWJWOitTp6dv8le9CQ=</DigestValue>
      </Reference>
      <Reference URI="/xl/printerSettings/printerSettings18.bin?ContentType=application/vnd.openxmlformats-officedocument.spreadsheetml.printerSettings">
        <DigestMethod Algorithm="http://www.w3.org/2000/09/xmldsig#sha1"/>
        <DigestValue>40Z6WWM5S9ljS1NFimjQIDNy+8Y=</DigestValue>
      </Reference>
      <Reference URI="/xl/worksheets/sheet29.xml?ContentType=application/vnd.openxmlformats-officedocument.spreadsheetml.worksheet+xml">
        <DigestMethod Algorithm="http://www.w3.org/2000/09/xmldsig#sha1"/>
        <DigestValue>8QG/qd0cXG1dDqqhPod2LaauXko=</DigestValue>
      </Reference>
      <Reference URI="/xl/worksheets/sheet2.xml?ContentType=application/vnd.openxmlformats-officedocument.spreadsheetml.worksheet+xml">
        <DigestMethod Algorithm="http://www.w3.org/2000/09/xmldsig#sha1"/>
        <DigestValue>BNZeNm17IV2u3fZhJMlUJbAdQCk=</DigestValue>
      </Reference>
      <Reference URI="/xl/printerSettings/printerSettings20.bin?ContentType=application/vnd.openxmlformats-officedocument.spreadsheetml.printerSettings">
        <DigestMethod Algorithm="http://www.w3.org/2000/09/xmldsig#sha1"/>
        <DigestValue>MM/dAhlz7AkeLbezLP4RYF5ZXK8=</DigestValue>
      </Reference>
      <Reference URI="/xl/worksheets/sheet3.xml?ContentType=application/vnd.openxmlformats-officedocument.spreadsheetml.worksheet+xml">
        <DigestMethod Algorithm="http://www.w3.org/2000/09/xmldsig#sha1"/>
        <DigestValue>QS+WP5/wcSNOXjrLVAQxk9z+dAA=</DigestValue>
      </Reference>
      <Reference URI="/xl/workbook.xml?ContentType=application/vnd.openxmlformats-officedocument.spreadsheetml.sheet.main+xml">
        <DigestMethod Algorithm="http://www.w3.org/2000/09/xmldsig#sha1"/>
        <DigestValue>Z0AYLHsReq28HRteAITORmN8e1w=</DigestValue>
      </Reference>
      <Reference URI="/xl/externalLinks/externalLink2.xml?ContentType=application/vnd.openxmlformats-officedocument.spreadsheetml.externalLink+xml">
        <DigestMethod Algorithm="http://www.w3.org/2000/09/xmldsig#sha1"/>
        <DigestValue>EJ4keYMLGZCzSM6wBritpaGwMRc=</DigestValue>
      </Reference>
      <Reference URI="/xl/worksheets/sheet4.xml?ContentType=application/vnd.openxmlformats-officedocument.spreadsheetml.worksheet+xml">
        <DigestMethod Algorithm="http://www.w3.org/2000/09/xmldsig#sha1"/>
        <DigestValue>792EnyUUAVgj+pWRx+dRY+v6JyM=</DigestValue>
      </Reference>
      <Reference URI="/xl/printerSettings/printerSettings21.bin?ContentType=application/vnd.openxmlformats-officedocument.spreadsheetml.printerSettings">
        <DigestMethod Algorithm="http://www.w3.org/2000/09/xmldsig#sha1"/>
        <DigestValue>YoTniGz8WRr3pbSiV5U3NILsIhE=</DigestValue>
      </Reference>
      <Reference URI="/xl/drawings/drawing1.xml?ContentType=application/vnd.openxmlformats-officedocument.drawing+xml">
        <DigestMethod Algorithm="http://www.w3.org/2000/09/xmldsig#sha1"/>
        <DigestValue>9jgpVdHzFAt7WN87Eb8UjCRV7yA=</DigestValue>
      </Reference>
      <Reference URI="/xl/printerSettings/printerSettings15.bin?ContentType=application/vnd.openxmlformats-officedocument.spreadsheetml.printerSettings">
        <DigestMethod Algorithm="http://www.w3.org/2000/09/xmldsig#sha1"/>
        <DigestValue>iOUdri0DrHYIo5Tw3Wqktoik9TI=</DigestValue>
      </Reference>
      <Reference URI="/xl/printerSettings/printerSettings22.bin?ContentType=application/vnd.openxmlformats-officedocument.spreadsheetml.printerSettings">
        <DigestMethod Algorithm="http://www.w3.org/2000/09/xmldsig#sha1"/>
        <DigestValue>TYvU/ncLrNHS/SCXaalae0Wh7W8=</DigestValue>
      </Reference>
      <Reference URI="/xl/printerSettings/printerSettings23.bin?ContentType=application/vnd.openxmlformats-officedocument.spreadsheetml.printerSettings">
        <DigestMethod Algorithm="http://www.w3.org/2000/09/xmldsig#sha1"/>
        <DigestValue>TYvU/ncLrNHS/SCXaalae0Wh7W8=</DigestValue>
      </Reference>
      <Reference URI="/xl/printerSettings/printerSettings25.bin?ContentType=application/vnd.openxmlformats-officedocument.spreadsheetml.printerSettings">
        <DigestMethod Algorithm="http://www.w3.org/2000/09/xmldsig#sha1"/>
        <DigestValue>V4Q2KAUBOgq0wJh61MGFmq/bqCI=</DigestValue>
      </Reference>
      <Reference URI="/xl/worksheets/sheet22.xml?ContentType=application/vnd.openxmlformats-officedocument.spreadsheetml.worksheet+xml">
        <DigestMethod Algorithm="http://www.w3.org/2000/09/xmldsig#sha1"/>
        <DigestValue>DYqqc3DA/9NTXLFDo8EPyDq0ut0=</DigestValue>
      </Reference>
      <Reference URI="/xl/printerSettings/printerSettings17.bin?ContentType=application/vnd.openxmlformats-officedocument.spreadsheetml.printerSettings">
        <DigestMethod Algorithm="http://www.w3.org/2000/09/xmldsig#sha1"/>
        <DigestValue>hwNxfjS7bBA15YDPzI/YQN3Mh84=</DigestValue>
      </Reference>
      <Reference URI="/xl/worksheets/sheet23.xml?ContentType=application/vnd.openxmlformats-officedocument.spreadsheetml.worksheet+xml">
        <DigestMethod Algorithm="http://www.w3.org/2000/09/xmldsig#sha1"/>
        <DigestValue>CoiQ6vxINaFhqu8pTglqwQvx2BE=</DigestValue>
      </Reference>
      <Reference URI="/xl/printerSettings/printerSettings16.bin?ContentType=application/vnd.openxmlformats-officedocument.spreadsheetml.printerSettings">
        <DigestMethod Algorithm="http://www.w3.org/2000/09/xmldsig#sha1"/>
        <DigestValue>UNdBL9fPubaDCWxGN6GVqf28pSo=</DigestValue>
      </Reference>
      <Reference URI="/xl/worksheets/sheet20.xml?ContentType=application/vnd.openxmlformats-officedocument.spreadsheetml.worksheet+xml">
        <DigestMethod Algorithm="http://www.w3.org/2000/09/xmldsig#sha1"/>
        <DigestValue>2343iP0ibsD72pBceRES6/oyguo=</DigestValue>
      </Reference>
      <Reference URI="/xl/worksheets/sheet21.xml?ContentType=application/vnd.openxmlformats-officedocument.spreadsheetml.worksheet+xml">
        <DigestMethod Algorithm="http://www.w3.org/2000/09/xmldsig#sha1"/>
        <DigestValue>+DBKDFK3sZSY7McWi1ML3CZU9B0=</DigestValue>
      </Reference>
      <Reference URI="/xl/worksheets/sheet16.xml?ContentType=application/vnd.openxmlformats-officedocument.spreadsheetml.worksheet+xml">
        <DigestMethod Algorithm="http://www.w3.org/2000/09/xmldsig#sha1"/>
        <DigestValue>wfZJAea4FITBJo7EpDECY0aDxUU=</DigestValue>
      </Reference>
      <Reference URI="/xl/worksheets/sheet19.xml?ContentType=application/vnd.openxmlformats-officedocument.spreadsheetml.worksheet+xml">
        <DigestMethod Algorithm="http://www.w3.org/2000/09/xmldsig#sha1"/>
        <DigestValue>MiUjKBa1apkH0KDrwJGHdb1ltR0=</DigestValue>
      </Reference>
      <Reference URI="/xl/printerSettings/printerSettings26.bin?ContentType=application/vnd.openxmlformats-officedocument.spreadsheetml.printerSettings">
        <DigestMethod Algorithm="http://www.w3.org/2000/09/xmldsig#sha1"/>
        <DigestValue>1kt9aOnh1ANW0ezPGJh8+ysWsbs=</DigestValue>
      </Reference>
      <Reference URI="/xl/printerSettings/printerSettings24.bin?ContentType=application/vnd.openxmlformats-officedocument.spreadsheetml.printerSettings">
        <DigestMethod Algorithm="http://www.w3.org/2000/09/xmldsig#sha1"/>
        <DigestValue>V4Q2KAUBOgq0wJh61MGFmq/bqCI=</DigestValue>
      </Reference>
      <Reference URI="/xl/calcChain.xml?ContentType=application/vnd.openxmlformats-officedocument.spreadsheetml.calcChain+xml">
        <DigestMethod Algorithm="http://www.w3.org/2000/09/xmldsig#sha1"/>
        <DigestValue>vI2Du1BRBy+/jSkMqhqUkC7hZ7U=</DigestValue>
      </Reference>
      <Reference URI="/xl/worksheets/sheet17.xml?ContentType=application/vnd.openxmlformats-officedocument.spreadsheetml.worksheet+xml">
        <DigestMethod Algorithm="http://www.w3.org/2000/09/xmldsig#sha1"/>
        <DigestValue>Z4JdYcKkvobTICh1YYrJ+Q/AGGI=</DigestValue>
      </Reference>
      <Reference URI="/xl/worksheets/sheet18.xml?ContentType=application/vnd.openxmlformats-officedocument.spreadsheetml.worksheet+xml">
        <DigestMethod Algorithm="http://www.w3.org/2000/09/xmldsig#sha1"/>
        <DigestValue>ZlRC1VizVPaT9a67gbmc+xXnwqw=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LgDL3UDwNULFUNJW6J6iJ9KkR+s=</DigestValue>
      </Reference>
    </Manifest>
    <SignatureProperties>
      <SignatureProperty Id="idSignatureTime" Target="#idPackageSignature">
        <mdssi:SignatureTime>
          <mdssi:Format>YYYY-MM-DDThh:mm:ssTZD</mdssi:Format>
          <mdssi:Value>2021-08-02T13:43:25Z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PG1-BBG-QQ-20210630</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2021-08-02T13:43:25Z</xd:SigningTime>
          <xd:SigningCertificate>
            <xd:Cert>
              <xd:CertDigest>
                <DigestMethod Algorithm="http://www.w3.org/2000/09/xmldsig#sha1"/>
                <DigestValue>umnlCC3SS4dneR0y6tMgzskF/xA=</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VgH0wdthQMCZ1oOuUHcC+SSQJ3g=</DigestValue>
    </Reference>
    <Reference URI="#idOfficeObject" Type="http://www.w3.org/2000/09/xmldsig#Object">
      <DigestMethod Algorithm="http://www.w3.org/2000/09/xmldsig#sha1"/>
      <DigestValue>HD9IA73t5dKi8TMc/YsrN+xXchM=</DigestValue>
    </Reference>
    <Reference URI="#idSignedProperties" Type="http://uri.etsi.org/01903#SignedProperties">
      <Transforms>
        <Transform Algorithm="http://www.w3.org/TR/2001/REC-xml-c14n-20010315"/>
      </Transforms>
      <DigestMethod Algorithm="http://www.w3.org/2000/09/xmldsig#sha1"/>
      <DigestValue>cVrBBOW4Ebs2nRJAKcjWzAUFSAg=</DigestValue>
    </Reference>
  </SignedInfo>
  <SignatureValue>mgWkhe7tWP+NL/WR8IkmI9XJRq12gHyFkD0qZXX530Lh6fWeAVuvpknfdfvFYeQMFzcgACeAF78A
kpCFqxPGFpQwdU+HOH98e3uDiKAGTpGhJukXCZSvX0d5uVxiooBxtfz0C/ODItm+IR88/wsh1Sh3
4wtoP4EAfAEI+Z3W8U4ai6lB47Kw+spzDQvutbuYUMuihOR2ma0hXUBifrfUyGtnrVMjUV61dNmF
b4HRKHwq+cr8ardBbcrLZ5VWBdsDu2CJ92aowaoqkwNtEGtDistcdm7I3MyeUV9lV8f/67hPh/qT
/49Eebxvhsa1Jf0FqSU1/ZxThgpKQOv7Etq6NQ==</SignatureValue>
  <KeyInfo>
    <X509Data>
      <X509Certificate>MIIGQDCCBSigAwIBAgIKFVpMCQADAAHSkDANBgkqhkiG9w0BAQsFADBKMRIwEAYKCZImiZPyLGQB
GRYCZ2UxEzARBgoJkiaJk/IsZAEZFgNuYmcxHzAdBgNVBAMTFk5CRyBDbGFzcyAyIElOVCBTdWIg
Q0EwHhcNMjEwMzIyMDcxNzM2WhcNMjMwMzIyMDcxNzM2WjA+MRwwGgYDVQQKExNKU0MgQmFuayBP
ZiBHZW9yZ2lhMR4wHAYDVQQDExVCQkcgLSBUYXRvIFRvbWFzaHZpbGkwggEiMA0GCSqGSIb3DQEB
AQUAA4IBDwAwggEKAoIBAQDSFYe/4bo5oEDmGnJSQ+4wLIiNN2YGcgHkjDkM5Fl9P397c7IYYqB7
rKqymiH1Xq1E20FON9pOz4WaPiibRQz/J8UzifHujH99XJR3BgyhMGuUqJFYK5EsNc8X147dzvmZ
VEhlCUmw6KImWF3WXsC429XjcTWBMwGup0YGd0Nm6q+K/s+pU1NeX816CV3M2B33y+2oEPcge+16
AeRESkD4ZUTsI/3db4X43QtOhSvCWZEJwiJSS39cM+DW1RhWCv3ciwfFJHUziflaN9bQFK95EfQB
TpwiwGmWuIVrcIt07FrBWYEfDvcuDERFFjQn6AavcsHgd33lF86mNLuoe8VLAgMBAAGjggMyMIID
LjA8BgkrBgEEAYI3FQcELzAtBiUrBgEEAYI3FQjmsmCDjfVEhoGZCYO4oUqDvoRxBIPEkTOEg4hd
AgFkAgEjMB0GA1UdJQQWMBQGCCsGAQUFBwMCBggrBgEFBQcDBDALBgNVHQ8EBAMCB4AwJwYJKwYB
BAGCNxUKBBowGDAKBggrBgEFBQcDAjAKBggrBgEFBQcDBDAdBgNVHQ4EFgQUSrubhe+Nx5TyntT+
Xpyo//uWGwMwHwYDVR0jBBgwFoAUwy7SL/BMLxnCJ4L89i6sarBJz8EwggElBgNVHR8EggEcMIIB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MjBTdWIlMjBDQSgzKS5jcnQwDQYJKoZIhvcNAQELBQADggEBADbmRL6WT1Pf0ubrBAXMRQ5znfv7
U72TphaSjmOZcep1S+DOuRZtCfID5kDZ7WOCBg3KlAkhw7r0t6MOiDDOOLYZDsSilUq/7sPwPRM9
UYNMUHiqn5kTie/J1IC8Crzc3qrAWKrj33RHthLrOrFf/s6xP3UEnVnqH4zDfU3TP68Iw3jkrjil
mjNhMxwbMHRJw/eSLpJ79avtgsWP3JBLk3ta2EKlXteQbXRdz6C0Urukoxv+RI7mkAaOCyTkg5Fd
G3Kjd+UnlJuJgjEnRRcfBJJfMDyIjdGNWqXc8eSjpSgB4iVuiOYBeGwjZSzURCIwMt5jaPOuLEjC
oET193Ih5VM=</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5INcEJ1eQDgw22QA4kay85oIaqo=</DigestValue>
      </Reference>
      <Reference URI="/xl/worksheets/sheet15.xml?ContentType=application/vnd.openxmlformats-officedocument.spreadsheetml.worksheet+xml">
        <DigestMethod Algorithm="http://www.w3.org/2000/09/xmldsig#sha1"/>
        <DigestValue>1+/+pGrOt5IV9uQqEsy7kg5DAIA=</DigestValue>
      </Reference>
      <Reference URI="/xl/worksheets/sheet13.xml?ContentType=application/vnd.openxmlformats-officedocument.spreadsheetml.worksheet+xml">
        <DigestMethod Algorithm="http://www.w3.org/2000/09/xmldsig#sha1"/>
        <DigestValue>4XLs/S6tMUNQPCmLgQVelI0mKgM=</DigestValue>
      </Reference>
      <Reference URI="/xl/printerSettings/printerSettings2.bin?ContentType=application/vnd.openxmlformats-officedocument.spreadsheetml.printerSettings">
        <DigestMethod Algorithm="http://www.w3.org/2000/09/xmldsig#sha1"/>
        <DigestValue>ZjYF1rngT8+3SuHmWZ9lPAE7NMg=</DigestValue>
      </Reference>
      <Reference URI="/xl/worksheets/sheet5.xml?ContentType=application/vnd.openxmlformats-officedocument.spreadsheetml.worksheet+xml">
        <DigestMethod Algorithm="http://www.w3.org/2000/09/xmldsig#sha1"/>
        <DigestValue>wyf0mAqYPDhXSj4tWQJ5ERde0HQ=</DigestValue>
      </Reference>
      <Reference URI="/xl/printerSettings/printerSettings7.bin?ContentType=application/vnd.openxmlformats-officedocument.spreadsheetml.printerSettings">
        <DigestMethod Algorithm="http://www.w3.org/2000/09/xmldsig#sha1"/>
        <DigestValue>MGCLY15IEbgb8wmZ+lmUlxuO3pA=</DigestValue>
      </Reference>
      <Reference URI="/xl/worksheets/sheet6.xml?ContentType=application/vnd.openxmlformats-officedocument.spreadsheetml.worksheet+xml">
        <DigestMethod Algorithm="http://www.w3.org/2000/09/xmldsig#sha1"/>
        <DigestValue>G/Z009RnssWb5QOB77fZqYxOiOU=</DigestValue>
      </Reference>
      <Reference URI="/xl/styles.xml?ContentType=application/vnd.openxmlformats-officedocument.spreadsheetml.styles+xml">
        <DigestMethod Algorithm="http://www.w3.org/2000/09/xmldsig#sha1"/>
        <DigestValue>IOags7tMBYlEnBdwhiluJ2U6v9k=</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24.xml?ContentType=application/vnd.openxmlformats-officedocument.spreadsheetml.worksheet+xml">
        <DigestMethod Algorithm="http://www.w3.org/2000/09/xmldsig#sha1"/>
        <DigestValue>+G9oKqmZWvbSAWRRNylCNi5SOzo=</DigestValue>
      </Reference>
      <Reference URI="/xl/printerSettings/printerSettings6.bin?ContentType=application/vnd.openxmlformats-officedocument.spreadsheetml.printerSettings">
        <DigestMethod Algorithm="http://www.w3.org/2000/09/xmldsig#sha1"/>
        <DigestValue>rIQkecewHJmKQmPeTxaMM8kcco0=</DigestValue>
      </Reference>
      <Reference URI="/xl/worksheets/sheet26.xml?ContentType=application/vnd.openxmlformats-officedocument.spreadsheetml.worksheet+xml">
        <DigestMethod Algorithm="http://www.w3.org/2000/09/xmldsig#sha1"/>
        <DigestValue>ieyD/5ktpCFctwEvC9s4mZKY9yI=</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25.xml?ContentType=application/vnd.openxmlformats-officedocument.spreadsheetml.worksheet+xml">
        <DigestMethod Algorithm="http://www.w3.org/2000/09/xmldsig#sha1"/>
        <DigestValue>v/CV0VCV4yVG3jCmMf7D5ZBueqc=</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14.xml?ContentType=application/vnd.openxmlformats-officedocument.spreadsheetml.worksheet+xml">
        <DigestMethod Algorithm="http://www.w3.org/2000/09/xmldsig#sha1"/>
        <DigestValue>6bsUjPusiLkV9zqbfqS8XRJOdRc=</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11.xml?ContentType=application/vnd.openxmlformats-officedocument.spreadsheetml.worksheet+xml">
        <DigestMethod Algorithm="http://www.w3.org/2000/09/xmldsig#sha1"/>
        <DigestValue>5F7YAhHhtgrhfuJ+e4k0f9FTgJM=</DigestValue>
      </Reference>
      <Reference URI="/xl/printerSettings/printerSettings11.bin?ContentType=application/vnd.openxmlformats-officedocument.spreadsheetml.printerSettings">
        <DigestMethod Algorithm="http://www.w3.org/2000/09/xmldsig#sha1"/>
        <DigestValue>5CCDbiUxKnZXwDhafJDIbYTD2uc=</DigestValue>
      </Reference>
      <Reference URI="/xl/worksheets/sheet12.xml?ContentType=application/vnd.openxmlformats-officedocument.spreadsheetml.worksheet+xml">
        <DigestMethod Algorithm="http://www.w3.org/2000/09/xmldsig#sha1"/>
        <DigestValue>cwpmaY9TkvFgoZPsKnJp9IcwIT8=</DigestValue>
      </Reference>
      <Reference URI="/xl/printerSettings/printerSettings10.bin?ContentType=application/vnd.openxmlformats-officedocument.spreadsheetml.printerSettings">
        <DigestMethod Algorithm="http://www.w3.org/2000/09/xmldsig#sha1"/>
        <DigestValue>iOUdri0DrHYIo5Tw3Wqktoik9TI=</DigestValue>
      </Reference>
      <Reference URI="/xl/printerSettings/printerSettings1.bin?ContentType=application/vnd.openxmlformats-officedocument.spreadsheetml.printerSettings">
        <DigestMethod Algorithm="http://www.w3.org/2000/09/xmldsig#sha1"/>
        <DigestValue>yR5KEOq64d7KaTHktW4P8v7cLMA=</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ZQzLqDR3eVdpb5o2ocqIxrCScQA=</DigestValue>
      </Reference>
      <Reference URI="/xl/theme/theme1.xml?ContentType=application/vnd.openxmlformats-officedocument.theme+xml">
        <DigestMethod Algorithm="http://www.w3.org/2000/09/xmldsig#sha1"/>
        <DigestValue>9qmLS+LilE9mSl2hTMj5oHE8VR8=</DigestValue>
      </Reference>
      <Reference URI="/xl/worksheets/sheet8.xml?ContentType=application/vnd.openxmlformats-officedocument.spreadsheetml.worksheet+xml">
        <DigestMethod Algorithm="http://www.w3.org/2000/09/xmldsig#sha1"/>
        <DigestValue>xm9v0NNT+hCvGHQxokM+XF9eedk=</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3Gs1C6x/Plg3l8L/Je8BbMb2OVk=</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gRCBUtDb/nKXcMnE+R+ItsnmD44=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27.xml?ContentType=application/vnd.openxmlformats-officedocument.spreadsheetml.worksheet+xml">
        <DigestMethod Algorithm="http://www.w3.org/2000/09/xmldsig#sha1"/>
        <DigestValue>OnrbA59W1oC+qQOJKtaFxKkmdbA=</DigestValue>
      </Reference>
      <Reference URI="/xl/worksheets/sheet28.xml?ContentType=application/vnd.openxmlformats-officedocument.spreadsheetml.worksheet+xml">
        <DigestMethod Algorithm="http://www.w3.org/2000/09/xmldsig#sha1"/>
        <DigestValue>NZ1NPtSjfjMXn8AxIZKXXTYdG/4=</DigestValue>
      </Reference>
      <Reference URI="/xl/printerSettings/printerSettings19.bin?ContentType=application/vnd.openxmlformats-officedocument.spreadsheetml.printerSettings">
        <DigestMethod Algorithm="http://www.w3.org/2000/09/xmldsig#sha1"/>
        <DigestValue>V4Q2KAUBOgq0wJh61MGFmq/bqCI=</DigestValue>
      </Reference>
      <Reference URI="/xl/sharedStrings.xml?ContentType=application/vnd.openxmlformats-officedocument.spreadsheetml.sharedStrings+xml">
        <DigestMethod Algorithm="http://www.w3.org/2000/09/xmldsig#sha1"/>
        <DigestValue>5Yet9+BJUChlZ9pLghpqtDpacRA=</DigestValue>
      </Reference>
      <Reference URI="/xl/worksheets/sheet1.xml?ContentType=application/vnd.openxmlformats-officedocument.spreadsheetml.worksheet+xml">
        <DigestMethod Algorithm="http://www.w3.org/2000/09/xmldsig#sha1"/>
        <DigestValue>1rSHnw8HIvWJWOitTp6dv8le9CQ=</DigestValue>
      </Reference>
      <Reference URI="/xl/printerSettings/printerSettings18.bin?ContentType=application/vnd.openxmlformats-officedocument.spreadsheetml.printerSettings">
        <DigestMethod Algorithm="http://www.w3.org/2000/09/xmldsig#sha1"/>
        <DigestValue>40Z6WWM5S9ljS1NFimjQIDNy+8Y=</DigestValue>
      </Reference>
      <Reference URI="/xl/worksheets/sheet29.xml?ContentType=application/vnd.openxmlformats-officedocument.spreadsheetml.worksheet+xml">
        <DigestMethod Algorithm="http://www.w3.org/2000/09/xmldsig#sha1"/>
        <DigestValue>8QG/qd0cXG1dDqqhPod2LaauXko=</DigestValue>
      </Reference>
      <Reference URI="/xl/worksheets/sheet2.xml?ContentType=application/vnd.openxmlformats-officedocument.spreadsheetml.worksheet+xml">
        <DigestMethod Algorithm="http://www.w3.org/2000/09/xmldsig#sha1"/>
        <DigestValue>BNZeNm17IV2u3fZhJMlUJbAdQCk=</DigestValue>
      </Reference>
      <Reference URI="/xl/printerSettings/printerSettings20.bin?ContentType=application/vnd.openxmlformats-officedocument.spreadsheetml.printerSettings">
        <DigestMethod Algorithm="http://www.w3.org/2000/09/xmldsig#sha1"/>
        <DigestValue>MM/dAhlz7AkeLbezLP4RYF5ZXK8=</DigestValue>
      </Reference>
      <Reference URI="/xl/worksheets/sheet3.xml?ContentType=application/vnd.openxmlformats-officedocument.spreadsheetml.worksheet+xml">
        <DigestMethod Algorithm="http://www.w3.org/2000/09/xmldsig#sha1"/>
        <DigestValue>QS+WP5/wcSNOXjrLVAQxk9z+dAA=</DigestValue>
      </Reference>
      <Reference URI="/xl/workbook.xml?ContentType=application/vnd.openxmlformats-officedocument.spreadsheetml.sheet.main+xml">
        <DigestMethod Algorithm="http://www.w3.org/2000/09/xmldsig#sha1"/>
        <DigestValue>Z0AYLHsReq28HRteAITORmN8e1w=</DigestValue>
      </Reference>
      <Reference URI="/xl/externalLinks/externalLink2.xml?ContentType=application/vnd.openxmlformats-officedocument.spreadsheetml.externalLink+xml">
        <DigestMethod Algorithm="http://www.w3.org/2000/09/xmldsig#sha1"/>
        <DigestValue>EJ4keYMLGZCzSM6wBritpaGwMRc=</DigestValue>
      </Reference>
      <Reference URI="/xl/worksheets/sheet4.xml?ContentType=application/vnd.openxmlformats-officedocument.spreadsheetml.worksheet+xml">
        <DigestMethod Algorithm="http://www.w3.org/2000/09/xmldsig#sha1"/>
        <DigestValue>792EnyUUAVgj+pWRx+dRY+v6JyM=</DigestValue>
      </Reference>
      <Reference URI="/xl/printerSettings/printerSettings21.bin?ContentType=application/vnd.openxmlformats-officedocument.spreadsheetml.printerSettings">
        <DigestMethod Algorithm="http://www.w3.org/2000/09/xmldsig#sha1"/>
        <DigestValue>YoTniGz8WRr3pbSiV5U3NILsIhE=</DigestValue>
      </Reference>
      <Reference URI="/xl/drawings/drawing1.xml?ContentType=application/vnd.openxmlformats-officedocument.drawing+xml">
        <DigestMethod Algorithm="http://www.w3.org/2000/09/xmldsig#sha1"/>
        <DigestValue>9jgpVdHzFAt7WN87Eb8UjCRV7yA=</DigestValue>
      </Reference>
      <Reference URI="/xl/printerSettings/printerSettings15.bin?ContentType=application/vnd.openxmlformats-officedocument.spreadsheetml.printerSettings">
        <DigestMethod Algorithm="http://www.w3.org/2000/09/xmldsig#sha1"/>
        <DigestValue>iOUdri0DrHYIo5Tw3Wqktoik9TI=</DigestValue>
      </Reference>
      <Reference URI="/xl/printerSettings/printerSettings22.bin?ContentType=application/vnd.openxmlformats-officedocument.spreadsheetml.printerSettings">
        <DigestMethod Algorithm="http://www.w3.org/2000/09/xmldsig#sha1"/>
        <DigestValue>TYvU/ncLrNHS/SCXaalae0Wh7W8=</DigestValue>
      </Reference>
      <Reference URI="/xl/printerSettings/printerSettings23.bin?ContentType=application/vnd.openxmlformats-officedocument.spreadsheetml.printerSettings">
        <DigestMethod Algorithm="http://www.w3.org/2000/09/xmldsig#sha1"/>
        <DigestValue>TYvU/ncLrNHS/SCXaalae0Wh7W8=</DigestValue>
      </Reference>
      <Reference URI="/xl/printerSettings/printerSettings25.bin?ContentType=application/vnd.openxmlformats-officedocument.spreadsheetml.printerSettings">
        <DigestMethod Algorithm="http://www.w3.org/2000/09/xmldsig#sha1"/>
        <DigestValue>V4Q2KAUBOgq0wJh61MGFmq/bqCI=</DigestValue>
      </Reference>
      <Reference URI="/xl/worksheets/sheet22.xml?ContentType=application/vnd.openxmlformats-officedocument.spreadsheetml.worksheet+xml">
        <DigestMethod Algorithm="http://www.w3.org/2000/09/xmldsig#sha1"/>
        <DigestValue>DYqqc3DA/9NTXLFDo8EPyDq0ut0=</DigestValue>
      </Reference>
      <Reference URI="/xl/printerSettings/printerSettings17.bin?ContentType=application/vnd.openxmlformats-officedocument.spreadsheetml.printerSettings">
        <DigestMethod Algorithm="http://www.w3.org/2000/09/xmldsig#sha1"/>
        <DigestValue>hwNxfjS7bBA15YDPzI/YQN3Mh84=</DigestValue>
      </Reference>
      <Reference URI="/xl/worksheets/sheet23.xml?ContentType=application/vnd.openxmlformats-officedocument.spreadsheetml.worksheet+xml">
        <DigestMethod Algorithm="http://www.w3.org/2000/09/xmldsig#sha1"/>
        <DigestValue>CoiQ6vxINaFhqu8pTglqwQvx2BE=</DigestValue>
      </Reference>
      <Reference URI="/xl/printerSettings/printerSettings16.bin?ContentType=application/vnd.openxmlformats-officedocument.spreadsheetml.printerSettings">
        <DigestMethod Algorithm="http://www.w3.org/2000/09/xmldsig#sha1"/>
        <DigestValue>UNdBL9fPubaDCWxGN6GVqf28pSo=</DigestValue>
      </Reference>
      <Reference URI="/xl/worksheets/sheet20.xml?ContentType=application/vnd.openxmlformats-officedocument.spreadsheetml.worksheet+xml">
        <DigestMethod Algorithm="http://www.w3.org/2000/09/xmldsig#sha1"/>
        <DigestValue>2343iP0ibsD72pBceRES6/oyguo=</DigestValue>
      </Reference>
      <Reference URI="/xl/worksheets/sheet21.xml?ContentType=application/vnd.openxmlformats-officedocument.spreadsheetml.worksheet+xml">
        <DigestMethod Algorithm="http://www.w3.org/2000/09/xmldsig#sha1"/>
        <DigestValue>+DBKDFK3sZSY7McWi1ML3CZU9B0=</DigestValue>
      </Reference>
      <Reference URI="/xl/worksheets/sheet16.xml?ContentType=application/vnd.openxmlformats-officedocument.spreadsheetml.worksheet+xml">
        <DigestMethod Algorithm="http://www.w3.org/2000/09/xmldsig#sha1"/>
        <DigestValue>wfZJAea4FITBJo7EpDECY0aDxUU=</DigestValue>
      </Reference>
      <Reference URI="/xl/worksheets/sheet19.xml?ContentType=application/vnd.openxmlformats-officedocument.spreadsheetml.worksheet+xml">
        <DigestMethod Algorithm="http://www.w3.org/2000/09/xmldsig#sha1"/>
        <DigestValue>MiUjKBa1apkH0KDrwJGHdb1ltR0=</DigestValue>
      </Reference>
      <Reference URI="/xl/printerSettings/printerSettings26.bin?ContentType=application/vnd.openxmlformats-officedocument.spreadsheetml.printerSettings">
        <DigestMethod Algorithm="http://www.w3.org/2000/09/xmldsig#sha1"/>
        <DigestValue>1kt9aOnh1ANW0ezPGJh8+ysWsbs=</DigestValue>
      </Reference>
      <Reference URI="/xl/printerSettings/printerSettings24.bin?ContentType=application/vnd.openxmlformats-officedocument.spreadsheetml.printerSettings">
        <DigestMethod Algorithm="http://www.w3.org/2000/09/xmldsig#sha1"/>
        <DigestValue>V4Q2KAUBOgq0wJh61MGFmq/bqCI=</DigestValue>
      </Reference>
      <Reference URI="/xl/calcChain.xml?ContentType=application/vnd.openxmlformats-officedocument.spreadsheetml.calcChain+xml">
        <DigestMethod Algorithm="http://www.w3.org/2000/09/xmldsig#sha1"/>
        <DigestValue>vI2Du1BRBy+/jSkMqhqUkC7hZ7U=</DigestValue>
      </Reference>
      <Reference URI="/xl/worksheets/sheet17.xml?ContentType=application/vnd.openxmlformats-officedocument.spreadsheetml.worksheet+xml">
        <DigestMethod Algorithm="http://www.w3.org/2000/09/xmldsig#sha1"/>
        <DigestValue>Z4JdYcKkvobTICh1YYrJ+Q/AGGI=</DigestValue>
      </Reference>
      <Reference URI="/xl/worksheets/sheet18.xml?ContentType=application/vnd.openxmlformats-officedocument.spreadsheetml.worksheet+xml">
        <DigestMethod Algorithm="http://www.w3.org/2000/09/xmldsig#sha1"/>
        <DigestValue>ZlRC1VizVPaT9a67gbmc+xXnwqw=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LgDL3UDwNULFUNJW6J6iJ9KkR+s=</DigestValue>
      </Reference>
    </Manifest>
    <SignatureProperties>
      <SignatureProperty Id="idSignatureTime" Target="#idPackageSignature">
        <mdssi:SignatureTime>
          <mdssi:Format>YYYY-MM-DDThh:mm:ssTZD</mdssi:Format>
          <mdssi:Value>2021-08-02T13:43:58Z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PG1-BBG-QQ-20210630</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2021-08-02T13:43:58Z</xd:SigningTime>
          <xd:SigningCertificate>
            <xd:Cert>
              <xd:CertDigest>
                <DigestMethod Algorithm="http://www.w3.org/2000/09/xmldsig#sha1"/>
                <DigestValue>wYqpqsjKyctJ5G7OezDjoZKFfnI=</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2021-08-02T13:43:22Z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1627544594</vt:lpwstr>
  </property>
  <property fmtid="{D5CDD505-2E9C-101B-9397-08002B2CF9AE}" pid="5" name="DLPManualFileClassificationVersion">
    <vt:lpwstr>11.6.0.76</vt:lpwstr>
  </property>
</Properties>
</file>