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_xmlsignatures/sig2.xml" ContentType="application/vnd.openxmlformats-package.digital-signature-xmlsignature+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hidePivotFieldList="1" defaultThemeVersion="124226"/>
  <bookViews>
    <workbookView xWindow="0" yWindow="660" windowWidth="23040" windowHeight="7095" tabRatio="958"/>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state="hidden" r:id="rId11"/>
    <sheet name="10. CC2" sheetId="69" r:id="rId12"/>
    <sheet name="11. CRWA" sheetId="35" r:id="rId13"/>
    <sheet name="12. CRM" sheetId="64" r:id="rId14"/>
    <sheet name="13. CRME" sheetId="74" r:id="rId15"/>
    <sheet name="14. LCR" sheetId="36" r:id="rId16"/>
    <sheet name="15. CCR" sheetId="37" r:id="rId17"/>
    <sheet name="Sheet7" sheetId="87" state="hidden"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15">'14. LCR'!$A$1:$K$25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D28" i="53" l="1"/>
  <c r="D27" i="53"/>
  <c r="D27" i="62"/>
  <c r="D26" i="62"/>
  <c r="B1" i="52" l="1"/>
  <c r="B2" i="52"/>
  <c r="J24" i="36" l="1"/>
  <c r="I24" i="36"/>
  <c r="K24" i="36" l="1"/>
  <c r="D6" i="71" l="1"/>
  <c r="D13" i="71" s="1"/>
  <c r="J23" i="36" l="1"/>
  <c r="I23" i="36"/>
  <c r="I25" i="36" s="1"/>
  <c r="H23" i="36"/>
  <c r="G24" i="36"/>
  <c r="G23" i="36"/>
  <c r="F24" i="36"/>
  <c r="F23" i="36"/>
  <c r="G25" i="36" l="1"/>
  <c r="J25" i="36"/>
  <c r="F25" i="36"/>
  <c r="H24" i="36"/>
  <c r="H25" i="36" s="1"/>
  <c r="K23" i="36"/>
  <c r="K25" i="36" s="1"/>
  <c r="E8" i="53" l="1"/>
  <c r="E11" i="53"/>
  <c r="E12" i="53"/>
  <c r="E14" i="53"/>
  <c r="E15" i="53"/>
  <c r="E16" i="53"/>
  <c r="E19" i="53"/>
  <c r="E24" i="53"/>
  <c r="E26" i="53"/>
  <c r="E29" i="53"/>
  <c r="C34" i="53"/>
  <c r="D34" i="53"/>
  <c r="D45" i="53" s="1"/>
  <c r="E35" i="53"/>
  <c r="E36" i="53"/>
  <c r="E38" i="53"/>
  <c r="E39" i="53"/>
  <c r="E41" i="53"/>
  <c r="E42" i="53"/>
  <c r="E44" i="53"/>
  <c r="E47" i="53"/>
  <c r="E48" i="53"/>
  <c r="E50" i="53"/>
  <c r="E51" i="53"/>
  <c r="E52" i="53"/>
  <c r="C61" i="53"/>
  <c r="E59" i="53"/>
  <c r="E60" i="53"/>
  <c r="D61" i="53"/>
  <c r="E64" i="53"/>
  <c r="E66" i="53"/>
  <c r="E61" i="53" l="1"/>
  <c r="E34" i="53"/>
  <c r="E17" i="53"/>
  <c r="E10" i="53"/>
  <c r="E20" i="53"/>
  <c r="E25" i="53"/>
  <c r="E28" i="53"/>
  <c r="E13" i="53"/>
  <c r="E43" i="53"/>
  <c r="C30" i="53"/>
  <c r="E49" i="53"/>
  <c r="E58" i="53"/>
  <c r="E37" i="53"/>
  <c r="E27" i="53"/>
  <c r="D30" i="53"/>
  <c r="D9" i="53"/>
  <c r="D22" i="53" s="1"/>
  <c r="E40" i="53"/>
  <c r="D53" i="53"/>
  <c r="D54" i="53" s="1"/>
  <c r="E21" i="53"/>
  <c r="E18" i="53"/>
  <c r="C53" i="53"/>
  <c r="C45" i="53"/>
  <c r="C9" i="53"/>
  <c r="D31" i="53" l="1"/>
  <c r="D56" i="53" s="1"/>
  <c r="D63" i="53" s="1"/>
  <c r="D65" i="53" s="1"/>
  <c r="D67" i="53" s="1"/>
  <c r="E30" i="53"/>
  <c r="E53" i="53"/>
  <c r="C22" i="53"/>
  <c r="E9" i="53"/>
  <c r="E45" i="53"/>
  <c r="C54" i="53"/>
  <c r="E54" i="53" s="1"/>
  <c r="C31" i="53" l="1"/>
  <c r="E22" i="53"/>
  <c r="C56" i="53" l="1"/>
  <c r="E31" i="53"/>
  <c r="E56" i="53" l="1"/>
  <c r="C63" i="53"/>
  <c r="C65" i="53" l="1"/>
  <c r="E63" i="53"/>
  <c r="E65" i="53" l="1"/>
  <c r="C67" i="53"/>
  <c r="E67" i="53" s="1"/>
  <c r="E12" i="62" l="1"/>
  <c r="C31" i="62" l="1"/>
  <c r="C6" i="71"/>
  <c r="D31" i="62"/>
  <c r="E31" i="62" l="1"/>
  <c r="B2" i="37"/>
  <c r="B1" i="37"/>
  <c r="B2" i="36"/>
  <c r="B1" i="36"/>
  <c r="B2" i="74"/>
  <c r="B1" i="74"/>
  <c r="B2" i="64"/>
  <c r="B1" i="64"/>
  <c r="B2" i="35"/>
  <c r="B1" i="35"/>
  <c r="B2" i="69"/>
  <c r="B1" i="69"/>
  <c r="B2" i="77"/>
  <c r="B1" i="77"/>
  <c r="B2" i="28"/>
  <c r="B1" i="28"/>
  <c r="B2" i="73"/>
  <c r="B1" i="73"/>
  <c r="B2" i="72"/>
  <c r="B1" i="72"/>
  <c r="B2" i="71"/>
  <c r="B1" i="71"/>
  <c r="B2" i="75"/>
  <c r="B1" i="75"/>
  <c r="B2" i="53"/>
  <c r="B1" i="53"/>
  <c r="B2" i="62"/>
  <c r="B1" i="62"/>
  <c r="G21" i="74" l="1"/>
  <c r="G20" i="74"/>
  <c r="G19" i="74"/>
  <c r="G18" i="74"/>
  <c r="G13" i="74"/>
  <c r="G12" i="74"/>
  <c r="G11" i="74"/>
  <c r="G10" i="74"/>
  <c r="G9" i="74"/>
  <c r="E22" i="74"/>
  <c r="D22" i="74"/>
  <c r="C20" i="69"/>
  <c r="C22" i="69"/>
  <c r="E20" i="72"/>
  <c r="E18" i="72"/>
  <c r="E17" i="72"/>
  <c r="E16" i="72"/>
  <c r="D15" i="72"/>
  <c r="E19" i="72" l="1"/>
  <c r="G8" i="74"/>
  <c r="F22" i="74"/>
  <c r="C22" i="74"/>
  <c r="C14" i="62" l="1"/>
  <c r="D14" i="62"/>
  <c r="C40" i="62"/>
  <c r="C13" i="71"/>
  <c r="E8" i="37" l="1"/>
  <c r="K8" i="37" s="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H8" i="74"/>
  <c r="H22" i="74" l="1"/>
  <c r="V7" i="64"/>
  <c r="H9" i="74"/>
  <c r="H10" i="74"/>
  <c r="H11" i="74"/>
  <c r="H12" i="74"/>
  <c r="H13" i="74"/>
  <c r="H14" i="74"/>
  <c r="H15" i="74"/>
  <c r="H16" i="74"/>
  <c r="H17" i="74"/>
  <c r="H18" i="74"/>
  <c r="H19" i="74"/>
  <c r="H20"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C41" i="62" l="1"/>
  <c r="C20" i="62"/>
  <c r="D41" i="62" l="1"/>
  <c r="D20" i="62"/>
  <c r="E41" i="62" l="1"/>
  <c r="C43" i="28" l="1"/>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E33" i="62"/>
  <c r="C37" i="69" s="1"/>
  <c r="E34" i="62"/>
  <c r="C38" i="69" s="1"/>
  <c r="E35" i="62"/>
  <c r="C39" i="69" s="1"/>
  <c r="E36" i="62"/>
  <c r="C40" i="69" s="1"/>
  <c r="E37" i="62"/>
  <c r="C41" i="69" s="1"/>
  <c r="E38" i="62"/>
  <c r="C42" i="69" s="1"/>
  <c r="E39" i="62"/>
  <c r="C43" i="69" s="1"/>
  <c r="E40" i="62"/>
  <c r="E23" i="62"/>
  <c r="E24" i="62"/>
  <c r="C27" i="69" s="1"/>
  <c r="E25" i="62"/>
  <c r="C28" i="69" s="1"/>
  <c r="E26" i="62"/>
  <c r="C29" i="69" s="1"/>
  <c r="E27" i="62"/>
  <c r="C30" i="69" s="1"/>
  <c r="E28" i="62"/>
  <c r="C31" i="69" s="1"/>
  <c r="E29" i="62"/>
  <c r="C32" i="69" s="1"/>
  <c r="E30" i="62"/>
  <c r="C34" i="69" s="1"/>
  <c r="E22" i="62"/>
  <c r="C25" i="69" s="1"/>
  <c r="E8" i="62"/>
  <c r="E9" i="62"/>
  <c r="E10" i="62"/>
  <c r="E11" i="62"/>
  <c r="E13" i="62"/>
  <c r="E15" i="62"/>
  <c r="C15" i="69" s="1"/>
  <c r="E16" i="62"/>
  <c r="C16" i="69" s="1"/>
  <c r="E17" i="62"/>
  <c r="C17" i="69" s="1"/>
  <c r="E18" i="62"/>
  <c r="C21" i="69" s="1"/>
  <c r="E19" i="62"/>
  <c r="C23" i="69" s="1"/>
  <c r="E20" i="62"/>
  <c r="E7" i="62"/>
  <c r="C8" i="69" l="1"/>
  <c r="C10" i="72"/>
  <c r="E10" i="72" s="1"/>
  <c r="C12" i="69"/>
  <c r="C14" i="72"/>
  <c r="E14" i="72" s="1"/>
  <c r="C6" i="69"/>
  <c r="C8" i="72"/>
  <c r="C11" i="69"/>
  <c r="C13" i="72"/>
  <c r="C10" i="69"/>
  <c r="C12" i="72"/>
  <c r="E12" i="72" s="1"/>
  <c r="C7" i="69"/>
  <c r="C9" i="72"/>
  <c r="E9" i="72" s="1"/>
  <c r="C26" i="69"/>
  <c r="C36" i="69" s="1"/>
  <c r="C9" i="69"/>
  <c r="C11" i="72"/>
  <c r="E11" i="72" s="1"/>
  <c r="C28" i="28"/>
  <c r="E14" i="62"/>
  <c r="C44" i="69"/>
  <c r="C14" i="69" l="1"/>
  <c r="C24" i="69" s="1"/>
  <c r="E8" i="72"/>
  <c r="C15" i="72"/>
  <c r="C21" i="72" s="1"/>
  <c r="E13" i="72"/>
  <c r="E15" i="72" s="1"/>
  <c r="E21" i="72" l="1"/>
  <c r="C5" i="73" s="1"/>
  <c r="C8" i="73" s="1"/>
  <c r="C13" i="73" s="1"/>
</calcChain>
</file>

<file path=xl/sharedStrings.xml><?xml version="1.0" encoding="utf-8"?>
<sst xmlns="http://schemas.openxmlformats.org/spreadsheetml/2006/main" count="714" uniqueCount="483">
  <si>
    <t>a</t>
  </si>
  <si>
    <t>b</t>
  </si>
  <si>
    <t>c</t>
  </si>
  <si>
    <t>d</t>
  </si>
  <si>
    <t>e</t>
  </si>
  <si>
    <t>T</t>
  </si>
  <si>
    <t>T-1</t>
  </si>
  <si>
    <t>T-2</t>
  </si>
  <si>
    <t>T-3</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</si>
  <si>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</si>
  <si>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</si>
  <si>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</si>
  <si>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</si>
  <si>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</si>
  <si>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</si>
  <si>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</si>
  <si>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</si>
  <si>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</si>
  <si>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</si>
  <si>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</si>
  <si>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</si>
  <si>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</si>
  <si>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</si>
  <si>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</si>
  <si>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</si>
  <si>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</si>
  <si>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</si>
  <si>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</si>
  <si>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</si>
  <si>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</si>
  <si>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</si>
  <si>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</si>
  <si>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</si>
  <si>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</si>
  <si>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</si>
  <si>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</si>
  <si>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</si>
  <si>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</si>
  <si>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</si>
  <si>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</si>
  <si>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</si>
  <si>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</si>
  <si>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</si>
  <si>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</si>
  <si>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</si>
  <si>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</si>
  <si>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</si>
  <si>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</si>
  <si>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</si>
  <si>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</si>
  <si>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</si>
  <si>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</si>
  <si>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</si>
  <si>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</si>
  <si>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</si>
  <si>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</si>
  <si>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</si>
  <si>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</si>
  <si>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</si>
  <si>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</si>
  <si>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</si>
  <si>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</si>
  <si>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</si>
  <si>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</si>
  <si>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</si>
  <si>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</si>
  <si>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</si>
  <si>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</si>
  <si>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</si>
  <si>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</si>
  <si>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</si>
  <si>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</si>
  <si>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</si>
  <si>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</si>
  <si>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</si>
  <si>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</si>
  <si>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</si>
  <si>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</si>
  <si>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</si>
  <si>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</si>
  <si>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</si>
  <si>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</si>
  <si>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</si>
  <si>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</si>
  <si>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</si>
  <si>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</si>
  <si>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</si>
  <si>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</si>
  <si>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</si>
  <si>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</si>
  <si>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</si>
  <si>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</si>
  <si>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</si>
  <si>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</si>
  <si>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</si>
  <si>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</si>
  <si>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</si>
  <si>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</si>
  <si>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</si>
  <si>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</si>
  <si>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</si>
  <si>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</si>
  <si>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</si>
  <si>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</si>
  <si>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</si>
  <si>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</si>
  <si>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</si>
  <si>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</si>
  <si>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</si>
  <si>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</si>
  <si>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</si>
  <si>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</si>
  <si>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</si>
  <si>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</si>
  <si>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</si>
  <si>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</si>
  <si>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</si>
  <si>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</si>
  <si>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</si>
  <si>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</si>
  <si>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</si>
  <si>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</si>
  <si>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</si>
  <si>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</si>
  <si>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</si>
  <si>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</si>
  <si>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</si>
  <si>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</si>
  <si>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</si>
  <si>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</si>
  <si>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</si>
  <si>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</si>
  <si>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</si>
  <si>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</si>
  <si>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</si>
  <si>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</si>
  <si>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</si>
  <si>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</si>
  <si>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</si>
  <si>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</si>
  <si>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</si>
  <si>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</si>
  <si>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</si>
  <si>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</si>
  <si>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</si>
  <si>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</si>
  <si>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</si>
  <si>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</si>
  <si>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</si>
  <si>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</si>
  <si>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</si>
  <si>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</si>
  <si>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</si>
  <si>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</si>
  <si>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</si>
  <si>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</si>
  <si>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</si>
  <si>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</si>
  <si>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</si>
  <si>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</si>
  <si>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</si>
  <si>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</si>
  <si>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</si>
  <si>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</si>
  <si>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</si>
  <si>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</si>
  <si>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</si>
  <si>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</si>
  <si>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</si>
  <si>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</si>
  <si>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</si>
  <si>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</si>
  <si>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</si>
  <si>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</si>
  <si>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</si>
  <si>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</si>
  <si>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</si>
  <si>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</si>
  <si>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</si>
  <si>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</si>
  <si>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</si>
  <si>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</si>
  <si>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</si>
  <si>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</si>
  <si>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</si>
  <si>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</si>
  <si>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</si>
  <si>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</si>
  <si>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</si>
  <si>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</si>
  <si>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</si>
  <si>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</si>
  <si>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</si>
  <si>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</si>
  <si>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</si>
  <si>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</si>
  <si>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</si>
  <si>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</si>
  <si>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</si>
  <si>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</si>
  <si>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</si>
  <si>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</si>
  <si>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</si>
  <si>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</si>
  <si>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</si>
  <si>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</si>
  <si>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</si>
  <si>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</si>
  <si>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</si>
  <si>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</si>
  <si>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</si>
  <si>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</si>
  <si>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</si>
  <si>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</si>
  <si>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</si>
  <si>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</si>
  <si>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</si>
  <si>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</si>
  <si>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</si>
  <si>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</si>
  <si>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</si>
  <si>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</si>
  <si>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</si>
  <si>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</si>
  <si>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</si>
  <si>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</si>
  <si>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</si>
  <si>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</si>
  <si>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</si>
  <si>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</si>
  <si>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</si>
  <si>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</si>
  <si>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</si>
  <si>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</si>
  <si>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</si>
  <si>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</si>
  <si>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</si>
  <si>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</si>
  <si>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</si>
  <si>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</si>
  <si>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</si>
  <si>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</si>
  <si>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</si>
  <si>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</si>
  <si>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</si>
  <si>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</si>
  <si>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</si>
  <si>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</si>
  <si>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</si>
  <si>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</si>
  <si>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</si>
  <si>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</si>
  <si>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</si>
  <si>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</si>
  <si>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</si>
  <si>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</si>
  <si>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</si>
  <si>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</si>
  <si>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</si>
  <si>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</si>
  <si>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</si>
  <si>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</si>
  <si>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</si>
  <si>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</si>
  <si>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</si>
  <si>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</si>
  <si>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</si>
  <si>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</si>
  <si>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</si>
  <si>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</si>
  <si>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</si>
  <si>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</si>
  <si>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</si>
  <si>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</si>
  <si>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</si>
  <si>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</si>
  <si>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</si>
  <si>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</si>
  <si>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</si>
  <si>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</si>
  <si>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</si>
  <si>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</si>
  <si>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</si>
  <si>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</si>
  <si>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</si>
  <si>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</si>
  <si>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</si>
  <si>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</si>
  <si>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</si>
  <si>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</si>
  <si>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</si>
  <si>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</si>
  <si>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</si>
  <si>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</si>
  <si>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</si>
  <si>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</si>
  <si>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</si>
  <si>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</si>
  <si>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</si>
  <si>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</si>
  <si>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</si>
  <si>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</si>
  <si>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</si>
  <si>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</si>
  <si>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</si>
  <si>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</si>
  <si>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</si>
  <si>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</si>
  <si>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</si>
  <si>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</si>
  <si>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</si>
  <si>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</si>
  <si>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</si>
  <si>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</si>
  <si>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</si>
  <si>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</si>
  <si>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</si>
  <si>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</si>
  <si>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</si>
  <si>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</si>
  <si>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</si>
  <si>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</si>
  <si>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</si>
  <si>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</si>
  <si>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</si>
  <si>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</si>
  <si>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</si>
  <si>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</si>
  <si>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</si>
  <si>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</si>
  <si>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</si>
  <si>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</si>
  <si>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</si>
  <si>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</si>
  <si>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</si>
  <si>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</si>
  <si>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</si>
  <si>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</si>
  <si>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</si>
  <si>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</si>
  <si>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</si>
  <si>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</si>
  <si>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</si>
  <si>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</si>
  <si>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</si>
  <si>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</si>
  <si>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</si>
  <si>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</si>
  <si>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</si>
  <si>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</si>
  <si>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</si>
  <si>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</si>
  <si>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</si>
  <si>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</si>
  <si>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</si>
  <si>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</si>
  <si>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</si>
  <si>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</si>
  <si>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</si>
  <si>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</si>
  <si>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</si>
  <si>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</si>
  <si>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</si>
  <si>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</si>
  <si>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</si>
  <si>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</si>
  <si>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</si>
  <si>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</si>
  <si>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</si>
  <si>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</si>
  <si>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</si>
  <si>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</si>
  <si>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</si>
  <si>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</si>
  <si>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</si>
  <si>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</si>
  <si>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</si>
  <si>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</si>
  <si>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</si>
  <si>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</si>
  <si>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</si>
  <si>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</si>
  <si>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</si>
  <si>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</si>
  <si>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</si>
  <si>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</si>
  <si>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</si>
  <si>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</si>
  <si>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</si>
  <si>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</si>
  <si>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</si>
  <si>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</si>
  <si>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</si>
  <si>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</si>
  <si>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</si>
  <si>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</si>
  <si>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</si>
  <si>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</si>
  <si>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</si>
  <si>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</si>
  <si>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</si>
  <si>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</si>
  <si>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</si>
  <si>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</si>
  <si>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</si>
  <si>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</si>
  <si>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</si>
  <si>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</si>
  <si>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</si>
  <si>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</si>
  <si>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</si>
  <si>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</si>
  <si>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</si>
  <si>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</si>
  <si>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</si>
  <si>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</si>
  <si>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</si>
  <si>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</si>
  <si>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</si>
  <si>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</si>
  <si>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</si>
  <si>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</si>
  <si>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≥6%</t>
  </si>
  <si>
    <t>1.3</t>
  </si>
  <si>
    <t>საზედამხედველო კაპიტალის მინიმალური მოთხოვნა</t>
  </si>
  <si>
    <t>≥8%</t>
  </si>
  <si>
    <t>2</t>
  </si>
  <si>
    <t>კომბინირებული ბუფერი</t>
  </si>
  <si>
    <t>2.1</t>
  </si>
  <si>
    <t>კაპიტალის კონსერვაციის ბუფერი</t>
  </si>
  <si>
    <t>≥2,5%</t>
  </si>
  <si>
    <t>2.2</t>
  </si>
  <si>
    <t>კონტრციკლური ბუფერი</t>
  </si>
  <si>
    <t>≥0%</t>
  </si>
  <si>
    <t>2.3</t>
  </si>
  <si>
    <t>სისტემური რისკის ბუფერი</t>
  </si>
  <si>
    <t>3</t>
  </si>
  <si>
    <t>პილარ 2-ის მოთხოვნა*</t>
  </si>
  <si>
    <t>არსებული მაჩვენებლები</t>
  </si>
  <si>
    <t>6</t>
  </si>
  <si>
    <r>
      <rPr>
        <sz val="10"/>
        <rFont val="Calibri"/>
        <family val="2"/>
      </rPr>
      <t>≥</t>
    </r>
    <r>
      <rPr>
        <sz val="10"/>
        <rFont val="Calibri"/>
        <family val="2"/>
        <scheme val="minor"/>
      </rPr>
      <t>4,5%</t>
    </r>
  </si>
  <si>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</si>
  <si>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</si>
  <si>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</si>
  <si>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</si>
  <si>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</si>
  <si>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</si>
  <si>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</si>
  <si>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</si>
  <si>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</si>
  <si>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</si>
  <si>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ცხრილი 9 (Capital), N37</t>
  </si>
  <si>
    <t>ცხრილი 9 (Capital), N39</t>
  </si>
  <si>
    <t>ცხრილი 9 (Capital), N17</t>
  </si>
  <si>
    <t>ცხრილი 9 (Capital), N18</t>
  </si>
  <si>
    <t>ცხრილი 9 (Capital), N2</t>
  </si>
  <si>
    <t>ცხრილი 9 (Capital), N12</t>
  </si>
  <si>
    <t>ცხრილი 9 (Capital), N3</t>
  </si>
  <si>
    <t>ცხრილი 9 (Capital), N6</t>
  </si>
  <si>
    <t>ცხრილი 9 (Capital), N4,N8</t>
  </si>
  <si>
    <t>სს ”საქართველოს ბანკი”</t>
  </si>
  <si>
    <t>ნილ ჯანინი</t>
  </si>
  <si>
    <t>დევიდ მორისონი</t>
  </si>
  <si>
    <t>თამაზ გიორგაძე</t>
  </si>
  <si>
    <t>კიმ ბრედლი</t>
  </si>
  <si>
    <t>ალასდაირ ბრიჩი</t>
  </si>
  <si>
    <t>ჰანნა ლოიკაინენი</t>
  </si>
  <si>
    <t>ჯონათან მუირი</t>
  </si>
  <si>
    <t>კახაბერ კიკნაველიძე</t>
  </si>
  <si>
    <t>ლევან ყულიჯანიშვილი</t>
  </si>
  <si>
    <t>მიხეილ გომართელი</t>
  </si>
  <si>
    <t>გიორგი ჭილაძე</t>
  </si>
  <si>
    <t>რამაზ კუკულაძე</t>
  </si>
  <si>
    <t>დავით წიკლაური</t>
  </si>
  <si>
    <t>სს ბიჯეო ჯგუფი</t>
  </si>
  <si>
    <t>Harding Loevner Management LP</t>
  </si>
  <si>
    <t>www.bog.ge</t>
  </si>
  <si>
    <t>ვასილ ხოდელი</t>
  </si>
  <si>
    <t>X</t>
  </si>
  <si>
    <t>ბობოხიძე ვახტანგ</t>
  </si>
  <si>
    <t>JSC Georgia Capital</t>
  </si>
  <si>
    <t>T-4</t>
  </si>
  <si>
    <t>ბანკის სამეთვალყურეო საბჭოს თავმჯდომარე (მოვალეობის შემსრულებელი)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</si>
</sst>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s>
  <fonts count="11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sz val="9"/>
      <color theme="1"/>
      <name val="Times New Roman"/>
      <family val="1"/>
    </font>
    <font>
      <sz val="9"/>
      <color rgb="FF333333"/>
      <name val="Times New Roman"/>
      <family val="1"/>
    </font>
    <font>
      <sz val="10"/>
      <color rgb="FF000000"/>
      <name val="Times New Roman"/>
      <family val="1"/>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10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bottom/>
      <diagonal/>
    </border>
    <border>
      <left style="thin">
        <color indexed="64"/>
      </left>
      <right/>
      <top/>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1" applyNumberFormat="0" applyAlignment="0" applyProtection="0"/>
    <xf numFmtId="0" fontId="42" fillId="9" borderId="35"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168" fontId="43"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168" fontId="43"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169" fontId="43"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5"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5"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5"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5"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5"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5"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5"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168" fontId="43" fillId="64" borderId="41" applyNumberFormat="0" applyAlignment="0" applyProtection="0"/>
    <xf numFmtId="169" fontId="43" fillId="64" borderId="41" applyNumberFormat="0" applyAlignment="0" applyProtection="0"/>
    <xf numFmtId="168" fontId="43" fillId="64" borderId="41" applyNumberFormat="0" applyAlignment="0" applyProtection="0"/>
    <xf numFmtId="168" fontId="43" fillId="64" borderId="41" applyNumberFormat="0" applyAlignment="0" applyProtection="0"/>
    <xf numFmtId="169" fontId="43" fillId="64" borderId="41" applyNumberFormat="0" applyAlignment="0" applyProtection="0"/>
    <xf numFmtId="168" fontId="43" fillId="64" borderId="41" applyNumberFormat="0" applyAlignment="0" applyProtection="0"/>
    <xf numFmtId="168" fontId="43" fillId="64" borderId="41" applyNumberFormat="0" applyAlignment="0" applyProtection="0"/>
    <xf numFmtId="169" fontId="43" fillId="64" borderId="41" applyNumberFormat="0" applyAlignment="0" applyProtection="0"/>
    <xf numFmtId="168" fontId="43" fillId="64" borderId="41" applyNumberFormat="0" applyAlignment="0" applyProtection="0"/>
    <xf numFmtId="168" fontId="43" fillId="64" borderId="41" applyNumberFormat="0" applyAlignment="0" applyProtection="0"/>
    <xf numFmtId="169" fontId="43" fillId="64" borderId="41" applyNumberFormat="0" applyAlignment="0" applyProtection="0"/>
    <xf numFmtId="168" fontId="43" fillId="64" borderId="41" applyNumberFormat="0" applyAlignment="0" applyProtection="0"/>
    <xf numFmtId="0" fontId="41" fillId="64" borderId="41" applyNumberFormat="0" applyAlignment="0" applyProtection="0"/>
    <xf numFmtId="0" fontId="44" fillId="65" borderId="42" applyNumberFormat="0" applyAlignment="0" applyProtection="0"/>
    <xf numFmtId="0" fontId="45" fillId="10" borderId="38" applyNumberFormat="0" applyAlignment="0" applyProtection="0"/>
    <xf numFmtId="168"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0" fontId="44"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0" fontId="45" fillId="10" borderId="38"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0" fontId="44"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3">
      <alignment vertical="center"/>
    </xf>
    <xf numFmtId="38" fontId="29" fillId="0" borderId="43">
      <alignment vertical="center"/>
    </xf>
    <xf numFmtId="38" fontId="29" fillId="0" borderId="43">
      <alignment vertical="center"/>
    </xf>
    <xf numFmtId="38" fontId="29" fillId="0" borderId="43">
      <alignment vertical="center"/>
    </xf>
    <xf numFmtId="38" fontId="29" fillId="0" borderId="43">
      <alignment vertical="center"/>
    </xf>
    <xf numFmtId="38" fontId="29" fillId="0" borderId="43">
      <alignment vertical="center"/>
    </xf>
    <xf numFmtId="38" fontId="29" fillId="0" borderId="43">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3" applyNumberFormat="0" applyAlignment="0" applyProtection="0">
      <alignment horizontal="left" vertical="center"/>
    </xf>
    <xf numFmtId="0" fontId="57" fillId="0" borderId="33" applyNumberFormat="0" applyAlignment="0" applyProtection="0">
      <alignment horizontal="left" vertical="center"/>
    </xf>
    <xf numFmtId="168" fontId="57" fillId="0" borderId="33"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4" applyNumberFormat="0" applyFill="0" applyAlignment="0" applyProtection="0"/>
    <xf numFmtId="169" fontId="58" fillId="0" borderId="44" applyNumberFormat="0" applyFill="0" applyAlignment="0" applyProtection="0"/>
    <xf numFmtId="0"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9"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9"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9"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9" fontId="58" fillId="0" borderId="44" applyNumberFormat="0" applyFill="0" applyAlignment="0" applyProtection="0"/>
    <xf numFmtId="168" fontId="58" fillId="0" borderId="44" applyNumberFormat="0" applyFill="0" applyAlignment="0" applyProtection="0"/>
    <xf numFmtId="0" fontId="58" fillId="0" borderId="44" applyNumberFormat="0" applyFill="0" applyAlignment="0" applyProtection="0"/>
    <xf numFmtId="0" fontId="59" fillId="0" borderId="45" applyNumberFormat="0" applyFill="0" applyAlignment="0" applyProtection="0"/>
    <xf numFmtId="169" fontId="59" fillId="0" borderId="45" applyNumberFormat="0" applyFill="0" applyAlignment="0" applyProtection="0"/>
    <xf numFmtId="0"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9"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9"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9"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9" fontId="59" fillId="0" borderId="45" applyNumberFormat="0" applyFill="0" applyAlignment="0" applyProtection="0"/>
    <xf numFmtId="168" fontId="59" fillId="0" borderId="45" applyNumberFormat="0" applyFill="0" applyAlignment="0" applyProtection="0"/>
    <xf numFmtId="0" fontId="59" fillId="0" borderId="45" applyNumberFormat="0" applyFill="0" applyAlignment="0" applyProtection="0"/>
    <xf numFmtId="0" fontId="60" fillId="0" borderId="46" applyNumberFormat="0" applyFill="0" applyAlignment="0" applyProtection="0"/>
    <xf numFmtId="169" fontId="60" fillId="0" borderId="46" applyNumberFormat="0" applyFill="0" applyAlignment="0" applyProtection="0"/>
    <xf numFmtId="0" fontId="60" fillId="0" borderId="46" applyNumberFormat="0" applyFill="0" applyAlignment="0" applyProtection="0"/>
    <xf numFmtId="168" fontId="60" fillId="0" borderId="46" applyNumberFormat="0" applyFill="0" applyAlignment="0" applyProtection="0"/>
    <xf numFmtId="0" fontId="60" fillId="0" borderId="46" applyNumberFormat="0" applyFill="0" applyAlignment="0" applyProtection="0"/>
    <xf numFmtId="168" fontId="60" fillId="0" borderId="46" applyNumberFormat="0" applyFill="0" applyAlignment="0" applyProtection="0"/>
    <xf numFmtId="0" fontId="60" fillId="0" borderId="46" applyNumberFormat="0" applyFill="0" applyAlignment="0" applyProtection="0"/>
    <xf numFmtId="0" fontId="60" fillId="0" borderId="46" applyNumberFormat="0" applyFill="0" applyAlignment="0" applyProtection="0"/>
    <xf numFmtId="168" fontId="60" fillId="0" borderId="46" applyNumberFormat="0" applyFill="0" applyAlignment="0" applyProtection="0"/>
    <xf numFmtId="169" fontId="60" fillId="0" borderId="46" applyNumberFormat="0" applyFill="0" applyAlignment="0" applyProtection="0"/>
    <xf numFmtId="168" fontId="60" fillId="0" borderId="46" applyNumberFormat="0" applyFill="0" applyAlignment="0" applyProtection="0"/>
    <xf numFmtId="168" fontId="60" fillId="0" borderId="46" applyNumberFormat="0" applyFill="0" applyAlignment="0" applyProtection="0"/>
    <xf numFmtId="169" fontId="60" fillId="0" borderId="46" applyNumberFormat="0" applyFill="0" applyAlignment="0" applyProtection="0"/>
    <xf numFmtId="168" fontId="60" fillId="0" borderId="46" applyNumberFormat="0" applyFill="0" applyAlignment="0" applyProtection="0"/>
    <xf numFmtId="168" fontId="60" fillId="0" borderId="46" applyNumberFormat="0" applyFill="0" applyAlignment="0" applyProtection="0"/>
    <xf numFmtId="169" fontId="60" fillId="0" borderId="46" applyNumberFormat="0" applyFill="0" applyAlignment="0" applyProtection="0"/>
    <xf numFmtId="168" fontId="60" fillId="0" borderId="46" applyNumberFormat="0" applyFill="0" applyAlignment="0" applyProtection="0"/>
    <xf numFmtId="168" fontId="60" fillId="0" borderId="46" applyNumberFormat="0" applyFill="0" applyAlignment="0" applyProtection="0"/>
    <xf numFmtId="169" fontId="60" fillId="0" borderId="46" applyNumberFormat="0" applyFill="0" applyAlignment="0" applyProtection="0"/>
    <xf numFmtId="168" fontId="60" fillId="0" borderId="46" applyNumberFormat="0" applyFill="0" applyAlignment="0" applyProtection="0"/>
    <xf numFmtId="0" fontId="60" fillId="0" borderId="46"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1" applyNumberFormat="0" applyAlignment="0" applyProtection="0"/>
    <xf numFmtId="0" fontId="70" fillId="8" borderId="35"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168" fontId="71"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168" fontId="71"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169" fontId="71"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5"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5"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5"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5"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5"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5"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5"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168" fontId="71" fillId="43" borderId="41" applyNumberFormat="0" applyAlignment="0" applyProtection="0"/>
    <xf numFmtId="169" fontId="71" fillId="43" borderId="41" applyNumberFormat="0" applyAlignment="0" applyProtection="0"/>
    <xf numFmtId="168" fontId="71" fillId="43" borderId="41" applyNumberFormat="0" applyAlignment="0" applyProtection="0"/>
    <xf numFmtId="168" fontId="71" fillId="43" borderId="41" applyNumberFormat="0" applyAlignment="0" applyProtection="0"/>
    <xf numFmtId="169" fontId="71" fillId="43" borderId="41" applyNumberFormat="0" applyAlignment="0" applyProtection="0"/>
    <xf numFmtId="168" fontId="71" fillId="43" borderId="41" applyNumberFormat="0" applyAlignment="0" applyProtection="0"/>
    <xf numFmtId="168" fontId="71" fillId="43" borderId="41" applyNumberFormat="0" applyAlignment="0" applyProtection="0"/>
    <xf numFmtId="169" fontId="71" fillId="43" borderId="41" applyNumberFormat="0" applyAlignment="0" applyProtection="0"/>
    <xf numFmtId="168" fontId="71" fillId="43" borderId="41" applyNumberFormat="0" applyAlignment="0" applyProtection="0"/>
    <xf numFmtId="168" fontId="71" fillId="43" borderId="41" applyNumberFormat="0" applyAlignment="0" applyProtection="0"/>
    <xf numFmtId="169" fontId="71" fillId="43" borderId="41" applyNumberFormat="0" applyAlignment="0" applyProtection="0"/>
    <xf numFmtId="168" fontId="71" fillId="43" borderId="41" applyNumberFormat="0" applyAlignment="0" applyProtection="0"/>
    <xf numFmtId="0" fontId="69" fillId="43" borderId="41"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7" applyNumberFormat="0" applyFill="0" applyAlignment="0" applyProtection="0"/>
    <xf numFmtId="0" fontId="73" fillId="0" borderId="37" applyNumberFormat="0" applyFill="0" applyAlignment="0" applyProtection="0"/>
    <xf numFmtId="168" fontId="74" fillId="0" borderId="47"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0" fontId="72" fillId="0" borderId="4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168" fontId="74" fillId="0" borderId="47"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168" fontId="74" fillId="0" borderId="47"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168" fontId="74" fillId="0" borderId="47"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168" fontId="74" fillId="0" borderId="47" applyNumberFormat="0" applyFill="0" applyAlignment="0" applyProtection="0"/>
    <xf numFmtId="0" fontId="72"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8"/>
    <xf numFmtId="169" fontId="29" fillId="0" borderId="48"/>
    <xf numFmtId="168" fontId="29"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49" applyNumberFormat="0" applyFont="0" applyAlignment="0" applyProtection="0"/>
    <xf numFmtId="0" fontId="31" fillId="11" borderId="3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1" fillId="11" borderId="3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1" fillId="11" borderId="3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168" fontId="2" fillId="0" borderId="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30" fillId="74" borderId="49" applyNumberFormat="0" applyFont="0" applyAlignment="0" applyProtection="0"/>
    <xf numFmtId="168" fontId="2" fillId="0" borderId="0"/>
    <xf numFmtId="0" fontId="30"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169" fontId="2" fillId="0" borderId="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2" fillId="0" borderId="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49" applyNumberFormat="0" applyFont="0" applyAlignment="0" applyProtection="0"/>
    <xf numFmtId="0" fontId="31" fillId="11" borderId="39" applyNumberFormat="0" applyFont="0" applyAlignment="0" applyProtection="0"/>
    <xf numFmtId="0" fontId="30" fillId="74" borderId="49" applyNumberFormat="0" applyFont="0" applyAlignment="0" applyProtection="0"/>
    <xf numFmtId="0" fontId="31" fillId="11" borderId="39" applyNumberFormat="0" applyFont="0" applyAlignment="0" applyProtection="0"/>
    <xf numFmtId="0" fontId="30" fillId="74" borderId="49"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49"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49" applyNumberFormat="0" applyFont="0" applyAlignment="0" applyProtection="0"/>
    <xf numFmtId="0" fontId="31" fillId="11" borderId="39" applyNumberFormat="0" applyFont="0" applyAlignment="0" applyProtection="0"/>
    <xf numFmtId="0" fontId="30" fillId="74" borderId="49" applyNumberFormat="0" applyFont="0" applyAlignment="0" applyProtection="0"/>
    <xf numFmtId="0" fontId="31" fillId="11" borderId="39" applyNumberFormat="0" applyFont="0" applyAlignment="0" applyProtection="0"/>
    <xf numFmtId="0" fontId="30" fillId="74" borderId="49"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49"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49" applyNumberFormat="0" applyFont="0" applyAlignment="0" applyProtection="0"/>
    <xf numFmtId="0" fontId="31" fillId="11" borderId="39" applyNumberFormat="0" applyFont="0" applyAlignment="0" applyProtection="0"/>
    <xf numFmtId="0" fontId="30" fillId="74" borderId="49" applyNumberFormat="0" applyFont="0" applyAlignment="0" applyProtection="0"/>
    <xf numFmtId="0" fontId="31" fillId="11" borderId="39" applyNumberFormat="0" applyFont="0" applyAlignment="0" applyProtection="0"/>
    <xf numFmtId="0" fontId="30" fillId="74" borderId="49"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49"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49" applyNumberFormat="0" applyFont="0" applyAlignment="0" applyProtection="0"/>
    <xf numFmtId="0" fontId="31" fillId="11" borderId="39" applyNumberFormat="0" applyFont="0" applyAlignment="0" applyProtection="0"/>
    <xf numFmtId="0" fontId="30" fillId="74" borderId="49" applyNumberFormat="0" applyFont="0" applyAlignment="0" applyProtection="0"/>
    <xf numFmtId="0" fontId="31" fillId="11" borderId="39" applyNumberFormat="0" applyFont="0" applyAlignment="0" applyProtection="0"/>
    <xf numFmtId="0" fontId="30" fillId="74" borderId="49"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49" applyNumberFormat="0" applyFont="0" applyAlignment="0" applyProtection="0"/>
    <xf numFmtId="0" fontId="31" fillId="11" borderId="3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1" fillId="11" borderId="3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0" applyNumberFormat="0" applyAlignment="0" applyProtection="0"/>
    <xf numFmtId="0" fontId="87" fillId="9" borderId="36"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168" fontId="88"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168" fontId="88"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169" fontId="88"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6"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6"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6"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6"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6"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6"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6"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168" fontId="88" fillId="64" borderId="50" applyNumberFormat="0" applyAlignment="0" applyProtection="0"/>
    <xf numFmtId="169" fontId="88" fillId="64" borderId="50" applyNumberFormat="0" applyAlignment="0" applyProtection="0"/>
    <xf numFmtId="168" fontId="88" fillId="64" borderId="50" applyNumberFormat="0" applyAlignment="0" applyProtection="0"/>
    <xf numFmtId="168" fontId="88" fillId="64" borderId="50" applyNumberFormat="0" applyAlignment="0" applyProtection="0"/>
    <xf numFmtId="169" fontId="88" fillId="64" borderId="50" applyNumberFormat="0" applyAlignment="0" applyProtection="0"/>
    <xf numFmtId="168" fontId="88" fillId="64" borderId="50" applyNumberFormat="0" applyAlignment="0" applyProtection="0"/>
    <xf numFmtId="168" fontId="88" fillId="64" borderId="50" applyNumberFormat="0" applyAlignment="0" applyProtection="0"/>
    <xf numFmtId="169" fontId="88" fillId="64" borderId="50" applyNumberFormat="0" applyAlignment="0" applyProtection="0"/>
    <xf numFmtId="168" fontId="88" fillId="64" borderId="50" applyNumberFormat="0" applyAlignment="0" applyProtection="0"/>
    <xf numFmtId="168" fontId="88" fillId="64" borderId="50" applyNumberFormat="0" applyAlignment="0" applyProtection="0"/>
    <xf numFmtId="169" fontId="88" fillId="64" borderId="50" applyNumberFormat="0" applyAlignment="0" applyProtection="0"/>
    <xf numFmtId="168" fontId="88" fillId="64" borderId="50" applyNumberFormat="0" applyAlignment="0" applyProtection="0"/>
    <xf numFmtId="0" fontId="86" fillId="64" borderId="50"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1" applyNumberFormat="0" applyFill="0" applyAlignment="0" applyProtection="0"/>
    <xf numFmtId="0" fontId="6" fillId="0" borderId="40"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168" fontId="97"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168" fontId="97"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169" fontId="97"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40"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40"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40"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40"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40"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40"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40"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168" fontId="97" fillId="0" borderId="51" applyNumberFormat="0" applyFill="0" applyAlignment="0" applyProtection="0"/>
    <xf numFmtId="169" fontId="97" fillId="0" borderId="51" applyNumberFormat="0" applyFill="0" applyAlignment="0" applyProtection="0"/>
    <xf numFmtId="168" fontId="97" fillId="0" borderId="51" applyNumberFormat="0" applyFill="0" applyAlignment="0" applyProtection="0"/>
    <xf numFmtId="168" fontId="97" fillId="0" borderId="51" applyNumberFormat="0" applyFill="0" applyAlignment="0" applyProtection="0"/>
    <xf numFmtId="169" fontId="97" fillId="0" borderId="51" applyNumberFormat="0" applyFill="0" applyAlignment="0" applyProtection="0"/>
    <xf numFmtId="168" fontId="97" fillId="0" borderId="51" applyNumberFormat="0" applyFill="0" applyAlignment="0" applyProtection="0"/>
    <xf numFmtId="168" fontId="97" fillId="0" borderId="51" applyNumberFormat="0" applyFill="0" applyAlignment="0" applyProtection="0"/>
    <xf numFmtId="169" fontId="97" fillId="0" borderId="51" applyNumberFormat="0" applyFill="0" applyAlignment="0" applyProtection="0"/>
    <xf numFmtId="168" fontId="97" fillId="0" borderId="51" applyNumberFormat="0" applyFill="0" applyAlignment="0" applyProtection="0"/>
    <xf numFmtId="168" fontId="97" fillId="0" borderId="51" applyNumberFormat="0" applyFill="0" applyAlignment="0" applyProtection="0"/>
    <xf numFmtId="169" fontId="97" fillId="0" borderId="51" applyNumberFormat="0" applyFill="0" applyAlignment="0" applyProtection="0"/>
    <xf numFmtId="168" fontId="97" fillId="0" borderId="51" applyNumberFormat="0" applyFill="0" applyAlignment="0" applyProtection="0"/>
    <xf numFmtId="0" fontId="50" fillId="0" borderId="51" applyNumberFormat="0" applyFill="0" applyAlignment="0" applyProtection="0"/>
    <xf numFmtId="0" fontId="28" fillId="0" borderId="52"/>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87" applyNumberFormat="0" applyFill="0" applyAlignment="0" applyProtection="0"/>
    <xf numFmtId="168" fontId="97" fillId="0" borderId="87" applyNumberFormat="0" applyFill="0" applyAlignment="0" applyProtection="0"/>
    <xf numFmtId="169" fontId="97" fillId="0" borderId="87" applyNumberFormat="0" applyFill="0" applyAlignment="0" applyProtection="0"/>
    <xf numFmtId="168" fontId="97" fillId="0" borderId="87" applyNumberFormat="0" applyFill="0" applyAlignment="0" applyProtection="0"/>
    <xf numFmtId="168" fontId="97" fillId="0" borderId="87" applyNumberFormat="0" applyFill="0" applyAlignment="0" applyProtection="0"/>
    <xf numFmtId="169" fontId="97" fillId="0" borderId="87" applyNumberFormat="0" applyFill="0" applyAlignment="0" applyProtection="0"/>
    <xf numFmtId="168" fontId="97" fillId="0" borderId="87" applyNumberFormat="0" applyFill="0" applyAlignment="0" applyProtection="0"/>
    <xf numFmtId="168" fontId="97" fillId="0" borderId="87" applyNumberFormat="0" applyFill="0" applyAlignment="0" applyProtection="0"/>
    <xf numFmtId="169" fontId="97" fillId="0" borderId="87" applyNumberFormat="0" applyFill="0" applyAlignment="0" applyProtection="0"/>
    <xf numFmtId="168" fontId="97" fillId="0" borderId="87" applyNumberFormat="0" applyFill="0" applyAlignment="0" applyProtection="0"/>
    <xf numFmtId="168" fontId="97" fillId="0" borderId="87" applyNumberFormat="0" applyFill="0" applyAlignment="0" applyProtection="0"/>
    <xf numFmtId="169" fontId="97" fillId="0" borderId="87" applyNumberFormat="0" applyFill="0" applyAlignment="0" applyProtection="0"/>
    <xf numFmtId="168" fontId="97"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169" fontId="97"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168" fontId="97"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168" fontId="97"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0" fontId="50" fillId="0" borderId="87" applyNumberFormat="0" applyFill="0" applyAlignment="0" applyProtection="0"/>
    <xf numFmtId="188" fontId="2" fillId="70" borderId="82" applyFont="0">
      <alignment horizontal="right" vertical="center"/>
    </xf>
    <xf numFmtId="3" fontId="2" fillId="70" borderId="82" applyFont="0">
      <alignment horizontal="right" vertical="center"/>
    </xf>
    <xf numFmtId="0" fontId="86" fillId="64" borderId="86" applyNumberFormat="0" applyAlignment="0" applyProtection="0"/>
    <xf numFmtId="168" fontId="88" fillId="64" borderId="86" applyNumberFormat="0" applyAlignment="0" applyProtection="0"/>
    <xf numFmtId="169" fontId="88" fillId="64" borderId="86" applyNumberFormat="0" applyAlignment="0" applyProtection="0"/>
    <xf numFmtId="168" fontId="88" fillId="64" borderId="86" applyNumberFormat="0" applyAlignment="0" applyProtection="0"/>
    <xf numFmtId="168" fontId="88" fillId="64" borderId="86" applyNumberFormat="0" applyAlignment="0" applyProtection="0"/>
    <xf numFmtId="169" fontId="88" fillId="64" borderId="86" applyNumberFormat="0" applyAlignment="0" applyProtection="0"/>
    <xf numFmtId="168" fontId="88" fillId="64" borderId="86" applyNumberFormat="0" applyAlignment="0" applyProtection="0"/>
    <xf numFmtId="168" fontId="88" fillId="64" borderId="86" applyNumberFormat="0" applyAlignment="0" applyProtection="0"/>
    <xf numFmtId="169" fontId="88" fillId="64" borderId="86" applyNumberFormat="0" applyAlignment="0" applyProtection="0"/>
    <xf numFmtId="168" fontId="88" fillId="64" borderId="86" applyNumberFormat="0" applyAlignment="0" applyProtection="0"/>
    <xf numFmtId="168" fontId="88" fillId="64" borderId="86" applyNumberFormat="0" applyAlignment="0" applyProtection="0"/>
    <xf numFmtId="169" fontId="88" fillId="64" borderId="86" applyNumberFormat="0" applyAlignment="0" applyProtection="0"/>
    <xf numFmtId="168" fontId="88"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169" fontId="88"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168" fontId="88"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168" fontId="88"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0" fontId="86" fillId="64" borderId="86" applyNumberFormat="0" applyAlignment="0" applyProtection="0"/>
    <xf numFmtId="3" fontId="2" fillId="75" borderId="82" applyFont="0">
      <alignment horizontal="right" vertical="center"/>
      <protection locked="0"/>
    </xf>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2"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2" fillId="74" borderId="85" applyNumberFormat="0" applyFont="0" applyAlignment="0" applyProtection="0"/>
    <xf numFmtId="0" fontId="30" fillId="74" borderId="85" applyNumberFormat="0" applyFont="0" applyAlignment="0" applyProtection="0"/>
    <xf numFmtId="0" fontId="2" fillId="74" borderId="85" applyNumberFormat="0" applyFont="0" applyAlignment="0" applyProtection="0"/>
    <xf numFmtId="0" fontId="2"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2"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0" fontId="30" fillId="74" borderId="85" applyNumberFormat="0" applyFont="0" applyAlignment="0" applyProtection="0"/>
    <xf numFmtId="3" fontId="2" fillId="72" borderId="82" applyFont="0">
      <alignment horizontal="right" vertical="center"/>
      <protection locked="0"/>
    </xf>
    <xf numFmtId="0" fontId="69" fillId="43" borderId="84" applyNumberFormat="0" applyAlignment="0" applyProtection="0"/>
    <xf numFmtId="168" fontId="71" fillId="43" borderId="84" applyNumberFormat="0" applyAlignment="0" applyProtection="0"/>
    <xf numFmtId="169" fontId="71" fillId="43" borderId="84" applyNumberFormat="0" applyAlignment="0" applyProtection="0"/>
    <xf numFmtId="168" fontId="71" fillId="43" borderId="84" applyNumberFormat="0" applyAlignment="0" applyProtection="0"/>
    <xf numFmtId="168" fontId="71" fillId="43" borderId="84" applyNumberFormat="0" applyAlignment="0" applyProtection="0"/>
    <xf numFmtId="169" fontId="71" fillId="43" borderId="84" applyNumberFormat="0" applyAlignment="0" applyProtection="0"/>
    <xf numFmtId="168" fontId="71" fillId="43" borderId="84" applyNumberFormat="0" applyAlignment="0" applyProtection="0"/>
    <xf numFmtId="168" fontId="71" fillId="43" borderId="84" applyNumberFormat="0" applyAlignment="0" applyProtection="0"/>
    <xf numFmtId="169" fontId="71" fillId="43" borderId="84" applyNumberFormat="0" applyAlignment="0" applyProtection="0"/>
    <xf numFmtId="168" fontId="71" fillId="43" borderId="84" applyNumberFormat="0" applyAlignment="0" applyProtection="0"/>
    <xf numFmtId="168" fontId="71" fillId="43" borderId="84" applyNumberFormat="0" applyAlignment="0" applyProtection="0"/>
    <xf numFmtId="169" fontId="71" fillId="43" borderId="84" applyNumberFormat="0" applyAlignment="0" applyProtection="0"/>
    <xf numFmtId="168" fontId="71"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169" fontId="71"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168" fontId="71"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168" fontId="71"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69" fillId="43" borderId="84" applyNumberFormat="0" applyAlignment="0" applyProtection="0"/>
    <xf numFmtId="0" fontId="2" fillId="71" borderId="83" applyNumberFormat="0" applyFont="0" applyBorder="0" applyProtection="0">
      <alignment horizontal="left" vertical="center"/>
    </xf>
    <xf numFmtId="9" fontId="2" fillId="71" borderId="82" applyFont="0" applyProtection="0">
      <alignment horizontal="right" vertical="center"/>
    </xf>
    <xf numFmtId="3" fontId="2" fillId="71" borderId="82" applyFont="0" applyProtection="0">
      <alignment horizontal="right" vertical="center"/>
    </xf>
    <xf numFmtId="0" fontId="65" fillId="70" borderId="83" applyFont="0" applyBorder="0">
      <alignment horizontal="center" wrapText="1"/>
    </xf>
    <xf numFmtId="168" fontId="57" fillId="0" borderId="80">
      <alignment horizontal="left" vertical="center"/>
    </xf>
    <xf numFmtId="0" fontId="57" fillId="0" borderId="80">
      <alignment horizontal="left" vertical="center"/>
    </xf>
    <xf numFmtId="0" fontId="57" fillId="0" borderId="80">
      <alignment horizontal="left" vertical="center"/>
    </xf>
    <xf numFmtId="0" fontId="2" fillId="69" borderId="82" applyNumberFormat="0" applyFont="0" applyBorder="0" applyProtection="0">
      <alignment horizontal="center" vertical="center"/>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41" fillId="64" borderId="84" applyNumberFormat="0" applyAlignment="0" applyProtection="0"/>
    <xf numFmtId="168" fontId="43" fillId="64" borderId="84" applyNumberFormat="0" applyAlignment="0" applyProtection="0"/>
    <xf numFmtId="169" fontId="43" fillId="64" borderId="84" applyNumberFormat="0" applyAlignment="0" applyProtection="0"/>
    <xf numFmtId="168" fontId="43" fillId="64" borderId="84" applyNumberFormat="0" applyAlignment="0" applyProtection="0"/>
    <xf numFmtId="168" fontId="43" fillId="64" borderId="84" applyNumberFormat="0" applyAlignment="0" applyProtection="0"/>
    <xf numFmtId="169" fontId="43" fillId="64" borderId="84" applyNumberFormat="0" applyAlignment="0" applyProtection="0"/>
    <xf numFmtId="168" fontId="43" fillId="64" borderId="84" applyNumberFormat="0" applyAlignment="0" applyProtection="0"/>
    <xf numFmtId="168" fontId="43" fillId="64" borderId="84" applyNumberFormat="0" applyAlignment="0" applyProtection="0"/>
    <xf numFmtId="169" fontId="43" fillId="64" borderId="84" applyNumberFormat="0" applyAlignment="0" applyProtection="0"/>
    <xf numFmtId="168" fontId="43" fillId="64" borderId="84" applyNumberFormat="0" applyAlignment="0" applyProtection="0"/>
    <xf numFmtId="168" fontId="43" fillId="64" borderId="84" applyNumberFormat="0" applyAlignment="0" applyProtection="0"/>
    <xf numFmtId="169" fontId="43" fillId="64" borderId="84" applyNumberFormat="0" applyAlignment="0" applyProtection="0"/>
    <xf numFmtId="168" fontId="43"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169" fontId="43"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168" fontId="43"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168" fontId="43"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41" fillId="64" borderId="84" applyNumberFormat="0" applyAlignment="0" applyProtection="0"/>
    <xf numFmtId="0" fontId="1" fillId="0" borderId="0"/>
    <xf numFmtId="169" fontId="29" fillId="37" borderId="0"/>
  </cellStyleXfs>
  <cellXfs count="53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12" fillId="0" borderId="0" xfId="0" applyFont="1" applyBorder="1"/>
    <xf numFmtId="0" fontId="12" fillId="0" borderId="0" xfId="0" applyFont="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4" xfId="0" applyFont="1" applyBorder="1" applyAlignment="1">
      <alignment wrapText="1"/>
    </xf>
    <xf numFmtId="0" fontId="26"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6" fillId="0" borderId="12" xfId="0" applyFont="1" applyBorder="1" applyAlignment="1">
      <alignment wrapText="1"/>
    </xf>
    <xf numFmtId="0" fontId="20" fillId="0" borderId="12" xfId="0" applyFont="1" applyBorder="1" applyAlignment="1">
      <alignment horizontal="right" wrapText="1"/>
    </xf>
    <xf numFmtId="0" fontId="25" fillId="36" borderId="15" xfId="0" applyFont="1" applyFill="1" applyBorder="1" applyAlignment="1">
      <alignment wrapText="1"/>
    </xf>
    <xf numFmtId="0" fontId="4" fillId="0" borderId="21"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4" xfId="0" applyFont="1" applyFill="1" applyBorder="1" applyAlignment="1">
      <alignment horizontal="right" vertical="center"/>
    </xf>
    <xf numFmtId="0" fontId="21" fillId="0" borderId="18" xfId="0" applyFont="1" applyFill="1" applyBorder="1" applyAlignment="1">
      <alignment horizontal="left" vertical="center" indent="1"/>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indent="1"/>
    </xf>
    <xf numFmtId="0" fontId="21" fillId="0" borderId="22" xfId="0" applyFont="1" applyFill="1" applyBorder="1" applyAlignment="1">
      <alignment horizontal="center" vertical="center" wrapText="1"/>
    </xf>
    <xf numFmtId="0" fontId="21" fillId="0" borderId="21" xfId="0" applyFont="1" applyFill="1" applyBorder="1" applyAlignment="1">
      <alignment horizontal="left" indent="1"/>
    </xf>
    <xf numFmtId="38" fontId="21" fillId="0" borderId="22" xfId="0" applyNumberFormat="1" applyFont="1" applyFill="1" applyBorder="1" applyAlignment="1" applyProtection="1">
      <alignment horizontal="right"/>
      <protection locked="0"/>
    </xf>
    <xf numFmtId="0" fontId="21" fillId="0" borderId="24" xfId="0" applyFont="1" applyFill="1" applyBorder="1" applyAlignment="1">
      <alignment horizontal="left" vertical="center" indent="1"/>
    </xf>
    <xf numFmtId="0" fontId="22" fillId="0" borderId="25" xfId="0" applyFont="1" applyFill="1" applyBorder="1" applyAlignment="1"/>
    <xf numFmtId="0" fontId="4" fillId="0" borderId="57" xfId="0" applyFont="1" applyBorder="1"/>
    <xf numFmtId="0" fontId="23" fillId="0" borderId="24" xfId="0" applyFont="1" applyBorder="1" applyAlignment="1">
      <alignment horizontal="center" vertical="center" wrapText="1"/>
    </xf>
    <xf numFmtId="0" fontId="23" fillId="0" borderId="25" xfId="0" applyFont="1" applyBorder="1" applyAlignment="1">
      <alignment vertical="center" wrapText="1"/>
    </xf>
    <xf numFmtId="0" fontId="4" fillId="0" borderId="58"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6" fillId="0" borderId="21" xfId="0" applyFont="1" applyBorder="1" applyAlignment="1">
      <alignment horizontal="center"/>
    </xf>
    <xf numFmtId="167" fontId="26" fillId="0" borderId="66" xfId="0" applyNumberFormat="1" applyFont="1" applyBorder="1" applyAlignment="1">
      <alignment horizontal="center"/>
    </xf>
    <xf numFmtId="167" fontId="26" fillId="0" borderId="64" xfId="0" applyNumberFormat="1" applyFont="1" applyBorder="1" applyAlignment="1">
      <alignment horizontal="center"/>
    </xf>
    <xf numFmtId="167" fontId="20" fillId="0" borderId="64" xfId="0" applyNumberFormat="1" applyFont="1" applyBorder="1" applyAlignment="1">
      <alignment horizontal="center"/>
    </xf>
    <xf numFmtId="167" fontId="26" fillId="0" borderId="67" xfId="0" applyNumberFormat="1" applyFont="1" applyBorder="1" applyAlignment="1">
      <alignment horizontal="center"/>
    </xf>
    <xf numFmtId="167" fontId="25" fillId="36" borderId="59" xfId="0" applyNumberFormat="1" applyFont="1" applyFill="1" applyBorder="1" applyAlignment="1">
      <alignment horizontal="center"/>
    </xf>
    <xf numFmtId="167" fontId="26" fillId="0" borderId="63" xfId="0" applyNumberFormat="1" applyFont="1" applyBorder="1" applyAlignment="1">
      <alignment horizontal="center"/>
    </xf>
    <xf numFmtId="0" fontId="26" fillId="0" borderId="24" xfId="0" applyFont="1" applyBorder="1" applyAlignment="1">
      <alignment horizontal="center"/>
    </xf>
    <xf numFmtId="0" fontId="25" fillId="36" borderId="60" xfId="0" applyFont="1" applyFill="1" applyBorder="1" applyAlignment="1">
      <alignment wrapText="1"/>
    </xf>
    <xf numFmtId="167" fontId="25" fillId="36" borderId="62"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7" xfId="0" applyFont="1" applyBorder="1" applyAlignment="1">
      <alignment horizontal="center"/>
    </xf>
    <xf numFmtId="0" fontId="4" fillId="0" borderId="5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0" fillId="0" borderId="0" xfId="0" applyAlignment="1"/>
    <xf numFmtId="0" fontId="1" fillId="0" borderId="0" xfId="0" applyFont="1"/>
    <xf numFmtId="0" fontId="107" fillId="0" borderId="0" xfId="0" applyFont="1" applyBorder="1" applyAlignment="1">
      <alignment wrapTex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1"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2"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69"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0" borderId="3" xfId="0" applyFont="1" applyFill="1" applyBorder="1" applyAlignment="1">
      <alignment vertical="center" wrapText="1"/>
    </xf>
    <xf numFmtId="167" fontId="19" fillId="76" borderId="64" xfId="0" applyNumberFormat="1" applyFont="1" applyFill="1" applyBorder="1" applyAlignment="1">
      <alignment horizontal="center"/>
    </xf>
    <xf numFmtId="193" fontId="4" fillId="0" borderId="3" xfId="0" applyNumberFormat="1" applyFont="1" applyFill="1" applyBorder="1" applyAlignment="1" applyProtection="1">
      <alignment vertical="center" wrapText="1"/>
      <protection locked="0"/>
    </xf>
    <xf numFmtId="193" fontId="4" fillId="0" borderId="22"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8" fillId="2" borderId="3" xfId="0" applyNumberFormat="1" applyFont="1" applyFill="1" applyBorder="1" applyAlignment="1" applyProtection="1">
      <alignment vertical="center"/>
      <protection locked="0"/>
    </xf>
    <xf numFmtId="193" fontId="18" fillId="2" borderId="22" xfId="0" applyNumberFormat="1" applyFont="1" applyFill="1" applyBorder="1" applyAlignment="1" applyProtection="1">
      <alignment vertical="center"/>
      <protection locked="0"/>
    </xf>
    <xf numFmtId="193" fontId="9" fillId="2" borderId="25" xfId="0" applyNumberFormat="1" applyFont="1" applyFill="1" applyBorder="1" applyAlignment="1" applyProtection="1">
      <alignment vertical="center"/>
      <protection locked="0"/>
    </xf>
    <xf numFmtId="193" fontId="18" fillId="2" borderId="25" xfId="0" applyNumberFormat="1" applyFont="1" applyFill="1" applyBorder="1" applyAlignment="1" applyProtection="1">
      <alignment vertical="center"/>
      <protection locked="0"/>
    </xf>
    <xf numFmtId="193" fontId="18"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2"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2"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4" fillId="36" borderId="25" xfId="0" applyNumberFormat="1" applyFont="1" applyFill="1" applyBorder="1" applyAlignment="1">
      <alignment vertical="center" wrapText="1"/>
    </xf>
    <xf numFmtId="3" fontId="24"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6" fillId="0" borderId="13" xfId="0" applyNumberFormat="1" applyFont="1" applyBorder="1" applyAlignment="1">
      <alignment vertical="center"/>
    </xf>
    <xf numFmtId="193" fontId="20" fillId="0" borderId="13" xfId="0" applyNumberFormat="1" applyFont="1" applyBorder="1" applyAlignment="1">
      <alignment vertical="center"/>
    </xf>
    <xf numFmtId="193" fontId="26" fillId="0" borderId="14" xfId="0" applyNumberFormat="1" applyFont="1" applyBorder="1" applyAlignment="1">
      <alignment vertical="center"/>
    </xf>
    <xf numFmtId="193" fontId="25" fillId="36" borderId="16" xfId="0" applyNumberFormat="1" applyFont="1" applyFill="1" applyBorder="1" applyAlignment="1">
      <alignment vertical="center"/>
    </xf>
    <xf numFmtId="193" fontId="26" fillId="0" borderId="17" xfId="0" applyNumberFormat="1" applyFont="1" applyBorder="1" applyAlignment="1">
      <alignment vertical="center"/>
    </xf>
    <xf numFmtId="193" fontId="20" fillId="0" borderId="14" xfId="0" applyNumberFormat="1" applyFont="1" applyBorder="1" applyAlignment="1">
      <alignment vertical="center"/>
    </xf>
    <xf numFmtId="193" fontId="25" fillId="36" borderId="61" xfId="0" applyNumberFormat="1" applyFont="1" applyFill="1" applyBorder="1" applyAlignment="1">
      <alignment vertical="center"/>
    </xf>
    <xf numFmtId="193" fontId="26" fillId="36" borderId="13" xfId="0" applyNumberFormat="1" applyFont="1" applyFill="1" applyBorder="1" applyAlignment="1">
      <alignment vertical="center"/>
    </xf>
    <xf numFmtId="193" fontId="4" fillId="36" borderId="25" xfId="0" applyNumberFormat="1" applyFont="1" applyFill="1" applyBorder="1"/>
    <xf numFmtId="193" fontId="4" fillId="36" borderId="54"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5"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6" fillId="0" borderId="0" xfId="0" applyNumberFormat="1" applyFont="1"/>
    <xf numFmtId="0" fontId="4" fillId="0" borderId="29" xfId="0" applyFont="1" applyBorder="1" applyAlignment="1">
      <alignment horizontal="center" vertical="center"/>
    </xf>
    <xf numFmtId="0" fontId="4" fillId="0" borderId="29"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9" fontId="4" fillId="36" borderId="26" xfId="20961" applyFont="1" applyFill="1" applyBorder="1"/>
    <xf numFmtId="167" fontId="6" fillId="36" borderId="25"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0" fontId="7" fillId="0" borderId="19" xfId="0" applyFont="1" applyFill="1" applyBorder="1" applyAlignment="1">
      <alignment horizontal="left" vertical="center" wrapText="1" inden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169" fontId="29" fillId="37" borderId="0" xfId="20" applyBorder="1"/>
    <xf numFmtId="169" fontId="29" fillId="37" borderId="75" xfId="20" applyBorder="1"/>
    <xf numFmtId="193" fontId="9" fillId="2" borderId="22" xfId="0" applyNumberFormat="1" applyFont="1" applyFill="1" applyBorder="1" applyAlignment="1" applyProtection="1">
      <alignment vertical="center"/>
      <protection locked="0"/>
    </xf>
    <xf numFmtId="0" fontId="15" fillId="0" borderId="21" xfId="0" applyFont="1" applyFill="1" applyBorder="1" applyAlignment="1">
      <alignment horizontal="center" vertical="center" wrapText="1"/>
    </xf>
    <xf numFmtId="0" fontId="4" fillId="0" borderId="7" xfId="0" applyFont="1" applyFill="1" applyBorder="1" applyAlignment="1">
      <alignment vertical="center"/>
    </xf>
    <xf numFmtId="0" fontId="4" fillId="0" borderId="19" xfId="0" applyFont="1" applyFill="1" applyBorder="1" applyAlignment="1">
      <alignment vertical="center"/>
    </xf>
    <xf numFmtId="0" fontId="4" fillId="0" borderId="77" xfId="0" applyFont="1" applyFill="1" applyBorder="1" applyAlignment="1">
      <alignment vertical="center"/>
    </xf>
    <xf numFmtId="0" fontId="4" fillId="0" borderId="79" xfId="0" applyFont="1" applyFill="1" applyBorder="1" applyAlignment="1">
      <alignment vertical="center"/>
    </xf>
    <xf numFmtId="0" fontId="4" fillId="0" borderId="18"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91" xfId="0" applyFont="1" applyFill="1" applyBorder="1" applyAlignment="1">
      <alignment horizontal="center" vertical="center"/>
    </xf>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2" xfId="0" applyFont="1" applyFill="1" applyBorder="1" applyAlignment="1">
      <alignment horizontal="center" vertical="center"/>
    </xf>
    <xf numFmtId="0" fontId="4" fillId="3" borderId="80" xfId="0" applyFont="1" applyFill="1" applyBorder="1" applyAlignment="1">
      <alignment vertical="center"/>
    </xf>
    <xf numFmtId="0" fontId="14" fillId="3" borderId="93" xfId="0" applyFont="1" applyFill="1" applyBorder="1" applyAlignment="1">
      <alignment horizontal="left"/>
    </xf>
    <xf numFmtId="0" fontId="14" fillId="3" borderId="94" xfId="0" applyFont="1" applyFill="1" applyBorder="1" applyAlignment="1">
      <alignment horizontal="left"/>
    </xf>
    <xf numFmtId="0" fontId="4" fillId="0" borderId="0" xfId="0" applyFont="1"/>
    <xf numFmtId="0" fontId="4" fillId="0" borderId="0" xfId="0" applyFont="1" applyFill="1"/>
    <xf numFmtId="0" fontId="6" fillId="3" borderId="96" xfId="0" applyFont="1" applyFill="1" applyBorder="1" applyAlignment="1">
      <alignment vertical="center"/>
    </xf>
    <xf numFmtId="0" fontId="4" fillId="0" borderId="97" xfId="0" applyFont="1" applyFill="1" applyBorder="1" applyAlignment="1">
      <alignment horizontal="center" vertical="center"/>
    </xf>
    <xf numFmtId="0" fontId="6" fillId="0" borderId="25" xfId="0" applyFont="1" applyFill="1" applyBorder="1" applyAlignment="1">
      <alignment vertical="center"/>
    </xf>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97" xfId="0" applyBorder="1"/>
    <xf numFmtId="0" fontId="0" fillId="0" borderId="97" xfId="0" applyBorder="1" applyAlignment="1">
      <alignment horizontal="center"/>
    </xf>
    <xf numFmtId="0" fontId="4" fillId="0" borderId="81" xfId="0" applyFont="1" applyBorder="1" applyAlignment="1">
      <alignment vertical="center" wrapText="1"/>
    </xf>
    <xf numFmtId="0" fontId="14" fillId="0" borderId="81" xfId="0" applyFont="1" applyBorder="1" applyAlignment="1">
      <alignment vertical="center" wrapText="1"/>
    </xf>
    <xf numFmtId="0" fontId="0" fillId="0" borderId="24" xfId="0" applyBorder="1"/>
    <xf numFmtId="0" fontId="6" fillId="36" borderId="98" xfId="0" applyFont="1" applyFill="1" applyBorder="1" applyAlignment="1">
      <alignment vertical="center" wrapText="1"/>
    </xf>
    <xf numFmtId="167" fontId="6" fillId="36" borderId="26" xfId="0" applyNumberFormat="1" applyFont="1" applyFill="1" applyBorder="1" applyAlignment="1">
      <alignment horizontal="center" vertical="center"/>
    </xf>
    <xf numFmtId="0" fontId="7" fillId="0" borderId="0" xfId="0" applyFont="1" applyFill="1" applyAlignment="1">
      <alignment wrapText="1"/>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97" xfId="0" applyFont="1" applyFill="1" applyBorder="1" applyAlignment="1">
      <alignment horizontal="left" vertical="center" wrapText="1"/>
    </xf>
    <xf numFmtId="0" fontId="6" fillId="36" borderId="82" xfId="0" applyFont="1" applyFill="1" applyBorder="1" applyAlignment="1">
      <alignment horizontal="left" vertical="center" wrapText="1"/>
    </xf>
    <xf numFmtId="0" fontId="6" fillId="36" borderId="95" xfId="0" applyFont="1" applyFill="1" applyBorder="1" applyAlignment="1">
      <alignment horizontal="left" vertical="center" wrapText="1"/>
    </xf>
    <xf numFmtId="0" fontId="4" fillId="0" borderId="97" xfId="0" applyFont="1" applyFill="1" applyBorder="1" applyAlignment="1">
      <alignment horizontal="right" vertical="center" wrapText="1"/>
    </xf>
    <xf numFmtId="0" fontId="4" fillId="0" borderId="82" xfId="0" applyFont="1" applyFill="1" applyBorder="1" applyAlignment="1">
      <alignment horizontal="left" vertical="center" wrapText="1"/>
    </xf>
    <xf numFmtId="0" fontId="4" fillId="0" borderId="95" xfId="0" applyFont="1" applyFill="1" applyBorder="1" applyAlignment="1">
      <alignment horizontal="left" vertical="center" wrapText="1"/>
    </xf>
    <xf numFmtId="0" fontId="109" fillId="0" borderId="97" xfId="0" applyFont="1" applyFill="1" applyBorder="1" applyAlignment="1">
      <alignment horizontal="right" vertical="center" wrapText="1"/>
    </xf>
    <xf numFmtId="0" fontId="109" fillId="0" borderId="82" xfId="0" applyFont="1" applyFill="1" applyBorder="1" applyAlignment="1">
      <alignment horizontal="left" vertical="center" wrapText="1"/>
    </xf>
    <xf numFmtId="0" fontId="109" fillId="0" borderId="95" xfId="0" applyFont="1" applyFill="1" applyBorder="1" applyAlignment="1">
      <alignment horizontal="left" vertical="center" wrapText="1"/>
    </xf>
    <xf numFmtId="9" fontId="6" fillId="36" borderId="82" xfId="20961" applyFont="1" applyFill="1" applyBorder="1" applyAlignment="1">
      <alignment horizontal="left" vertical="center" wrapText="1"/>
    </xf>
    <xf numFmtId="0" fontId="6" fillId="36" borderId="82" xfId="0" applyFont="1" applyFill="1" applyBorder="1" applyAlignment="1">
      <alignment horizontal="center" vertical="center" wrapText="1"/>
    </xf>
    <xf numFmtId="0" fontId="6" fillId="36" borderId="95" xfId="0" applyFont="1" applyFill="1" applyBorder="1" applyAlignment="1">
      <alignment horizontal="center" vertical="center" wrapText="1"/>
    </xf>
    <xf numFmtId="0" fontId="6" fillId="0" borderId="97" xfId="0" applyFont="1" applyFill="1" applyBorder="1" applyAlignment="1">
      <alignment horizontal="left" vertical="center" wrapText="1"/>
    </xf>
    <xf numFmtId="9" fontId="109" fillId="0" borderId="82" xfId="20961" applyFont="1" applyFill="1" applyBorder="1" applyAlignment="1">
      <alignment horizontal="left" vertical="center" wrapText="1"/>
    </xf>
    <xf numFmtId="0" fontId="6" fillId="0" borderId="9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9" fillId="0" borderId="0" xfId="0" applyFont="1" applyFill="1" applyAlignment="1">
      <alignment horizontal="left" vertical="center"/>
    </xf>
    <xf numFmtId="49" fontId="110" fillId="0" borderId="24" xfId="5" applyNumberFormat="1" applyFont="1" applyFill="1" applyBorder="1" applyAlignment="1" applyProtection="1">
      <alignment horizontal="left" vertical="center"/>
      <protection locked="0"/>
    </xf>
    <xf numFmtId="0" fontId="111" fillId="0" borderId="25" xfId="9" applyFont="1" applyFill="1" applyBorder="1" applyAlignment="1" applyProtection="1">
      <alignment horizontal="left" vertical="center" wrapText="1"/>
      <protection locked="0"/>
    </xf>
    <xf numFmtId="9" fontId="111" fillId="0" borderId="25" xfId="20961" applyFont="1" applyFill="1" applyBorder="1" applyAlignment="1" applyProtection="1">
      <alignment horizontal="left" vertical="center"/>
    </xf>
    <xf numFmtId="37" fontId="7" fillId="0" borderId="26" xfId="1" applyNumberFormat="1" applyFont="1" applyFill="1" applyBorder="1" applyAlignment="1" applyProtection="1">
      <alignment horizontal="left" vertical="center"/>
    </xf>
    <xf numFmtId="0" fontId="23" fillId="0" borderId="97" xfId="0" applyFont="1" applyBorder="1" applyAlignment="1">
      <alignment horizontal="center" vertical="center" wrapText="1"/>
    </xf>
    <xf numFmtId="0" fontId="23" fillId="0" borderId="82" xfId="0" applyFont="1" applyBorder="1" applyAlignment="1">
      <alignment vertical="center" wrapText="1"/>
    </xf>
    <xf numFmtId="14" fontId="7" fillId="3" borderId="82" xfId="8" quotePrefix="1" applyNumberFormat="1" applyFont="1" applyFill="1" applyBorder="1" applyAlignment="1" applyProtection="1">
      <alignment horizontal="left" vertical="center" wrapText="1" indent="2"/>
      <protection locked="0"/>
    </xf>
    <xf numFmtId="3" fontId="24" fillId="0" borderId="82" xfId="0" applyNumberFormat="1" applyFont="1" applyBorder="1" applyAlignment="1">
      <alignment vertical="center" wrapText="1"/>
    </xf>
    <xf numFmtId="14" fontId="7" fillId="3" borderId="82" xfId="8" quotePrefix="1" applyNumberFormat="1" applyFont="1" applyFill="1" applyBorder="1" applyAlignment="1" applyProtection="1">
      <alignment horizontal="left" vertical="center" wrapText="1" indent="3"/>
      <protection locked="0"/>
    </xf>
    <xf numFmtId="3" fontId="24" fillId="0" borderId="82" xfId="0" applyNumberFormat="1" applyFont="1" applyFill="1" applyBorder="1" applyAlignment="1">
      <alignment vertical="center" wrapText="1"/>
    </xf>
    <xf numFmtId="0" fontId="23" fillId="0" borderId="82" xfId="0" applyFont="1" applyFill="1" applyBorder="1" applyAlignment="1">
      <alignment horizontal="left" vertical="center" wrapText="1" indent="2"/>
    </xf>
    <xf numFmtId="0" fontId="11" fillId="0" borderId="82" xfId="17" applyFill="1" applyBorder="1" applyAlignment="1" applyProtection="1"/>
    <xf numFmtId="49" fontId="109" fillId="0" borderId="97" xfId="0" applyNumberFormat="1" applyFont="1" applyFill="1" applyBorder="1" applyAlignment="1">
      <alignment horizontal="right" vertical="center" wrapText="1"/>
    </xf>
    <xf numFmtId="0" fontId="7" fillId="3" borderId="82" xfId="20960" applyFont="1" applyFill="1" applyBorder="1" applyAlignment="1" applyProtection="1"/>
    <xf numFmtId="0" fontId="106" fillId="0" borderId="82" xfId="20960" applyFont="1" applyFill="1" applyBorder="1" applyAlignment="1" applyProtection="1">
      <alignment horizontal="center" vertical="center"/>
    </xf>
    <xf numFmtId="0" fontId="4" fillId="0" borderId="82" xfId="0" applyFont="1" applyBorder="1"/>
    <xf numFmtId="0" fontId="11" fillId="0" borderId="82" xfId="17" applyFill="1" applyBorder="1" applyAlignment="1" applyProtection="1">
      <alignment horizontal="left" vertical="center" wrapText="1"/>
    </xf>
    <xf numFmtId="49" fontId="109" fillId="0" borderId="82" xfId="0" applyNumberFormat="1" applyFont="1" applyFill="1" applyBorder="1" applyAlignment="1">
      <alignment horizontal="right" vertical="center" wrapText="1"/>
    </xf>
    <xf numFmtId="0" fontId="11" fillId="0" borderId="82" xfId="17" applyFill="1" applyBorder="1" applyAlignment="1" applyProtection="1">
      <alignment horizontal="left" vertical="center"/>
    </xf>
    <xf numFmtId="0" fontId="11" fillId="0" borderId="82" xfId="17" applyBorder="1" applyAlignment="1" applyProtection="1"/>
    <xf numFmtId="0" fontId="4" fillId="0" borderId="82" xfId="0" applyFont="1" applyFill="1" applyBorder="1"/>
    <xf numFmtId="193" fontId="7" fillId="0" borderId="82" xfId="0" applyNumberFormat="1" applyFont="1" applyFill="1" applyBorder="1" applyAlignment="1" applyProtection="1">
      <alignment vertical="center" wrapText="1"/>
      <protection locked="0"/>
    </xf>
    <xf numFmtId="193" fontId="9" fillId="0" borderId="82" xfId="7" applyNumberFormat="1" applyFont="1" applyFill="1" applyBorder="1" applyAlignment="1" applyProtection="1">
      <alignment horizontal="right"/>
    </xf>
    <xf numFmtId="193" fontId="21" fillId="0" borderId="82" xfId="0" applyNumberFormat="1" applyFont="1" applyFill="1" applyBorder="1" applyAlignment="1" applyProtection="1">
      <alignment horizontal="right"/>
      <protection locked="0"/>
    </xf>
    <xf numFmtId="193" fontId="21" fillId="0" borderId="82" xfId="0" applyNumberFormat="1" applyFont="1" applyFill="1" applyBorder="1" applyAlignment="1" applyProtection="1">
      <alignment horizontal="right" vertical="center"/>
      <protection locked="0"/>
    </xf>
    <xf numFmtId="193" fontId="9" fillId="0" borderId="82" xfId="0" applyNumberFormat="1" applyFont="1" applyFill="1" applyBorder="1" applyAlignment="1" applyProtection="1">
      <alignment horizontal="right"/>
    </xf>
    <xf numFmtId="193" fontId="4" fillId="0" borderId="82" xfId="0" applyNumberFormat="1" applyFont="1" applyBorder="1" applyAlignment="1">
      <alignment horizontal="center" vertical="center"/>
    </xf>
    <xf numFmtId="3" fontId="0" fillId="0" borderId="95" xfId="0" applyNumberFormat="1" applyBorder="1" applyAlignment="1"/>
    <xf numFmtId="3" fontId="0" fillId="0" borderId="95" xfId="0" applyNumberFormat="1" applyBorder="1" applyAlignment="1">
      <alignment wrapText="1"/>
    </xf>
    <xf numFmtId="193" fontId="7" fillId="3" borderId="95" xfId="2" applyNumberFormat="1" applyFont="1" applyFill="1" applyBorder="1" applyAlignment="1" applyProtection="1">
      <alignment vertical="top"/>
      <protection locked="0"/>
    </xf>
    <xf numFmtId="193" fontId="7" fillId="3" borderId="95" xfId="2" applyNumberFormat="1" applyFont="1" applyFill="1" applyBorder="1" applyAlignment="1" applyProtection="1">
      <alignment vertical="top" wrapText="1"/>
      <protection locked="0"/>
    </xf>
    <xf numFmtId="193" fontId="26" fillId="0" borderId="100" xfId="0" applyNumberFormat="1" applyFont="1" applyBorder="1" applyAlignment="1">
      <alignment vertical="center"/>
    </xf>
    <xf numFmtId="193" fontId="4" fillId="0" borderId="82" xfId="0" applyNumberFormat="1" applyFont="1" applyBorder="1" applyAlignment="1"/>
    <xf numFmtId="193" fontId="4" fillId="0" borderId="83" xfId="0" applyNumberFormat="1" applyFont="1" applyBorder="1" applyAlignment="1"/>
    <xf numFmtId="193" fontId="4" fillId="0" borderId="82" xfId="0" applyNumberFormat="1" applyFont="1" applyBorder="1" applyAlignment="1">
      <alignment wrapText="1"/>
    </xf>
    <xf numFmtId="193" fontId="4" fillId="0" borderId="82" xfId="0" applyNumberFormat="1" applyFont="1" applyFill="1" applyBorder="1"/>
    <xf numFmtId="193" fontId="9" fillId="3" borderId="82" xfId="5" applyNumberFormat="1" applyFont="1" applyFill="1" applyBorder="1" applyProtection="1">
      <protection locked="0"/>
    </xf>
    <xf numFmtId="3" fontId="0" fillId="0" borderId="0" xfId="0" applyNumberFormat="1"/>
    <xf numFmtId="0" fontId="7" fillId="0" borderId="0" xfId="0" applyFont="1" applyAlignment="1">
      <alignment horizontal="left"/>
    </xf>
    <xf numFmtId="179" fontId="7" fillId="0" borderId="0" xfId="0" applyNumberFormat="1" applyFont="1" applyAlignment="1">
      <alignment horizontal="left"/>
    </xf>
    <xf numFmtId="0" fontId="4" fillId="0" borderId="0" xfId="0" applyFont="1" applyAlignment="1">
      <alignment horizontal="left"/>
    </xf>
    <xf numFmtId="179" fontId="4" fillId="0" borderId="0" xfId="0" applyNumberFormat="1" applyFont="1" applyAlignment="1">
      <alignment horizontal="left"/>
    </xf>
    <xf numFmtId="10" fontId="40" fillId="0" borderId="82" xfId="20961" applyNumberFormat="1" applyFont="1" applyBorder="1" applyAlignment="1" applyProtection="1">
      <alignment vertical="center" wrapText="1"/>
      <protection locked="0"/>
    </xf>
    <xf numFmtId="10" fontId="112" fillId="0" borderId="3" xfId="20961" applyNumberFormat="1" applyFont="1" applyBorder="1" applyAlignment="1" applyProtection="1">
      <alignment vertical="center" wrapText="1"/>
      <protection locked="0"/>
    </xf>
    <xf numFmtId="10" fontId="112" fillId="0" borderId="22" xfId="20961" applyNumberFormat="1" applyFont="1" applyBorder="1" applyAlignment="1" applyProtection="1">
      <alignment vertical="center" wrapText="1"/>
      <protection locked="0"/>
    </xf>
    <xf numFmtId="169" fontId="40" fillId="37" borderId="0" xfId="20" applyFont="1" applyBorder="1"/>
    <xf numFmtId="10" fontId="40" fillId="37" borderId="0" xfId="20961" applyNumberFormat="1" applyFont="1" applyFill="1" applyBorder="1"/>
    <xf numFmtId="10" fontId="40" fillId="37" borderId="75" xfId="20961" applyNumberFormat="1" applyFont="1" applyFill="1" applyBorder="1"/>
    <xf numFmtId="10" fontId="113" fillId="2" borderId="3" xfId="20961" applyNumberFormat="1" applyFont="1" applyFill="1" applyBorder="1" applyAlignment="1" applyProtection="1">
      <alignment vertical="center"/>
      <protection locked="0"/>
    </xf>
    <xf numFmtId="10" fontId="113" fillId="2" borderId="22" xfId="20961" applyNumberFormat="1" applyFont="1" applyFill="1" applyBorder="1" applyAlignment="1" applyProtection="1">
      <alignment vertical="center"/>
      <protection locked="0"/>
    </xf>
    <xf numFmtId="10" fontId="40" fillId="2" borderId="3" xfId="20961" applyNumberFormat="1" applyFont="1" applyFill="1" applyBorder="1" applyAlignment="1" applyProtection="1">
      <alignment vertical="center"/>
      <protection locked="0"/>
    </xf>
    <xf numFmtId="10" fontId="40" fillId="2" borderId="22" xfId="20961" applyNumberFormat="1" applyFont="1" applyFill="1" applyBorder="1" applyAlignment="1" applyProtection="1">
      <alignment vertical="center"/>
      <protection locked="0"/>
    </xf>
    <xf numFmtId="0" fontId="6" fillId="0" borderId="0" xfId="0" applyNumberFormat="1" applyFont="1"/>
    <xf numFmtId="193" fontId="9" fillId="0" borderId="101" xfId="0" applyNumberFormat="1" applyFont="1" applyFill="1" applyBorder="1" applyAlignment="1" applyProtection="1">
      <alignment horizontal="right"/>
    </xf>
    <xf numFmtId="0" fontId="9" fillId="0" borderId="101" xfId="11" applyFont="1" applyFill="1" applyBorder="1" applyProtection="1">
      <protection locked="0"/>
    </xf>
    <xf numFmtId="3" fontId="4" fillId="0" borderId="0" xfId="0" applyNumberFormat="1" applyFont="1"/>
    <xf numFmtId="3" fontId="4" fillId="3" borderId="80" xfId="0" applyNumberFormat="1" applyFont="1" applyFill="1" applyBorder="1" applyAlignment="1">
      <alignment vertical="center"/>
    </xf>
    <xf numFmtId="3" fontId="4" fillId="0" borderId="56" xfId="0" applyNumberFormat="1" applyFont="1" applyFill="1" applyBorder="1" applyAlignment="1">
      <alignment vertical="center"/>
    </xf>
    <xf numFmtId="3" fontId="4" fillId="0" borderId="27" xfId="0" applyNumberFormat="1" applyFont="1" applyFill="1" applyBorder="1" applyAlignment="1">
      <alignment vertical="center"/>
    </xf>
    <xf numFmtId="3" fontId="4" fillId="0" borderId="29" xfId="0" applyNumberFormat="1" applyFont="1" applyFill="1" applyBorder="1" applyAlignment="1">
      <alignment vertical="center"/>
    </xf>
    <xf numFmtId="3" fontId="4" fillId="0" borderId="78" xfId="0" applyNumberFormat="1" applyFont="1" applyFill="1" applyBorder="1" applyAlignment="1">
      <alignment vertical="center"/>
    </xf>
    <xf numFmtId="3" fontId="4" fillId="0" borderId="69" xfId="0" applyNumberFormat="1" applyFont="1" applyFill="1" applyBorder="1" applyAlignment="1">
      <alignment vertical="center"/>
    </xf>
    <xf numFmtId="3" fontId="4" fillId="0" borderId="26" xfId="0" applyNumberFormat="1" applyFont="1" applyFill="1" applyBorder="1" applyAlignment="1">
      <alignment vertical="center"/>
    </xf>
    <xf numFmtId="3" fontId="4" fillId="0" borderId="20" xfId="0" applyNumberFormat="1" applyFont="1" applyFill="1" applyBorder="1" applyAlignment="1">
      <alignment vertical="center"/>
    </xf>
    <xf numFmtId="3" fontId="4" fillId="0" borderId="90" xfId="0" applyNumberFormat="1" applyFont="1" applyFill="1" applyBorder="1" applyAlignment="1">
      <alignment vertical="center"/>
    </xf>
    <xf numFmtId="10" fontId="4" fillId="0" borderId="0" xfId="0" applyNumberFormat="1" applyFont="1"/>
    <xf numFmtId="43" fontId="4" fillId="0" borderId="0" xfId="0" applyNumberFormat="1" applyFont="1"/>
    <xf numFmtId="3" fontId="4" fillId="0" borderId="101" xfId="0" applyNumberFormat="1" applyFont="1" applyFill="1" applyBorder="1" applyAlignment="1">
      <alignment horizontal="center" vertical="center" wrapText="1"/>
    </xf>
    <xf numFmtId="0" fontId="4" fillId="0" borderId="101" xfId="0" applyFont="1" applyFill="1" applyBorder="1" applyAlignment="1">
      <alignment vertical="center"/>
    </xf>
    <xf numFmtId="0" fontId="6" fillId="0" borderId="101" xfId="0" applyFont="1" applyFill="1" applyBorder="1" applyAlignment="1">
      <alignment vertical="center"/>
    </xf>
    <xf numFmtId="10" fontId="9" fillId="2" borderId="25" xfId="20961" applyNumberFormat="1" applyFont="1" applyFill="1" applyBorder="1" applyAlignment="1" applyProtection="1">
      <alignment vertical="center"/>
      <protection locked="0"/>
    </xf>
    <xf numFmtId="3" fontId="4" fillId="0" borderId="20" xfId="0" applyNumberFormat="1" applyFont="1" applyBorder="1" applyAlignment="1">
      <alignment horizontal="center" vertical="center"/>
    </xf>
    <xf numFmtId="3" fontId="4" fillId="0" borderId="22" xfId="0" applyNumberFormat="1" applyFont="1" applyBorder="1" applyAlignment="1"/>
    <xf numFmtId="3" fontId="4" fillId="36" borderId="25" xfId="0" applyNumberFormat="1" applyFont="1" applyFill="1" applyBorder="1"/>
    <xf numFmtId="10" fontId="18" fillId="2" borderId="25" xfId="20961" applyNumberFormat="1" applyFont="1" applyFill="1" applyBorder="1" applyAlignment="1" applyProtection="1">
      <alignment vertical="center"/>
      <protection locked="0"/>
    </xf>
    <xf numFmtId="38" fontId="0" fillId="0" borderId="0" xfId="0" applyNumberFormat="1"/>
    <xf numFmtId="3" fontId="4" fillId="3" borderId="102" xfId="0" applyNumberFormat="1" applyFont="1" applyFill="1" applyBorder="1" applyAlignment="1">
      <alignment vertical="center"/>
    </xf>
    <xf numFmtId="3" fontId="29" fillId="37" borderId="0" xfId="20" applyNumberFormat="1" applyBorder="1"/>
    <xf numFmtId="3" fontId="4" fillId="0" borderId="101" xfId="0" applyNumberFormat="1" applyFont="1" applyFill="1" applyBorder="1" applyAlignment="1">
      <alignment vertical="center"/>
    </xf>
    <xf numFmtId="3" fontId="4" fillId="0" borderId="103" xfId="0" applyNumberFormat="1" applyFont="1" applyFill="1" applyBorder="1" applyAlignment="1">
      <alignment vertical="center"/>
    </xf>
    <xf numFmtId="3" fontId="4" fillId="0" borderId="22" xfId="0" applyNumberFormat="1" applyFont="1" applyFill="1" applyBorder="1" applyAlignment="1">
      <alignment vertical="center"/>
    </xf>
    <xf numFmtId="3" fontId="4" fillId="0" borderId="25" xfId="0" applyNumberFormat="1" applyFont="1" applyFill="1" applyBorder="1" applyAlignment="1">
      <alignment vertical="center"/>
    </xf>
    <xf numFmtId="3" fontId="114" fillId="0" borderId="101" xfId="0" applyNumberFormat="1" applyFont="1" applyBorder="1" applyAlignment="1">
      <alignment vertical="center" wrapText="1"/>
    </xf>
    <xf numFmtId="3" fontId="114" fillId="0" borderId="7" xfId="0" applyNumberFormat="1" applyFont="1" applyBorder="1" applyAlignment="1">
      <alignment vertical="center" wrapText="1"/>
    </xf>
    <xf numFmtId="0" fontId="9" fillId="0" borderId="101" xfId="0" applyFont="1" applyBorder="1"/>
    <xf numFmtId="0" fontId="9" fillId="0" borderId="101" xfId="0" applyFont="1" applyBorder="1" applyAlignment="1">
      <alignment vertical="center"/>
    </xf>
    <xf numFmtId="0" fontId="9" fillId="0" borderId="101" xfId="0" applyFont="1" applyFill="1" applyBorder="1" applyAlignment="1">
      <alignment wrapText="1"/>
    </xf>
    <xf numFmtId="0" fontId="9" fillId="0" borderId="101" xfId="11" applyFont="1" applyBorder="1" applyAlignment="1">
      <alignment wrapText="1"/>
    </xf>
    <xf numFmtId="0" fontId="9" fillId="0" borderId="101" xfId="0" applyFont="1" applyBorder="1" applyAlignment="1">
      <alignment wrapText="1"/>
    </xf>
    <xf numFmtId="0" fontId="9" fillId="0" borderId="101" xfId="0" applyFont="1" applyBorder="1" applyAlignment="1"/>
    <xf numFmtId="10" fontId="9" fillId="0" borderId="101" xfId="20626" applyNumberFormat="1" applyFont="1" applyBorder="1" applyAlignment="1"/>
    <xf numFmtId="0" fontId="21" fillId="0" borderId="101" xfId="0" applyFont="1" applyFill="1" applyBorder="1" applyProtection="1">
      <protection locked="0"/>
    </xf>
    <xf numFmtId="0" fontId="13" fillId="0" borderId="101" xfId="0" applyFont="1" applyBorder="1" applyAlignment="1">
      <alignment wrapText="1"/>
    </xf>
    <xf numFmtId="0" fontId="4" fillId="0" borderId="101" xfId="0" applyFont="1" applyBorder="1" applyAlignment="1"/>
    <xf numFmtId="0" fontId="9" fillId="0" borderId="97" xfId="0" applyFont="1" applyBorder="1" applyAlignment="1">
      <alignment horizontal="right" vertical="center" wrapText="1"/>
    </xf>
    <xf numFmtId="0" fontId="9" fillId="2" borderId="97" xfId="0" applyFont="1" applyFill="1" applyBorder="1" applyAlignment="1">
      <alignment horizontal="right" vertical="center"/>
    </xf>
    <xf numFmtId="3" fontId="24" fillId="36" borderId="101" xfId="0" applyNumberFormat="1" applyFont="1" applyFill="1" applyBorder="1" applyAlignment="1">
      <alignment vertical="center" wrapText="1"/>
    </xf>
    <xf numFmtId="3" fontId="24" fillId="36" borderId="22" xfId="0" applyNumberFormat="1" applyFont="1" applyFill="1" applyBorder="1" applyAlignment="1">
      <alignment vertical="center" wrapText="1"/>
    </xf>
    <xf numFmtId="0" fontId="23" fillId="0" borderId="97" xfId="0" applyFont="1" applyFill="1" applyBorder="1" applyAlignment="1">
      <alignment horizontal="center" vertical="center" wrapText="1"/>
    </xf>
    <xf numFmtId="0" fontId="4" fillId="0" borderId="104" xfId="0" applyFont="1" applyBorder="1"/>
    <xf numFmtId="0" fontId="9" fillId="0" borderId="0" xfId="0" applyFont="1" applyBorder="1"/>
    <xf numFmtId="0" fontId="13" fillId="0" borderId="0" xfId="0" applyFont="1" applyBorder="1" applyAlignment="1">
      <alignment wrapText="1"/>
    </xf>
    <xf numFmtId="0" fontId="4" fillId="0" borderId="101" xfId="0" applyFont="1" applyBorder="1"/>
    <xf numFmtId="0" fontId="4" fillId="0" borderId="101" xfId="0" applyFont="1" applyBorder="1" applyAlignment="1">
      <alignment horizontal="left"/>
    </xf>
    <xf numFmtId="179" fontId="4" fillId="0" borderId="101" xfId="0" applyNumberFormat="1" applyFont="1" applyBorder="1" applyAlignment="1">
      <alignment horizontal="left"/>
    </xf>
    <xf numFmtId="0" fontId="9" fillId="0" borderId="101" xfId="0" applyFont="1" applyBorder="1" applyAlignment="1">
      <alignment horizontal="left" wrapText="1"/>
    </xf>
    <xf numFmtId="0" fontId="10" fillId="0" borderId="101" xfId="0" applyFont="1" applyFill="1" applyBorder="1" applyAlignment="1">
      <alignment horizontal="center" wrapText="1"/>
    </xf>
    <xf numFmtId="0" fontId="9" fillId="0" borderId="101" xfId="0" applyFont="1" applyBorder="1" applyAlignment="1">
      <alignment horizontal="right" wrapText="1"/>
    </xf>
    <xf numFmtId="0" fontId="4" fillId="0" borderId="104" xfId="0" applyFont="1" applyBorder="1" applyAlignment="1"/>
    <xf numFmtId="3" fontId="4" fillId="3" borderId="0" xfId="0" applyNumberFormat="1" applyFont="1" applyFill="1" applyBorder="1" applyAlignment="1">
      <alignment vertical="center"/>
    </xf>
    <xf numFmtId="3" fontId="4" fillId="0" borderId="22" xfId="0" applyNumberFormat="1" applyFont="1" applyFill="1" applyBorder="1" applyAlignment="1">
      <alignment horizontal="center" vertical="center" wrapText="1"/>
    </xf>
    <xf numFmtId="3" fontId="29" fillId="37" borderId="58" xfId="20" applyNumberFormat="1" applyBorder="1"/>
    <xf numFmtId="3" fontId="29" fillId="37" borderId="27" xfId="20" applyNumberFormat="1" applyBorder="1"/>
    <xf numFmtId="3" fontId="29" fillId="37" borderId="71" xfId="20" applyNumberFormat="1" applyBorder="1"/>
    <xf numFmtId="3" fontId="29" fillId="37" borderId="98" xfId="20" applyNumberFormat="1" applyBorder="1"/>
    <xf numFmtId="3" fontId="29" fillId="37" borderId="33" xfId="20" applyNumberFormat="1" applyBorder="1"/>
    <xf numFmtId="194" fontId="4" fillId="0" borderId="76" xfId="20961" applyNumberFormat="1" applyFont="1" applyFill="1" applyBorder="1" applyAlignment="1">
      <alignment vertical="center"/>
    </xf>
    <xf numFmtId="194" fontId="4" fillId="0" borderId="92" xfId="20961" applyNumberFormat="1" applyFont="1" applyFill="1" applyBorder="1" applyAlignment="1">
      <alignment vertical="center"/>
    </xf>
    <xf numFmtId="193" fontId="4" fillId="0" borderId="83" xfId="0" applyNumberFormat="1" applyFont="1" applyFill="1" applyBorder="1"/>
    <xf numFmtId="0" fontId="106" fillId="0" borderId="0" xfId="20960" applyFont="1" applyFill="1" applyBorder="1" applyAlignment="1" applyProtection="1">
      <alignment horizontal="center" vertical="center"/>
    </xf>
    <xf numFmtId="0" fontId="26" fillId="0" borderId="0" xfId="0" applyFont="1" applyBorder="1"/>
    <xf numFmtId="0" fontId="7" fillId="3" borderId="0" xfId="20960" applyFont="1" applyFill="1" applyBorder="1" applyAlignment="1" applyProtection="1">
      <alignment horizontal="right" indent="1"/>
    </xf>
    <xf numFmtId="0" fontId="9" fillId="3" borderId="0" xfId="20960" applyFont="1" applyFill="1" applyBorder="1" applyAlignment="1" applyProtection="1">
      <alignment horizontal="left" wrapText="1" indent="1"/>
    </xf>
    <xf numFmtId="0" fontId="105" fillId="0" borderId="0" xfId="0" applyFont="1" applyBorder="1"/>
    <xf numFmtId="0" fontId="9" fillId="0" borderId="0" xfId="20960" applyFont="1" applyFill="1" applyBorder="1" applyAlignment="1" applyProtection="1">
      <alignment horizontal="left" wrapText="1" indent="1"/>
    </xf>
    <xf numFmtId="0" fontId="107" fillId="0" borderId="105" xfId="0" applyFont="1" applyBorder="1" applyAlignment="1">
      <alignment horizontal="left" vertical="center" wrapText="1"/>
    </xf>
    <xf numFmtId="0" fontId="107" fillId="0" borderId="0"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2"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101" xfId="0" applyFont="1" applyBorder="1" applyAlignment="1">
      <alignment horizontal="center" wrapText="1"/>
    </xf>
    <xf numFmtId="0" fontId="9" fillId="0" borderId="101" xfId="0" applyFont="1" applyBorder="1" applyAlignment="1">
      <alignment horizontal="center"/>
    </xf>
    <xf numFmtId="0" fontId="13" fillId="0" borderId="101" xfId="0" applyFont="1" applyBorder="1" applyAlignment="1">
      <alignment wrapText="1"/>
    </xf>
    <xf numFmtId="0" fontId="4" fillId="0" borderId="101" xfId="0" applyFont="1" applyBorder="1" applyAlignment="1"/>
    <xf numFmtId="0" fontId="10" fillId="0" borderId="101" xfId="0" applyFont="1" applyBorder="1" applyAlignment="1">
      <alignment horizontal="center" vertical="center" wrapText="1"/>
    </xf>
    <xf numFmtId="0" fontId="9" fillId="0" borderId="101" xfId="0" applyFont="1" applyFill="1" applyBorder="1" applyAlignment="1">
      <alignment wrapText="1"/>
    </xf>
    <xf numFmtId="0" fontId="9" fillId="0" borderId="101" xfId="0" applyFont="1" applyBorder="1" applyAlignment="1">
      <alignment wrapText="1"/>
    </xf>
    <xf numFmtId="0" fontId="4" fillId="0" borderId="82" xfId="0" applyFont="1" applyFill="1" applyBorder="1" applyAlignment="1">
      <alignment horizontal="center" vertical="center" wrapText="1"/>
    </xf>
    <xf numFmtId="0" fontId="4" fillId="0" borderId="83" xfId="0" applyFont="1" applyFill="1" applyBorder="1" applyAlignment="1">
      <alignment horizontal="center"/>
    </xf>
    <xf numFmtId="0" fontId="4" fillId="0" borderId="23" xfId="0" applyFont="1" applyFill="1" applyBorder="1" applyAlignment="1">
      <alignment horizontal="center"/>
    </xf>
    <xf numFmtId="0" fontId="6" fillId="36" borderId="99" xfId="0" applyFont="1" applyFill="1" applyBorder="1" applyAlignment="1">
      <alignment horizontal="center" vertical="center" wrapText="1"/>
    </xf>
    <xf numFmtId="0" fontId="6" fillId="36" borderId="32" xfId="0" applyFont="1" applyFill="1" applyBorder="1" applyAlignment="1">
      <alignment horizontal="center" vertical="center" wrapText="1"/>
    </xf>
    <xf numFmtId="0" fontId="6" fillId="36" borderId="96" xfId="0" applyFont="1" applyFill="1" applyBorder="1" applyAlignment="1">
      <alignment horizontal="center" vertical="center" wrapText="1"/>
    </xf>
    <xf numFmtId="0" fontId="6" fillId="36" borderId="81" xfId="0" applyFont="1" applyFill="1" applyBorder="1" applyAlignment="1">
      <alignment horizontal="center" vertical="center" wrapText="1"/>
    </xf>
    <xf numFmtId="3" fontId="104" fillId="3" borderId="70" xfId="13" applyNumberFormat="1" applyFont="1" applyFill="1" applyBorder="1" applyAlignment="1" applyProtection="1">
      <alignment horizontal="center" vertical="center" wrapText="1"/>
      <protection locked="0"/>
    </xf>
    <xf numFmtId="3" fontId="104" fillId="3" borderId="69" xfId="13" applyNumberFormat="1"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164" fontId="15" fillId="0" borderId="73" xfId="1" applyNumberFormat="1" applyFont="1" applyFill="1" applyBorder="1" applyAlignment="1" applyProtection="1">
      <alignment horizontal="center" vertical="center" wrapText="1"/>
      <protection locked="0"/>
    </xf>
    <xf numFmtId="164" fontId="15" fillId="0" borderId="74"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3" fontId="4" fillId="0" borderId="65" xfId="0" applyNumberFormat="1" applyFont="1" applyFill="1" applyBorder="1" applyAlignment="1">
      <alignment horizontal="center" vertical="center" wrapText="1"/>
    </xf>
    <xf numFmtId="3" fontId="4" fillId="0" borderId="58" xfId="0" applyNumberFormat="1" applyFont="1" applyFill="1" applyBorder="1" applyAlignment="1">
      <alignment horizontal="center" vertical="center" wrapText="1"/>
    </xf>
    <xf numFmtId="3" fontId="4" fillId="0" borderId="88" xfId="0" applyNumberFormat="1" applyFont="1" applyFill="1" applyBorder="1" applyAlignment="1">
      <alignment horizontal="center" vertical="center" wrapText="1"/>
    </xf>
    <xf numFmtId="0" fontId="14" fillId="0" borderId="99" xfId="0" applyFont="1" applyFill="1" applyBorder="1" applyAlignment="1">
      <alignment horizontal="left" vertical="center"/>
    </xf>
    <xf numFmtId="0" fontId="14" fillId="0" borderId="30" xfId="0" applyFont="1" applyFill="1" applyBorder="1" applyAlignment="1">
      <alignment horizontal="left" vertical="center"/>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B8" sqref="B8"/>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4"/>
      <c r="B1" s="482" t="s">
        <v>261</v>
      </c>
      <c r="C1" s="483"/>
    </row>
    <row r="2" spans="1:3" s="176" customFormat="1" ht="15.75">
      <c r="A2" s="484">
        <v>1</v>
      </c>
      <c r="B2" s="485" t="s">
        <v>262</v>
      </c>
      <c r="C2" s="486" t="s">
        <v>460</v>
      </c>
    </row>
    <row r="3" spans="1:3" s="176" customFormat="1" ht="15.75">
      <c r="A3" s="484">
        <v>2</v>
      </c>
      <c r="B3" s="487" t="s">
        <v>482</v>
      </c>
      <c r="C3" s="486" t="s">
        <v>461</v>
      </c>
    </row>
    <row r="4" spans="1:3" s="176" customFormat="1" ht="15.75">
      <c r="A4" s="484">
        <v>3</v>
      </c>
      <c r="B4" s="487" t="s">
        <v>263</v>
      </c>
      <c r="C4" s="486" t="s">
        <v>468</v>
      </c>
    </row>
    <row r="5" spans="1:3" s="176" customFormat="1" ht="15.75">
      <c r="A5" s="484">
        <v>4</v>
      </c>
      <c r="B5" s="487" t="s">
        <v>264</v>
      </c>
      <c r="C5" s="486" t="s">
        <v>476</v>
      </c>
    </row>
    <row r="6" spans="1:3" s="177" customFormat="1" ht="65.25" customHeight="1">
      <c r="A6" s="488" t="s">
        <v>381</v>
      </c>
      <c r="B6" s="489"/>
      <c r="C6" s="489"/>
    </row>
    <row r="7" spans="1:3">
      <c r="A7" s="376" t="s">
        <v>334</v>
      </c>
      <c r="B7" s="377" t="s">
        <v>265</v>
      </c>
    </row>
    <row r="8" spans="1:3">
      <c r="A8" s="378">
        <v>1</v>
      </c>
      <c r="B8" s="374" t="s">
        <v>230</v>
      </c>
    </row>
    <row r="9" spans="1:3">
      <c r="A9" s="378">
        <v>2</v>
      </c>
      <c r="B9" s="374" t="s">
        <v>266</v>
      </c>
    </row>
    <row r="10" spans="1:3">
      <c r="A10" s="378">
        <v>3</v>
      </c>
      <c r="B10" s="374" t="s">
        <v>267</v>
      </c>
    </row>
    <row r="11" spans="1:3">
      <c r="A11" s="378">
        <v>4</v>
      </c>
      <c r="B11" s="374" t="s">
        <v>268</v>
      </c>
      <c r="C11" s="175"/>
    </row>
    <row r="12" spans="1:3">
      <c r="A12" s="378">
        <v>5</v>
      </c>
      <c r="B12" s="374" t="s">
        <v>194</v>
      </c>
    </row>
    <row r="13" spans="1:3">
      <c r="A13" s="378">
        <v>6</v>
      </c>
      <c r="B13" s="379" t="s">
        <v>155</v>
      </c>
    </row>
    <row r="14" spans="1:3">
      <c r="A14" s="378">
        <v>7</v>
      </c>
      <c r="B14" s="374" t="s">
        <v>269</v>
      </c>
    </row>
    <row r="15" spans="1:3">
      <c r="A15" s="378">
        <v>8</v>
      </c>
      <c r="B15" s="374" t="s">
        <v>273</v>
      </c>
    </row>
    <row r="16" spans="1:3">
      <c r="A16" s="378">
        <v>9</v>
      </c>
      <c r="B16" s="374" t="s">
        <v>93</v>
      </c>
    </row>
    <row r="17" spans="1:2">
      <c r="A17" s="380" t="s">
        <v>441</v>
      </c>
      <c r="B17" s="374" t="s">
        <v>413</v>
      </c>
    </row>
    <row r="18" spans="1:2">
      <c r="A18" s="378">
        <v>10</v>
      </c>
      <c r="B18" s="374" t="s">
        <v>276</v>
      </c>
    </row>
    <row r="19" spans="1:2">
      <c r="A19" s="378">
        <v>11</v>
      </c>
      <c r="B19" s="379" t="s">
        <v>257</v>
      </c>
    </row>
    <row r="20" spans="1:2">
      <c r="A20" s="378">
        <v>12</v>
      </c>
      <c r="B20" s="379" t="s">
        <v>254</v>
      </c>
    </row>
    <row r="21" spans="1:2">
      <c r="A21" s="378">
        <v>13</v>
      </c>
      <c r="B21" s="381" t="s">
        <v>371</v>
      </c>
    </row>
    <row r="22" spans="1:2">
      <c r="A22" s="378">
        <v>14</v>
      </c>
      <c r="B22" s="382" t="s">
        <v>402</v>
      </c>
    </row>
    <row r="23" spans="1:2">
      <c r="A23" s="383">
        <v>15</v>
      </c>
      <c r="B23" s="379" t="s">
        <v>82</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14999847407452621"/>
  </sheetPr>
  <dimension ref="A1:F55"/>
  <sheetViews>
    <sheetView zoomScaleNormal="100" workbookViewId="0">
      <pane xSplit="1" ySplit="5" topLeftCell="B39" activePane="bottomRight" state="frozen"/>
      <selection pane="topRight" activeCell="B1" sqref="B1"/>
      <selection pane="bottomLeft" activeCell="A5" sqref="A5"/>
      <selection pane="bottomRight" activeCell="C26" sqref="C26"/>
    </sheetView>
  </sheetViews>
  <sheetFormatPr defaultRowHeight="15"/>
  <cols>
    <col min="1" max="1" width="9.5703125" style="5" bestFit="1" customWidth="1"/>
    <col min="2" max="2" width="132.42578125" style="2" customWidth="1"/>
    <col min="3" max="3" width="18.42578125" style="2" customWidth="1"/>
  </cols>
  <sheetData>
    <row r="1" spans="1:6" ht="15.75">
      <c r="A1" s="13" t="s">
        <v>195</v>
      </c>
      <c r="B1" s="403" t="str">
        <f>'1. key ratios'!B1</f>
        <v>სს ”საქართველოს ბანკი”</v>
      </c>
      <c r="D1" s="2"/>
      <c r="E1" s="2"/>
      <c r="F1" s="2"/>
    </row>
    <row r="2" spans="1:6" s="17" customFormat="1" ht="15.75" customHeight="1">
      <c r="A2" s="17" t="s">
        <v>196</v>
      </c>
      <c r="B2" s="404">
        <f>'1. key ratios'!B2</f>
        <v>43190</v>
      </c>
    </row>
    <row r="3" spans="1:6" s="17" customFormat="1" ht="15.75" customHeight="1"/>
    <row r="4" spans="1:6" ht="15.75" thickBot="1">
      <c r="A4" s="5" t="s">
        <v>343</v>
      </c>
      <c r="B4" s="57" t="s">
        <v>93</v>
      </c>
    </row>
    <row r="5" spans="1:6">
      <c r="A5" s="128" t="s">
        <v>31</v>
      </c>
      <c r="B5" s="129"/>
      <c r="C5" s="130" t="s">
        <v>32</v>
      </c>
    </row>
    <row r="6" spans="1:6">
      <c r="A6" s="131">
        <v>1</v>
      </c>
      <c r="B6" s="75" t="s">
        <v>33</v>
      </c>
      <c r="C6" s="263">
        <f>SUM(C7:C11)</f>
        <v>1321189553.0101402</v>
      </c>
    </row>
    <row r="7" spans="1:6">
      <c r="A7" s="131">
        <v>2</v>
      </c>
      <c r="B7" s="72" t="s">
        <v>34</v>
      </c>
      <c r="C7" s="392">
        <v>27821150.18</v>
      </c>
    </row>
    <row r="8" spans="1:6">
      <c r="A8" s="131">
        <v>3</v>
      </c>
      <c r="B8" s="66" t="s">
        <v>35</v>
      </c>
      <c r="C8" s="392">
        <v>147828140.47999999</v>
      </c>
    </row>
    <row r="9" spans="1:6">
      <c r="A9" s="131">
        <v>4</v>
      </c>
      <c r="B9" s="66" t="s">
        <v>36</v>
      </c>
      <c r="C9" s="392">
        <v>30465782</v>
      </c>
    </row>
    <row r="10" spans="1:6">
      <c r="A10" s="131">
        <v>5</v>
      </c>
      <c r="B10" s="66" t="s">
        <v>37</v>
      </c>
      <c r="C10" s="392">
        <v>0</v>
      </c>
    </row>
    <row r="11" spans="1:6">
      <c r="A11" s="131">
        <v>6</v>
      </c>
      <c r="B11" s="73" t="s">
        <v>38</v>
      </c>
      <c r="C11" s="392">
        <v>1115074480.3501401</v>
      </c>
    </row>
    <row r="12" spans="1:6" s="4" customFormat="1">
      <c r="A12" s="131">
        <v>7</v>
      </c>
      <c r="B12" s="75" t="s">
        <v>39</v>
      </c>
      <c r="C12" s="264">
        <f>SUM(C13:C27)</f>
        <v>123975546.15000001</v>
      </c>
    </row>
    <row r="13" spans="1:6" s="4" customFormat="1">
      <c r="A13" s="131">
        <v>8</v>
      </c>
      <c r="B13" s="74" t="s">
        <v>40</v>
      </c>
      <c r="C13" s="393">
        <v>30465782</v>
      </c>
    </row>
    <row r="14" spans="1:6" s="4" customFormat="1" ht="25.5">
      <c r="A14" s="131">
        <v>9</v>
      </c>
      <c r="B14" s="67" t="s">
        <v>41</v>
      </c>
      <c r="C14" s="393">
        <v>0</v>
      </c>
    </row>
    <row r="15" spans="1:6" s="4" customFormat="1">
      <c r="A15" s="131">
        <v>10</v>
      </c>
      <c r="B15" s="68" t="s">
        <v>42</v>
      </c>
      <c r="C15" s="393">
        <v>76611548.769999996</v>
      </c>
    </row>
    <row r="16" spans="1:6" s="4" customFormat="1">
      <c r="A16" s="131">
        <v>11</v>
      </c>
      <c r="B16" s="69" t="s">
        <v>43</v>
      </c>
      <c r="C16" s="393">
        <v>0</v>
      </c>
    </row>
    <row r="17" spans="1:3" s="4" customFormat="1">
      <c r="A17" s="131">
        <v>12</v>
      </c>
      <c r="B17" s="68" t="s">
        <v>44</v>
      </c>
      <c r="C17" s="393">
        <v>2531851.2000000002</v>
      </c>
    </row>
    <row r="18" spans="1:3" s="4" customFormat="1">
      <c r="A18" s="131">
        <v>13</v>
      </c>
      <c r="B18" s="68" t="s">
        <v>45</v>
      </c>
      <c r="C18" s="393">
        <v>0</v>
      </c>
    </row>
    <row r="19" spans="1:3" s="4" customFormat="1">
      <c r="A19" s="131">
        <v>14</v>
      </c>
      <c r="B19" s="68" t="s">
        <v>46</v>
      </c>
      <c r="C19" s="393">
        <v>0</v>
      </c>
    </row>
    <row r="20" spans="1:3" s="4" customFormat="1" ht="25.5">
      <c r="A20" s="131">
        <v>15</v>
      </c>
      <c r="B20" s="68" t="s">
        <v>47</v>
      </c>
      <c r="C20" s="393">
        <v>0</v>
      </c>
    </row>
    <row r="21" spans="1:3" s="4" customFormat="1" ht="25.5">
      <c r="A21" s="131">
        <v>16</v>
      </c>
      <c r="B21" s="67" t="s">
        <v>48</v>
      </c>
      <c r="C21" s="393">
        <v>0</v>
      </c>
    </row>
    <row r="22" spans="1:3" s="4" customFormat="1">
      <c r="A22" s="131">
        <v>17</v>
      </c>
      <c r="B22" s="132" t="s">
        <v>49</v>
      </c>
      <c r="C22" s="393">
        <v>14366364.18</v>
      </c>
    </row>
    <row r="23" spans="1:3" s="4" customFormat="1" ht="25.5">
      <c r="A23" s="131">
        <v>18</v>
      </c>
      <c r="B23" s="67" t="s">
        <v>50</v>
      </c>
      <c r="C23" s="393">
        <v>0</v>
      </c>
    </row>
    <row r="24" spans="1:3" s="4" customFormat="1" ht="25.5">
      <c r="A24" s="131">
        <v>19</v>
      </c>
      <c r="B24" s="67" t="s">
        <v>51</v>
      </c>
      <c r="C24" s="393">
        <v>0</v>
      </c>
    </row>
    <row r="25" spans="1:3" s="4" customFormat="1" ht="25.5">
      <c r="A25" s="131">
        <v>20</v>
      </c>
      <c r="B25" s="70" t="s">
        <v>52</v>
      </c>
      <c r="C25" s="393">
        <v>0</v>
      </c>
    </row>
    <row r="26" spans="1:3" s="4" customFormat="1">
      <c r="A26" s="131">
        <v>21</v>
      </c>
      <c r="B26" s="70" t="s">
        <v>53</v>
      </c>
      <c r="C26" s="393">
        <v>0</v>
      </c>
    </row>
    <row r="27" spans="1:3" s="4" customFormat="1" ht="25.5">
      <c r="A27" s="131">
        <v>22</v>
      </c>
      <c r="B27" s="70" t="s">
        <v>54</v>
      </c>
      <c r="C27" s="393">
        <v>0</v>
      </c>
    </row>
    <row r="28" spans="1:3" s="4" customFormat="1">
      <c r="A28" s="131">
        <v>23</v>
      </c>
      <c r="B28" s="76" t="s">
        <v>28</v>
      </c>
      <c r="C28" s="264">
        <f>C6-C12</f>
        <v>1197214006.8601401</v>
      </c>
    </row>
    <row r="29" spans="1:3" s="4" customFormat="1">
      <c r="A29" s="133"/>
      <c r="B29" s="71"/>
      <c r="C29" s="265"/>
    </row>
    <row r="30" spans="1:3" s="4" customFormat="1">
      <c r="A30" s="133">
        <v>24</v>
      </c>
      <c r="B30" s="76" t="s">
        <v>55</v>
      </c>
      <c r="C30" s="264">
        <f>C31+C34</f>
        <v>0</v>
      </c>
    </row>
    <row r="31" spans="1:3" s="4" customFormat="1">
      <c r="A31" s="133">
        <v>25</v>
      </c>
      <c r="B31" s="66" t="s">
        <v>56</v>
      </c>
      <c r="C31" s="266">
        <f>C32+C33</f>
        <v>0</v>
      </c>
    </row>
    <row r="32" spans="1:3" s="4" customFormat="1">
      <c r="A32" s="133">
        <v>26</v>
      </c>
      <c r="B32" s="173" t="s">
        <v>57</v>
      </c>
      <c r="C32" s="265"/>
    </row>
    <row r="33" spans="1:3" s="4" customFormat="1">
      <c r="A33" s="133">
        <v>27</v>
      </c>
      <c r="B33" s="173" t="s">
        <v>58</v>
      </c>
      <c r="C33" s="265"/>
    </row>
    <row r="34" spans="1:3" s="4" customFormat="1">
      <c r="A34" s="133">
        <v>28</v>
      </c>
      <c r="B34" s="66" t="s">
        <v>59</v>
      </c>
      <c r="C34" s="265"/>
    </row>
    <row r="35" spans="1:3" s="4" customFormat="1">
      <c r="A35" s="133">
        <v>29</v>
      </c>
      <c r="B35" s="76" t="s">
        <v>60</v>
      </c>
      <c r="C35" s="264">
        <f>SUM(C36:C40)</f>
        <v>0</v>
      </c>
    </row>
    <row r="36" spans="1:3" s="4" customFormat="1">
      <c r="A36" s="133">
        <v>30</v>
      </c>
      <c r="B36" s="67" t="s">
        <v>61</v>
      </c>
      <c r="C36" s="265"/>
    </row>
    <row r="37" spans="1:3" s="4" customFormat="1">
      <c r="A37" s="133">
        <v>31</v>
      </c>
      <c r="B37" s="68" t="s">
        <v>62</v>
      </c>
      <c r="C37" s="265"/>
    </row>
    <row r="38" spans="1:3" s="4" customFormat="1" ht="25.5">
      <c r="A38" s="133">
        <v>32</v>
      </c>
      <c r="B38" s="67" t="s">
        <v>63</v>
      </c>
      <c r="C38" s="265"/>
    </row>
    <row r="39" spans="1:3" s="4" customFormat="1" ht="25.5">
      <c r="A39" s="133">
        <v>33</v>
      </c>
      <c r="B39" s="67" t="s">
        <v>51</v>
      </c>
      <c r="C39" s="265"/>
    </row>
    <row r="40" spans="1:3" s="4" customFormat="1" ht="25.5">
      <c r="A40" s="133">
        <v>34</v>
      </c>
      <c r="B40" s="70" t="s">
        <v>64</v>
      </c>
      <c r="C40" s="265"/>
    </row>
    <row r="41" spans="1:3" s="4" customFormat="1">
      <c r="A41" s="133">
        <v>35</v>
      </c>
      <c r="B41" s="76" t="s">
        <v>29</v>
      </c>
      <c r="C41" s="264">
        <f>C30-C35</f>
        <v>0</v>
      </c>
    </row>
    <row r="42" spans="1:3" s="4" customFormat="1">
      <c r="A42" s="133"/>
      <c r="B42" s="71"/>
      <c r="C42" s="265"/>
    </row>
    <row r="43" spans="1:3" s="4" customFormat="1">
      <c r="A43" s="133">
        <v>36</v>
      </c>
      <c r="B43" s="77" t="s">
        <v>65</v>
      </c>
      <c r="C43" s="264">
        <f>SUM(C44:C46)</f>
        <v>478261598.7197845</v>
      </c>
    </row>
    <row r="44" spans="1:3" s="4" customFormat="1">
      <c r="A44" s="133">
        <v>37</v>
      </c>
      <c r="B44" s="66" t="s">
        <v>66</v>
      </c>
      <c r="C44" s="393">
        <v>374232000</v>
      </c>
    </row>
    <row r="45" spans="1:3" s="4" customFormat="1">
      <c r="A45" s="133">
        <v>38</v>
      </c>
      <c r="B45" s="66" t="s">
        <v>67</v>
      </c>
      <c r="C45" s="393">
        <v>0</v>
      </c>
    </row>
    <row r="46" spans="1:3" s="4" customFormat="1">
      <c r="A46" s="133">
        <v>39</v>
      </c>
      <c r="B46" s="66" t="s">
        <v>68</v>
      </c>
      <c r="C46" s="393">
        <v>104029598.71978448</v>
      </c>
    </row>
    <row r="47" spans="1:3" s="4" customFormat="1">
      <c r="A47" s="133">
        <v>40</v>
      </c>
      <c r="B47" s="77" t="s">
        <v>69</v>
      </c>
      <c r="C47" s="264">
        <f>SUM(C48:C51)</f>
        <v>0</v>
      </c>
    </row>
    <row r="48" spans="1:3" s="4" customFormat="1">
      <c r="A48" s="133">
        <v>41</v>
      </c>
      <c r="B48" s="67" t="s">
        <v>70</v>
      </c>
      <c r="C48" s="265"/>
    </row>
    <row r="49" spans="1:3" s="4" customFormat="1">
      <c r="A49" s="133">
        <v>42</v>
      </c>
      <c r="B49" s="68" t="s">
        <v>71</v>
      </c>
      <c r="C49" s="265"/>
    </row>
    <row r="50" spans="1:3" s="4" customFormat="1" ht="25.5">
      <c r="A50" s="133">
        <v>43</v>
      </c>
      <c r="B50" s="67" t="s">
        <v>72</v>
      </c>
      <c r="C50" s="265"/>
    </row>
    <row r="51" spans="1:3" s="4" customFormat="1" ht="25.5">
      <c r="A51" s="133">
        <v>44</v>
      </c>
      <c r="B51" s="67" t="s">
        <v>51</v>
      </c>
      <c r="C51" s="265"/>
    </row>
    <row r="52" spans="1:3" s="4" customFormat="1" ht="15.75" thickBot="1">
      <c r="A52" s="134">
        <v>45</v>
      </c>
      <c r="B52" s="135" t="s">
        <v>30</v>
      </c>
      <c r="C52" s="267">
        <f>C43-C47</f>
        <v>478261598.7197845</v>
      </c>
    </row>
    <row r="55" spans="1:3">
      <c r="B55" s="2" t="s">
        <v>232</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1"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9.9978637043366805E-2"/>
  </sheetPr>
  <dimension ref="A1:F22"/>
  <sheetViews>
    <sheetView workbookViewId="0">
      <selection activeCell="C7" sqref="C7:D21"/>
    </sheetView>
  </sheetViews>
  <sheetFormatPr defaultColWidth="9.140625" defaultRowHeight="12.75"/>
  <cols>
    <col min="1" max="1" width="10.85546875" style="324" bestFit="1" customWidth="1"/>
    <col min="2" max="2" width="59" style="324" customWidth="1"/>
    <col min="3" max="3" width="16.7109375" style="324" bestFit="1" customWidth="1"/>
    <col min="4" max="4" width="13.28515625" style="324" bestFit="1" customWidth="1"/>
    <col min="5" max="16384" width="9.140625" style="324"/>
  </cols>
  <sheetData>
    <row r="1" spans="1:4" ht="15">
      <c r="A1" s="13" t="s">
        <v>195</v>
      </c>
      <c r="B1" s="403" t="str">
        <f>'1. key ratios'!B1</f>
        <v>სს ”საქართველოს ბანკი”</v>
      </c>
    </row>
    <row r="2" spans="1:4" s="17" customFormat="1" ht="15.75" customHeight="1">
      <c r="A2" s="17" t="s">
        <v>196</v>
      </c>
      <c r="B2" s="404">
        <f>'1. key ratios'!B2</f>
        <v>43190</v>
      </c>
    </row>
    <row r="3" spans="1:4" s="17" customFormat="1" ht="15.75" customHeight="1"/>
    <row r="4" spans="1:4" ht="13.5" thickBot="1">
      <c r="A4" s="325" t="s">
        <v>412</v>
      </c>
      <c r="B4" s="359" t="s">
        <v>413</v>
      </c>
    </row>
    <row r="5" spans="1:4" s="360" customFormat="1" ht="25.5">
      <c r="A5" s="510" t="s">
        <v>414</v>
      </c>
      <c r="B5" s="511"/>
      <c r="C5" s="342" t="s">
        <v>415</v>
      </c>
      <c r="D5" s="343" t="s">
        <v>416</v>
      </c>
    </row>
    <row r="6" spans="1:4" s="361" customFormat="1">
      <c r="A6" s="344">
        <v>1</v>
      </c>
      <c r="B6" s="345" t="s">
        <v>417</v>
      </c>
      <c r="C6" s="345"/>
      <c r="D6" s="346"/>
    </row>
    <row r="7" spans="1:4" s="361" customFormat="1">
      <c r="A7" s="347" t="s">
        <v>418</v>
      </c>
      <c r="B7" s="348" t="s">
        <v>419</v>
      </c>
      <c r="C7" s="348" t="s">
        <v>440</v>
      </c>
      <c r="D7" s="349"/>
    </row>
    <row r="8" spans="1:4" s="361" customFormat="1">
      <c r="A8" s="347" t="s">
        <v>420</v>
      </c>
      <c r="B8" s="348" t="s">
        <v>421</v>
      </c>
      <c r="C8" s="348" t="s">
        <v>422</v>
      </c>
      <c r="D8" s="349"/>
    </row>
    <row r="9" spans="1:4" s="361" customFormat="1">
      <c r="A9" s="347" t="s">
        <v>423</v>
      </c>
      <c r="B9" s="348" t="s">
        <v>424</v>
      </c>
      <c r="C9" s="348" t="s">
        <v>425</v>
      </c>
      <c r="D9" s="349"/>
    </row>
    <row r="10" spans="1:4" s="361" customFormat="1">
      <c r="A10" s="344" t="s">
        <v>426</v>
      </c>
      <c r="B10" s="345" t="s">
        <v>427</v>
      </c>
      <c r="C10" s="345"/>
      <c r="D10" s="346"/>
    </row>
    <row r="11" spans="1:4" s="362" customFormat="1">
      <c r="A11" s="350" t="s">
        <v>428</v>
      </c>
      <c r="B11" s="351" t="s">
        <v>429</v>
      </c>
      <c r="C11" s="351" t="s">
        <v>430</v>
      </c>
      <c r="D11" s="352"/>
    </row>
    <row r="12" spans="1:4" s="362" customFormat="1">
      <c r="A12" s="350" t="s">
        <v>431</v>
      </c>
      <c r="B12" s="351" t="s">
        <v>432</v>
      </c>
      <c r="C12" s="351" t="s">
        <v>433</v>
      </c>
      <c r="D12" s="352"/>
    </row>
    <row r="13" spans="1:4" s="362" customFormat="1">
      <c r="A13" s="350" t="s">
        <v>434</v>
      </c>
      <c r="B13" s="351" t="s">
        <v>435</v>
      </c>
      <c r="C13" s="351" t="s">
        <v>433</v>
      </c>
      <c r="D13" s="352"/>
    </row>
    <row r="14" spans="1:4" s="361" customFormat="1">
      <c r="A14" s="344" t="s">
        <v>436</v>
      </c>
      <c r="B14" s="345" t="s">
        <v>437</v>
      </c>
      <c r="C14" s="353"/>
      <c r="D14" s="346"/>
    </row>
    <row r="15" spans="1:4" s="361" customFormat="1">
      <c r="A15" s="375" t="s">
        <v>442</v>
      </c>
      <c r="B15" s="351" t="s">
        <v>445</v>
      </c>
      <c r="C15" s="351"/>
      <c r="D15" s="352"/>
    </row>
    <row r="16" spans="1:4" s="361" customFormat="1">
      <c r="A16" s="375" t="s">
        <v>443</v>
      </c>
      <c r="B16" s="351" t="s">
        <v>446</v>
      </c>
      <c r="C16" s="351"/>
      <c r="D16" s="352"/>
    </row>
    <row r="17" spans="1:6" s="361" customFormat="1">
      <c r="A17" s="375" t="s">
        <v>444</v>
      </c>
      <c r="B17" s="351" t="s">
        <v>447</v>
      </c>
      <c r="C17" s="351"/>
      <c r="D17" s="352"/>
    </row>
    <row r="18" spans="1:6" s="360" customFormat="1" ht="25.5">
      <c r="A18" s="512" t="s">
        <v>438</v>
      </c>
      <c r="B18" s="513"/>
      <c r="C18" s="354" t="s">
        <v>415</v>
      </c>
      <c r="D18" s="355" t="s">
        <v>416</v>
      </c>
    </row>
    <row r="19" spans="1:6" s="361" customFormat="1">
      <c r="A19" s="356">
        <v>4</v>
      </c>
      <c r="B19" s="351" t="s">
        <v>28</v>
      </c>
      <c r="C19" s="357">
        <v>0</v>
      </c>
      <c r="D19" s="358"/>
    </row>
    <row r="20" spans="1:6" s="361" customFormat="1">
      <c r="A20" s="356">
        <v>5</v>
      </c>
      <c r="B20" s="351" t="s">
        <v>94</v>
      </c>
      <c r="C20" s="357">
        <v>0</v>
      </c>
      <c r="D20" s="358"/>
    </row>
    <row r="21" spans="1:6" s="361" customFormat="1" ht="13.5" thickBot="1">
      <c r="A21" s="363" t="s">
        <v>439</v>
      </c>
      <c r="B21" s="364" t="s">
        <v>93</v>
      </c>
      <c r="C21" s="365">
        <v>0</v>
      </c>
      <c r="D21" s="366"/>
    </row>
    <row r="22" spans="1:6">
      <c r="F22" s="325"/>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9.9978637043366805E-2"/>
  </sheetPr>
  <dimension ref="A1:F44"/>
  <sheetViews>
    <sheetView zoomScaleNormal="100" workbookViewId="0">
      <pane xSplit="1" ySplit="5" topLeftCell="B21" activePane="bottomRight" state="frozen"/>
      <selection pane="topRight" activeCell="B1" sqref="B1"/>
      <selection pane="bottomLeft" activeCell="A5" sqref="A5"/>
      <selection pane="bottomRight" activeCell="B2" sqref="B2"/>
    </sheetView>
  </sheetViews>
  <sheetFormatPr defaultRowHeight="15.75"/>
  <cols>
    <col min="1" max="1" width="10.7109375" style="62" customWidth="1"/>
    <col min="2" max="2" width="91.85546875" style="62" customWidth="1"/>
    <col min="3" max="3" width="53.140625" style="62" customWidth="1"/>
    <col min="4" max="4" width="32.28515625" style="62" customWidth="1"/>
    <col min="5" max="5" width="9.42578125" customWidth="1"/>
    <col min="6" max="6" width="12" bestFit="1" customWidth="1"/>
  </cols>
  <sheetData>
    <row r="1" spans="1:6">
      <c r="A1" s="13" t="s">
        <v>195</v>
      </c>
      <c r="B1" s="403" t="str">
        <f>'1. key ratios'!B1</f>
        <v>სს ”საქართველოს ბანკი”</v>
      </c>
      <c r="E1" s="2"/>
      <c r="F1" s="2"/>
    </row>
    <row r="2" spans="1:6" s="17" customFormat="1" ht="15.75" customHeight="1">
      <c r="A2" s="17" t="s">
        <v>196</v>
      </c>
      <c r="B2" s="404">
        <f>'1. key ratios'!B2</f>
        <v>43190</v>
      </c>
    </row>
    <row r="3" spans="1:6" s="17" customFormat="1" ht="15.75" customHeight="1">
      <c r="A3" s="22"/>
    </row>
    <row r="4" spans="1:6" s="17" customFormat="1" ht="15.75" customHeight="1" thickBot="1">
      <c r="A4" s="17" t="s">
        <v>344</v>
      </c>
      <c r="B4" s="192" t="s">
        <v>276</v>
      </c>
      <c r="D4" s="194" t="s">
        <v>99</v>
      </c>
    </row>
    <row r="5" spans="1:6" ht="38.25">
      <c r="A5" s="146" t="s">
        <v>31</v>
      </c>
      <c r="B5" s="147" t="s">
        <v>238</v>
      </c>
      <c r="C5" s="148" t="s">
        <v>244</v>
      </c>
      <c r="D5" s="193" t="s">
        <v>277</v>
      </c>
    </row>
    <row r="6" spans="1:6">
      <c r="A6" s="136">
        <v>1</v>
      </c>
      <c r="B6" s="78" t="s">
        <v>160</v>
      </c>
      <c r="C6" s="394">
        <f>'2. RC'!E7</f>
        <v>420057758.84500003</v>
      </c>
      <c r="D6" s="137"/>
      <c r="E6" s="8"/>
    </row>
    <row r="7" spans="1:6">
      <c r="A7" s="136">
        <v>2</v>
      </c>
      <c r="B7" s="79" t="s">
        <v>161</v>
      </c>
      <c r="C7" s="394">
        <f>'2. RC'!E8</f>
        <v>1039477982.4915</v>
      </c>
      <c r="D7" s="138"/>
      <c r="E7" s="8"/>
    </row>
    <row r="8" spans="1:6">
      <c r="A8" s="136">
        <v>3</v>
      </c>
      <c r="B8" s="79" t="s">
        <v>162</v>
      </c>
      <c r="C8" s="394">
        <f>'2. RC'!E9</f>
        <v>1201978991.0899999</v>
      </c>
      <c r="D8" s="138"/>
      <c r="E8" s="8"/>
    </row>
    <row r="9" spans="1:6">
      <c r="A9" s="136">
        <v>4</v>
      </c>
      <c r="B9" s="79" t="s">
        <v>191</v>
      </c>
      <c r="C9" s="394">
        <f>'2. RC'!E10</f>
        <v>303.24</v>
      </c>
      <c r="D9" s="138"/>
      <c r="E9" s="8"/>
    </row>
    <row r="10" spans="1:6">
      <c r="A10" s="136">
        <v>5</v>
      </c>
      <c r="B10" s="79" t="s">
        <v>163</v>
      </c>
      <c r="C10" s="394">
        <f>'2. RC'!E11</f>
        <v>1735336071.4218407</v>
      </c>
      <c r="D10" s="138"/>
      <c r="E10" s="8"/>
    </row>
    <row r="11" spans="1:6">
      <c r="A11" s="136">
        <v>6.1</v>
      </c>
      <c r="B11" s="79" t="s">
        <v>164</v>
      </c>
      <c r="C11" s="394">
        <f>'2. RC'!E12</f>
        <v>7402455267.4399996</v>
      </c>
      <c r="D11" s="139"/>
      <c r="E11" s="9"/>
    </row>
    <row r="12" spans="1:6">
      <c r="A12" s="136">
        <v>6.2</v>
      </c>
      <c r="B12" s="80" t="s">
        <v>165</v>
      </c>
      <c r="C12" s="269">
        <f>'2. RC'!E13</f>
        <v>-341367075.99259996</v>
      </c>
      <c r="D12" s="220" t="s">
        <v>451</v>
      </c>
      <c r="E12" s="9"/>
    </row>
    <row r="13" spans="1:6">
      <c r="A13" s="136" t="s">
        <v>379</v>
      </c>
      <c r="B13" s="81" t="s">
        <v>380</v>
      </c>
      <c r="C13" s="269">
        <v>-136305913.63260001</v>
      </c>
      <c r="D13" s="220" t="s">
        <v>452</v>
      </c>
      <c r="E13" s="9"/>
    </row>
    <row r="14" spans="1:6">
      <c r="A14" s="136">
        <v>6</v>
      </c>
      <c r="B14" s="79" t="s">
        <v>166</v>
      </c>
      <c r="C14" s="275">
        <f>C11+C12</f>
        <v>7061088191.4473991</v>
      </c>
      <c r="D14" s="139"/>
      <c r="E14" s="8"/>
    </row>
    <row r="15" spans="1:6">
      <c r="A15" s="136">
        <v>7</v>
      </c>
      <c r="B15" s="79" t="s">
        <v>167</v>
      </c>
      <c r="C15" s="268">
        <f>'2. RC'!E15</f>
        <v>81552941.1241</v>
      </c>
      <c r="D15" s="138"/>
      <c r="E15" s="8"/>
    </row>
    <row r="16" spans="1:6">
      <c r="A16" s="136">
        <v>8</v>
      </c>
      <c r="B16" s="79" t="s">
        <v>168</v>
      </c>
      <c r="C16" s="268">
        <f>'2. RC'!E16</f>
        <v>102988868.09400001</v>
      </c>
      <c r="D16" s="138"/>
      <c r="E16" s="8"/>
    </row>
    <row r="17" spans="1:5">
      <c r="A17" s="136">
        <v>9</v>
      </c>
      <c r="B17" s="79" t="s">
        <v>169</v>
      </c>
      <c r="C17" s="268">
        <f>'2. RC'!E17</f>
        <v>124550555.72</v>
      </c>
      <c r="D17" s="138"/>
      <c r="E17" s="8"/>
    </row>
    <row r="18" spans="1:5">
      <c r="A18" s="136">
        <v>9.1</v>
      </c>
      <c r="B18" s="81" t="s">
        <v>253</v>
      </c>
      <c r="C18" s="269">
        <v>14366364.18</v>
      </c>
      <c r="D18" s="220" t="s">
        <v>453</v>
      </c>
      <c r="E18" s="8"/>
    </row>
    <row r="19" spans="1:5">
      <c r="A19" s="136">
        <v>9.1999999999999993</v>
      </c>
      <c r="B19" s="81" t="s">
        <v>243</v>
      </c>
      <c r="C19" s="269"/>
      <c r="D19" s="220"/>
      <c r="E19" s="8"/>
    </row>
    <row r="20" spans="1:5">
      <c r="A20" s="136">
        <v>9.3000000000000007</v>
      </c>
      <c r="B20" s="81" t="s">
        <v>242</v>
      </c>
      <c r="C20" s="269">
        <f>'9. Capital'!C23</f>
        <v>0</v>
      </c>
      <c r="D20" s="220" t="s">
        <v>454</v>
      </c>
      <c r="E20" s="8"/>
    </row>
    <row r="21" spans="1:5">
      <c r="A21" s="136">
        <v>10</v>
      </c>
      <c r="B21" s="79" t="s">
        <v>170</v>
      </c>
      <c r="C21" s="268">
        <f>'2. RC'!E18</f>
        <v>358926639.73469996</v>
      </c>
      <c r="D21" s="138"/>
      <c r="E21" s="8"/>
    </row>
    <row r="22" spans="1:5">
      <c r="A22" s="136">
        <v>10.1</v>
      </c>
      <c r="B22" s="81" t="s">
        <v>241</v>
      </c>
      <c r="C22" s="268">
        <f>'9. Capital'!C15</f>
        <v>76611548.769999996</v>
      </c>
      <c r="D22" s="220" t="s">
        <v>352</v>
      </c>
      <c r="E22" s="8"/>
    </row>
    <row r="23" spans="1:5">
      <c r="A23" s="136">
        <v>11</v>
      </c>
      <c r="B23" s="82" t="s">
        <v>171</v>
      </c>
      <c r="C23" s="270">
        <f>'2. RC'!E19</f>
        <v>265899369.88039997</v>
      </c>
      <c r="D23" s="140"/>
      <c r="E23" s="8"/>
    </row>
    <row r="24" spans="1:5">
      <c r="A24" s="136">
        <v>12</v>
      </c>
      <c r="B24" s="84" t="s">
        <v>172</v>
      </c>
      <c r="C24" s="271">
        <f>SUM(C6:C10,C14:C17,C21,C23)</f>
        <v>12391857673.088938</v>
      </c>
      <c r="D24" s="141"/>
      <c r="E24" s="7"/>
    </row>
    <row r="25" spans="1:5">
      <c r="A25" s="136">
        <v>13</v>
      </c>
      <c r="B25" s="79" t="s">
        <v>173</v>
      </c>
      <c r="C25" s="272">
        <f>'2. RC'!E22</f>
        <v>357186171.74000001</v>
      </c>
      <c r="D25" s="142"/>
      <c r="E25" s="8"/>
    </row>
    <row r="26" spans="1:5">
      <c r="A26" s="136">
        <v>14</v>
      </c>
      <c r="B26" s="79" t="s">
        <v>174</v>
      </c>
      <c r="C26" s="272">
        <f>'2. RC'!E23</f>
        <v>1962066059.3234999</v>
      </c>
      <c r="D26" s="138"/>
      <c r="E26" s="8"/>
    </row>
    <row r="27" spans="1:5">
      <c r="A27" s="136">
        <v>15</v>
      </c>
      <c r="B27" s="79" t="s">
        <v>175</v>
      </c>
      <c r="C27" s="272">
        <f>'2. RC'!E24</f>
        <v>1819759321.0179999</v>
      </c>
      <c r="D27" s="138"/>
      <c r="E27" s="8"/>
    </row>
    <row r="28" spans="1:5">
      <c r="A28" s="136">
        <v>16</v>
      </c>
      <c r="B28" s="79" t="s">
        <v>176</v>
      </c>
      <c r="C28" s="272">
        <f>'2. RC'!E25</f>
        <v>3159250535.1827002</v>
      </c>
      <c r="D28" s="138"/>
      <c r="E28" s="8"/>
    </row>
    <row r="29" spans="1:5">
      <c r="A29" s="136">
        <v>17</v>
      </c>
      <c r="B29" s="79" t="s">
        <v>177</v>
      </c>
      <c r="C29" s="272">
        <f>'2. RC'!E26</f>
        <v>1571150391.2</v>
      </c>
      <c r="D29" s="138"/>
      <c r="E29" s="8"/>
    </row>
    <row r="30" spans="1:5">
      <c r="A30" s="136">
        <v>18</v>
      </c>
      <c r="B30" s="79" t="s">
        <v>178</v>
      </c>
      <c r="C30" s="272">
        <f>'2. RC'!E27</f>
        <v>1639185628.6299</v>
      </c>
      <c r="D30" s="138"/>
      <c r="E30" s="8"/>
    </row>
    <row r="31" spans="1:5">
      <c r="A31" s="136">
        <v>19</v>
      </c>
      <c r="B31" s="79" t="s">
        <v>179</v>
      </c>
      <c r="C31" s="272">
        <f>'2. RC'!E28</f>
        <v>67314499.329999998</v>
      </c>
      <c r="D31" s="138"/>
      <c r="E31" s="8"/>
    </row>
    <row r="32" spans="1:5">
      <c r="A32" s="136">
        <v>20</v>
      </c>
      <c r="B32" s="79" t="s">
        <v>101</v>
      </c>
      <c r="C32" s="272">
        <f>'2. RC'!E29</f>
        <v>98911364.429999322</v>
      </c>
      <c r="D32" s="138"/>
      <c r="E32" s="8"/>
    </row>
    <row r="33" spans="1:5">
      <c r="A33" s="136">
        <v>20.100000000000001</v>
      </c>
      <c r="B33" s="83" t="s">
        <v>378</v>
      </c>
      <c r="C33" s="270">
        <v>12056954.43</v>
      </c>
      <c r="D33" s="220" t="s">
        <v>452</v>
      </c>
      <c r="E33" s="8"/>
    </row>
    <row r="34" spans="1:5">
      <c r="A34" s="136">
        <v>21</v>
      </c>
      <c r="B34" s="82" t="s">
        <v>180</v>
      </c>
      <c r="C34" s="270">
        <f>'2. RC'!E30</f>
        <v>398376000</v>
      </c>
      <c r="D34" s="140"/>
      <c r="E34" s="8"/>
    </row>
    <row r="35" spans="1:5">
      <c r="A35" s="136">
        <v>21.1</v>
      </c>
      <c r="B35" s="83" t="s">
        <v>240</v>
      </c>
      <c r="C35" s="273">
        <v>374232000</v>
      </c>
      <c r="D35" s="220" t="s">
        <v>451</v>
      </c>
      <c r="E35" s="8"/>
    </row>
    <row r="36" spans="1:5">
      <c r="A36" s="136">
        <v>22</v>
      </c>
      <c r="B36" s="84" t="s">
        <v>181</v>
      </c>
      <c r="C36" s="271">
        <f>SUM(C25:C32)+C34</f>
        <v>11073199970.854099</v>
      </c>
      <c r="D36" s="141"/>
      <c r="E36" s="7"/>
    </row>
    <row r="37" spans="1:5">
      <c r="A37" s="136">
        <v>23</v>
      </c>
      <c r="B37" s="82" t="s">
        <v>182</v>
      </c>
      <c r="C37" s="268">
        <f>'2. RC'!E33</f>
        <v>27821150.18</v>
      </c>
      <c r="D37" s="220" t="s">
        <v>455</v>
      </c>
      <c r="E37" s="8"/>
    </row>
    <row r="38" spans="1:5">
      <c r="A38" s="136">
        <v>24</v>
      </c>
      <c r="B38" s="82" t="s">
        <v>183</v>
      </c>
      <c r="C38" s="268">
        <f>'2. RC'!E34</f>
        <v>0</v>
      </c>
      <c r="D38" s="138"/>
      <c r="E38" s="8"/>
    </row>
    <row r="39" spans="1:5">
      <c r="A39" s="136">
        <v>25</v>
      </c>
      <c r="B39" s="82" t="s">
        <v>239</v>
      </c>
      <c r="C39" s="268">
        <f>'2. RC'!E35</f>
        <v>-2531851.2000000002</v>
      </c>
      <c r="D39" s="220" t="s">
        <v>456</v>
      </c>
      <c r="E39" s="8"/>
    </row>
    <row r="40" spans="1:5">
      <c r="A40" s="136">
        <v>26</v>
      </c>
      <c r="B40" s="82" t="s">
        <v>185</v>
      </c>
      <c r="C40" s="268">
        <f>'2. RC'!E36</f>
        <v>147828140.47999999</v>
      </c>
      <c r="D40" s="220" t="s">
        <v>457</v>
      </c>
      <c r="E40" s="8"/>
    </row>
    <row r="41" spans="1:5">
      <c r="A41" s="136">
        <v>27</v>
      </c>
      <c r="B41" s="82" t="s">
        <v>186</v>
      </c>
      <c r="C41" s="268">
        <f>'2. RC'!E37</f>
        <v>0</v>
      </c>
      <c r="D41" s="138"/>
      <c r="E41" s="8"/>
    </row>
    <row r="42" spans="1:5">
      <c r="A42" s="136">
        <v>28</v>
      </c>
      <c r="B42" s="82" t="s">
        <v>187</v>
      </c>
      <c r="C42" s="268">
        <f>'2. RC'!E38</f>
        <v>1115074480.3501401</v>
      </c>
      <c r="D42" s="220" t="s">
        <v>458</v>
      </c>
      <c r="E42" s="8"/>
    </row>
    <row r="43" spans="1:5">
      <c r="A43" s="136">
        <v>29</v>
      </c>
      <c r="B43" s="82" t="s">
        <v>40</v>
      </c>
      <c r="C43" s="268">
        <f>'2. RC'!E39</f>
        <v>30465782.424700003</v>
      </c>
      <c r="D43" s="220" t="s">
        <v>459</v>
      </c>
      <c r="E43" s="8"/>
    </row>
    <row r="44" spans="1:5" ht="16.5" thickBot="1">
      <c r="A44" s="143">
        <v>30</v>
      </c>
      <c r="B44" s="144" t="s">
        <v>188</v>
      </c>
      <c r="C44" s="274">
        <f>SUM(C37:C43)</f>
        <v>1318657702.2348402</v>
      </c>
      <c r="D44" s="145"/>
      <c r="E44" s="7"/>
    </row>
  </sheetData>
  <pageMargins left="0.7" right="0.7" top="0.75" bottom="0.75" header="0.3" footer="0.3"/>
  <pageSetup paperSize="9" scale="4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9.9978637043366805E-2"/>
  </sheetPr>
  <dimension ref="A1:S22"/>
  <sheetViews>
    <sheetView zoomScaleNormal="100" workbookViewId="0">
      <pane xSplit="2" ySplit="7" topLeftCell="M8" activePane="bottomRight" state="frozen"/>
      <selection pane="topRight" activeCell="C1" sqref="C1"/>
      <selection pane="bottomLeft" activeCell="A8" sqref="A8"/>
      <selection pane="bottomRight" activeCell="B2" sqref="B2"/>
    </sheetView>
  </sheetViews>
  <sheetFormatPr defaultColWidth="9.140625" defaultRowHeight="12.75"/>
  <cols>
    <col min="1" max="1" width="10.5703125" style="2" bestFit="1" customWidth="1"/>
    <col min="2" max="2" width="105.140625" style="2" bestFit="1" customWidth="1"/>
    <col min="3" max="3" width="12.7109375" style="2" bestFit="1" customWidth="1"/>
    <col min="4" max="4" width="13.28515625" style="2" bestFit="1" customWidth="1"/>
    <col min="5" max="5" width="12.7109375" style="2" bestFit="1" customWidth="1"/>
    <col min="6" max="6" width="13.28515625" style="2" bestFit="1" customWidth="1"/>
    <col min="7" max="7" width="12.7109375" style="2" bestFit="1" customWidth="1"/>
    <col min="8" max="8" width="13.28515625" style="2" bestFit="1" customWidth="1"/>
    <col min="9" max="9" width="10.28515625" style="2" bestFit="1" customWidth="1"/>
    <col min="10" max="10" width="13.42578125" style="2" bestFit="1" customWidth="1"/>
    <col min="11" max="11" width="15.140625" style="2" bestFit="1" customWidth="1"/>
    <col min="12" max="12" width="13.42578125" style="2" bestFit="1" customWidth="1"/>
    <col min="13" max="13" width="14" style="2" bestFit="1" customWidth="1"/>
    <col min="14" max="14" width="13.42578125" style="2" bestFit="1" customWidth="1"/>
    <col min="15" max="15" width="13.28515625" style="2" bestFit="1" customWidth="1"/>
    <col min="16" max="16" width="13.42578125" style="2" bestFit="1" customWidth="1"/>
    <col min="17" max="17" width="13.28515625" style="2" bestFit="1" customWidth="1"/>
    <col min="18" max="18" width="13.42578125" style="2" bestFit="1" customWidth="1"/>
    <col min="19" max="19" width="33.140625" style="418" bestFit="1" customWidth="1"/>
    <col min="20" max="16384" width="9.140625" style="11"/>
  </cols>
  <sheetData>
    <row r="1" spans="1:19">
      <c r="A1" s="2" t="s">
        <v>195</v>
      </c>
      <c r="B1" s="403" t="str">
        <f>'1. key ratios'!B1</f>
        <v>სს ”საქართველოს ბანკი”</v>
      </c>
    </row>
    <row r="2" spans="1:19">
      <c r="A2" s="2" t="s">
        <v>196</v>
      </c>
      <c r="B2" s="404">
        <f>'1. key ratios'!B2</f>
        <v>43190</v>
      </c>
    </row>
    <row r="4" spans="1:19" ht="26.25" thickBot="1">
      <c r="A4" s="61" t="s">
        <v>345</v>
      </c>
      <c r="B4" s="294" t="s">
        <v>368</v>
      </c>
    </row>
    <row r="5" spans="1:19">
      <c r="A5" s="124"/>
      <c r="B5" s="127"/>
      <c r="C5" s="109" t="s">
        <v>0</v>
      </c>
      <c r="D5" s="109" t="s">
        <v>1</v>
      </c>
      <c r="E5" s="109" t="s">
        <v>2</v>
      </c>
      <c r="F5" s="109" t="s">
        <v>3</v>
      </c>
      <c r="G5" s="109" t="s">
        <v>4</v>
      </c>
      <c r="H5" s="109" t="s">
        <v>9</v>
      </c>
      <c r="I5" s="109" t="s">
        <v>245</v>
      </c>
      <c r="J5" s="109" t="s">
        <v>246</v>
      </c>
      <c r="K5" s="109" t="s">
        <v>247</v>
      </c>
      <c r="L5" s="109" t="s">
        <v>248</v>
      </c>
      <c r="M5" s="109" t="s">
        <v>249</v>
      </c>
      <c r="N5" s="109" t="s">
        <v>250</v>
      </c>
      <c r="O5" s="109" t="s">
        <v>355</v>
      </c>
      <c r="P5" s="109" t="s">
        <v>356</v>
      </c>
      <c r="Q5" s="109" t="s">
        <v>357</v>
      </c>
      <c r="R5" s="289" t="s">
        <v>358</v>
      </c>
      <c r="S5" s="434" t="s">
        <v>359</v>
      </c>
    </row>
    <row r="6" spans="1:19">
      <c r="A6" s="150"/>
      <c r="B6" s="518" t="s">
        <v>360</v>
      </c>
      <c r="C6" s="516">
        <v>0</v>
      </c>
      <c r="D6" s="517"/>
      <c r="E6" s="516">
        <v>0.2</v>
      </c>
      <c r="F6" s="517"/>
      <c r="G6" s="516">
        <v>0.35</v>
      </c>
      <c r="H6" s="517"/>
      <c r="I6" s="516">
        <v>0.5</v>
      </c>
      <c r="J6" s="517"/>
      <c r="K6" s="516">
        <v>0.75</v>
      </c>
      <c r="L6" s="517"/>
      <c r="M6" s="516">
        <v>1</v>
      </c>
      <c r="N6" s="517"/>
      <c r="O6" s="516">
        <v>1.5</v>
      </c>
      <c r="P6" s="517"/>
      <c r="Q6" s="516">
        <v>2.5</v>
      </c>
      <c r="R6" s="517"/>
      <c r="S6" s="514" t="s">
        <v>258</v>
      </c>
    </row>
    <row r="7" spans="1:19">
      <c r="A7" s="150"/>
      <c r="B7" s="519"/>
      <c r="C7" s="293" t="s">
        <v>353</v>
      </c>
      <c r="D7" s="293" t="s">
        <v>354</v>
      </c>
      <c r="E7" s="293" t="s">
        <v>353</v>
      </c>
      <c r="F7" s="293" t="s">
        <v>354</v>
      </c>
      <c r="G7" s="293" t="s">
        <v>353</v>
      </c>
      <c r="H7" s="293" t="s">
        <v>354</v>
      </c>
      <c r="I7" s="293" t="s">
        <v>353</v>
      </c>
      <c r="J7" s="293" t="s">
        <v>354</v>
      </c>
      <c r="K7" s="293" t="s">
        <v>353</v>
      </c>
      <c r="L7" s="293" t="s">
        <v>354</v>
      </c>
      <c r="M7" s="293" t="s">
        <v>353</v>
      </c>
      <c r="N7" s="293" t="s">
        <v>354</v>
      </c>
      <c r="O7" s="293" t="s">
        <v>353</v>
      </c>
      <c r="P7" s="293" t="s">
        <v>354</v>
      </c>
      <c r="Q7" s="293" t="s">
        <v>353</v>
      </c>
      <c r="R7" s="293" t="s">
        <v>354</v>
      </c>
      <c r="S7" s="515"/>
    </row>
    <row r="8" spans="1:19" s="154" customFormat="1">
      <c r="A8" s="112">
        <v>1</v>
      </c>
      <c r="B8" s="172" t="s">
        <v>223</v>
      </c>
      <c r="C8" s="395">
        <v>1009899775.311532</v>
      </c>
      <c r="D8" s="395"/>
      <c r="E8" s="395">
        <v>26635554.547699999</v>
      </c>
      <c r="F8" s="396"/>
      <c r="G8" s="395">
        <v>0</v>
      </c>
      <c r="H8" s="395"/>
      <c r="I8" s="395">
        <v>0</v>
      </c>
      <c r="J8" s="395"/>
      <c r="K8" s="395">
        <v>0</v>
      </c>
      <c r="L8" s="395"/>
      <c r="M8" s="395">
        <v>938145611.94478393</v>
      </c>
      <c r="N8" s="395"/>
      <c r="O8" s="395">
        <v>0</v>
      </c>
      <c r="P8" s="395"/>
      <c r="Q8" s="395">
        <v>0</v>
      </c>
      <c r="R8" s="396"/>
      <c r="S8" s="435">
        <f>$C$6*SUM(C8:D8)+$E$6*SUM(E8:F8)+$G$6*SUM(G8:H8)+$I$6*SUM(I8:J8)+$K$6*SUM(K8:L8)+$M$6*SUM(M8:N8)+$O$6*SUM(O8:P8)+$Q$6*SUM(Q8:R8)</f>
        <v>943472722.85432398</v>
      </c>
    </row>
    <row r="9" spans="1:19" s="154" customFormat="1">
      <c r="A9" s="112">
        <v>2</v>
      </c>
      <c r="B9" s="172" t="s">
        <v>224</v>
      </c>
      <c r="C9" s="395">
        <v>0</v>
      </c>
      <c r="D9" s="395"/>
      <c r="E9" s="395">
        <v>0</v>
      </c>
      <c r="F9" s="395"/>
      <c r="G9" s="395">
        <v>0</v>
      </c>
      <c r="H9" s="395"/>
      <c r="I9" s="395">
        <v>0</v>
      </c>
      <c r="J9" s="395"/>
      <c r="K9" s="395">
        <v>0</v>
      </c>
      <c r="L9" s="395"/>
      <c r="M9" s="395">
        <v>0</v>
      </c>
      <c r="N9" s="395"/>
      <c r="O9" s="395">
        <v>0</v>
      </c>
      <c r="P9" s="395"/>
      <c r="Q9" s="395">
        <v>0</v>
      </c>
      <c r="R9" s="396"/>
      <c r="S9" s="435">
        <f t="shared" ref="S9:S21" si="0">$C$6*SUM(C9:D9)+$E$6*SUM(E9:F9)+$G$6*SUM(G9:H9)+$I$6*SUM(I9:J9)+$K$6*SUM(K9:L9)+$M$6*SUM(M9:N9)+$O$6*SUM(O9:P9)+$Q$6*SUM(Q9:R9)</f>
        <v>0</v>
      </c>
    </row>
    <row r="10" spans="1:19" s="154" customFormat="1">
      <c r="A10" s="112">
        <v>3</v>
      </c>
      <c r="B10" s="172" t="s">
        <v>225</v>
      </c>
      <c r="C10" s="395">
        <v>0</v>
      </c>
      <c r="D10" s="395"/>
      <c r="E10" s="395">
        <v>0</v>
      </c>
      <c r="F10" s="395"/>
      <c r="G10" s="395">
        <v>0</v>
      </c>
      <c r="H10" s="395"/>
      <c r="I10" s="395">
        <v>0</v>
      </c>
      <c r="J10" s="395"/>
      <c r="K10" s="395">
        <v>0</v>
      </c>
      <c r="L10" s="395"/>
      <c r="M10" s="395">
        <v>0</v>
      </c>
      <c r="N10" s="395"/>
      <c r="O10" s="395">
        <v>0</v>
      </c>
      <c r="P10" s="395"/>
      <c r="Q10" s="395">
        <v>0</v>
      </c>
      <c r="R10" s="396"/>
      <c r="S10" s="435">
        <f t="shared" si="0"/>
        <v>0</v>
      </c>
    </row>
    <row r="11" spans="1:19" s="154" customFormat="1">
      <c r="A11" s="112">
        <v>4</v>
      </c>
      <c r="B11" s="172" t="s">
        <v>226</v>
      </c>
      <c r="C11" s="395">
        <v>0</v>
      </c>
      <c r="D11" s="395"/>
      <c r="E11" s="395">
        <v>0</v>
      </c>
      <c r="F11" s="395"/>
      <c r="G11" s="395">
        <v>0</v>
      </c>
      <c r="H11" s="395"/>
      <c r="I11" s="395">
        <v>0</v>
      </c>
      <c r="J11" s="395"/>
      <c r="K11" s="395">
        <v>0</v>
      </c>
      <c r="L11" s="395"/>
      <c r="M11" s="395">
        <v>0</v>
      </c>
      <c r="N11" s="395"/>
      <c r="O11" s="395">
        <v>0</v>
      </c>
      <c r="P11" s="395"/>
      <c r="Q11" s="395">
        <v>0</v>
      </c>
      <c r="R11" s="396"/>
      <c r="S11" s="435">
        <f t="shared" si="0"/>
        <v>0</v>
      </c>
    </row>
    <row r="12" spans="1:19" s="154" customFormat="1">
      <c r="A12" s="112">
        <v>5</v>
      </c>
      <c r="B12" s="172" t="s">
        <v>227</v>
      </c>
      <c r="C12" s="395">
        <v>526381162.34799999</v>
      </c>
      <c r="D12" s="395"/>
      <c r="E12" s="395">
        <v>0</v>
      </c>
      <c r="F12" s="395"/>
      <c r="G12" s="395">
        <v>0</v>
      </c>
      <c r="H12" s="395"/>
      <c r="I12" s="395">
        <v>0</v>
      </c>
      <c r="J12" s="395"/>
      <c r="K12" s="395">
        <v>0</v>
      </c>
      <c r="L12" s="395"/>
      <c r="M12" s="395">
        <v>0</v>
      </c>
      <c r="N12" s="395"/>
      <c r="O12" s="395">
        <v>0</v>
      </c>
      <c r="P12" s="395"/>
      <c r="Q12" s="395">
        <v>0</v>
      </c>
      <c r="R12" s="396"/>
      <c r="S12" s="435">
        <f t="shared" si="0"/>
        <v>0</v>
      </c>
    </row>
    <row r="13" spans="1:19" s="154" customFormat="1">
      <c r="A13" s="112">
        <v>6</v>
      </c>
      <c r="B13" s="172" t="s">
        <v>228</v>
      </c>
      <c r="C13" s="395">
        <v>0</v>
      </c>
      <c r="D13" s="395"/>
      <c r="E13" s="395">
        <v>1329018268.8469999</v>
      </c>
      <c r="F13" s="395"/>
      <c r="G13" s="395">
        <v>0</v>
      </c>
      <c r="H13" s="395"/>
      <c r="I13" s="395">
        <v>90924518.468999997</v>
      </c>
      <c r="J13" s="395"/>
      <c r="K13" s="395">
        <v>0</v>
      </c>
      <c r="L13" s="395"/>
      <c r="M13" s="395">
        <v>12503767.119999999</v>
      </c>
      <c r="N13" s="395"/>
      <c r="O13" s="395">
        <v>219.55</v>
      </c>
      <c r="P13" s="395"/>
      <c r="Q13" s="395">
        <v>0</v>
      </c>
      <c r="R13" s="396"/>
      <c r="S13" s="435">
        <f t="shared" si="0"/>
        <v>323770009.44889998</v>
      </c>
    </row>
    <row r="14" spans="1:19" s="154" customFormat="1">
      <c r="A14" s="112">
        <v>7</v>
      </c>
      <c r="B14" s="172" t="s">
        <v>78</v>
      </c>
      <c r="C14" s="395">
        <v>0</v>
      </c>
      <c r="D14" s="395"/>
      <c r="E14" s="395">
        <v>0</v>
      </c>
      <c r="F14" s="395"/>
      <c r="G14" s="395">
        <v>0</v>
      </c>
      <c r="H14" s="395"/>
      <c r="I14" s="395">
        <v>0</v>
      </c>
      <c r="J14" s="395"/>
      <c r="K14" s="395">
        <v>0</v>
      </c>
      <c r="L14" s="395"/>
      <c r="M14" s="395">
        <v>2301731840.8223681</v>
      </c>
      <c r="N14" s="395">
        <v>322590861.15818</v>
      </c>
      <c r="O14" s="395">
        <v>96814133</v>
      </c>
      <c r="P14" s="395"/>
      <c r="Q14" s="395">
        <v>0</v>
      </c>
      <c r="R14" s="396"/>
      <c r="S14" s="435">
        <f t="shared" si="0"/>
        <v>2769543901.4805479</v>
      </c>
    </row>
    <row r="15" spans="1:19" s="154" customFormat="1">
      <c r="A15" s="112">
        <v>8</v>
      </c>
      <c r="B15" s="172" t="s">
        <v>79</v>
      </c>
      <c r="C15" s="395">
        <v>0</v>
      </c>
      <c r="D15" s="395"/>
      <c r="E15" s="395">
        <v>0</v>
      </c>
      <c r="F15" s="395"/>
      <c r="G15" s="395">
        <v>0</v>
      </c>
      <c r="H15" s="395"/>
      <c r="I15" s="395">
        <v>0</v>
      </c>
      <c r="J15" s="395"/>
      <c r="K15" s="395">
        <v>3334854822.6197</v>
      </c>
      <c r="L15" s="395">
        <v>122786044.6287</v>
      </c>
      <c r="M15" s="395">
        <v>0</v>
      </c>
      <c r="N15" s="395">
        <v>0</v>
      </c>
      <c r="O15" s="395">
        <v>0</v>
      </c>
      <c r="P15" s="395"/>
      <c r="Q15" s="395">
        <v>0</v>
      </c>
      <c r="R15" s="396"/>
      <c r="S15" s="435">
        <f t="shared" si="0"/>
        <v>2593230650.4362998</v>
      </c>
    </row>
    <row r="16" spans="1:19" s="154" customFormat="1">
      <c r="A16" s="112">
        <v>9</v>
      </c>
      <c r="B16" s="172" t="s">
        <v>80</v>
      </c>
      <c r="C16" s="395">
        <v>0</v>
      </c>
      <c r="D16" s="395"/>
      <c r="E16" s="395">
        <v>0</v>
      </c>
      <c r="F16" s="395"/>
      <c r="G16" s="395">
        <v>1133794197.0097001</v>
      </c>
      <c r="H16" s="395"/>
      <c r="I16" s="395">
        <v>0</v>
      </c>
      <c r="J16" s="395"/>
      <c r="K16" s="395">
        <v>0</v>
      </c>
      <c r="L16" s="395"/>
      <c r="M16" s="395">
        <v>0</v>
      </c>
      <c r="N16" s="395"/>
      <c r="O16" s="395">
        <v>0</v>
      </c>
      <c r="P16" s="395"/>
      <c r="Q16" s="395">
        <v>0</v>
      </c>
      <c r="R16" s="396"/>
      <c r="S16" s="435">
        <f t="shared" si="0"/>
        <v>396827968.95339501</v>
      </c>
    </row>
    <row r="17" spans="1:19" s="154" customFormat="1">
      <c r="A17" s="112">
        <v>10</v>
      </c>
      <c r="B17" s="172" t="s">
        <v>74</v>
      </c>
      <c r="C17" s="395">
        <v>0</v>
      </c>
      <c r="D17" s="395"/>
      <c r="E17" s="395">
        <v>0</v>
      </c>
      <c r="F17" s="395"/>
      <c r="G17" s="395">
        <v>0</v>
      </c>
      <c r="H17" s="395"/>
      <c r="I17" s="395">
        <v>2648460.0514680003</v>
      </c>
      <c r="J17" s="395"/>
      <c r="K17" s="395">
        <v>0</v>
      </c>
      <c r="L17" s="395"/>
      <c r="M17" s="395">
        <v>99556610.3219001</v>
      </c>
      <c r="N17" s="395"/>
      <c r="O17" s="395">
        <v>6904829.5248318836</v>
      </c>
      <c r="P17" s="395"/>
      <c r="Q17" s="395">
        <v>0</v>
      </c>
      <c r="R17" s="396"/>
      <c r="S17" s="435">
        <f t="shared" si="0"/>
        <v>111238084.63488193</v>
      </c>
    </row>
    <row r="18" spans="1:19" s="154" customFormat="1">
      <c r="A18" s="112">
        <v>11</v>
      </c>
      <c r="B18" s="172" t="s">
        <v>75</v>
      </c>
      <c r="C18" s="395">
        <v>0</v>
      </c>
      <c r="D18" s="395"/>
      <c r="E18" s="395">
        <v>0</v>
      </c>
      <c r="F18" s="395"/>
      <c r="G18" s="395">
        <v>0</v>
      </c>
      <c r="H18" s="395"/>
      <c r="I18" s="395">
        <v>0</v>
      </c>
      <c r="J18" s="395"/>
      <c r="K18" s="395">
        <v>0</v>
      </c>
      <c r="L18" s="395"/>
      <c r="M18" s="395">
        <v>166515480.6636</v>
      </c>
      <c r="N18" s="395"/>
      <c r="O18" s="395">
        <v>203168338.4262</v>
      </c>
      <c r="P18" s="395"/>
      <c r="Q18" s="395">
        <v>30805654.754423801</v>
      </c>
      <c r="R18" s="396"/>
      <c r="S18" s="435">
        <f t="shared" si="0"/>
        <v>548282125.18895948</v>
      </c>
    </row>
    <row r="19" spans="1:19" s="154" customFormat="1">
      <c r="A19" s="112">
        <v>12</v>
      </c>
      <c r="B19" s="172" t="s">
        <v>76</v>
      </c>
      <c r="C19" s="395">
        <v>0</v>
      </c>
      <c r="D19" s="395"/>
      <c r="E19" s="395">
        <v>0</v>
      </c>
      <c r="F19" s="395"/>
      <c r="G19" s="395">
        <v>0</v>
      </c>
      <c r="H19" s="395"/>
      <c r="I19" s="395">
        <v>0</v>
      </c>
      <c r="J19" s="395"/>
      <c r="K19" s="395">
        <v>0</v>
      </c>
      <c r="L19" s="395"/>
      <c r="M19" s="395">
        <v>0</v>
      </c>
      <c r="N19" s="395"/>
      <c r="O19" s="395">
        <v>0</v>
      </c>
      <c r="P19" s="395"/>
      <c r="Q19" s="395">
        <v>0</v>
      </c>
      <c r="R19" s="396"/>
      <c r="S19" s="435">
        <f t="shared" si="0"/>
        <v>0</v>
      </c>
    </row>
    <row r="20" spans="1:19" s="154" customFormat="1">
      <c r="A20" s="112">
        <v>13</v>
      </c>
      <c r="B20" s="172" t="s">
        <v>77</v>
      </c>
      <c r="C20" s="395">
        <v>0</v>
      </c>
      <c r="D20" s="395"/>
      <c r="E20" s="395">
        <v>0</v>
      </c>
      <c r="F20" s="395"/>
      <c r="G20" s="395">
        <v>0</v>
      </c>
      <c r="H20" s="395"/>
      <c r="I20" s="395">
        <v>0</v>
      </c>
      <c r="J20" s="395"/>
      <c r="K20" s="395">
        <v>0</v>
      </c>
      <c r="L20" s="395"/>
      <c r="M20" s="395">
        <v>0</v>
      </c>
      <c r="N20" s="395"/>
      <c r="O20" s="395">
        <v>0</v>
      </c>
      <c r="P20" s="395"/>
      <c r="Q20" s="395">
        <v>0</v>
      </c>
      <c r="R20" s="396"/>
      <c r="S20" s="435">
        <f t="shared" si="0"/>
        <v>0</v>
      </c>
    </row>
    <row r="21" spans="1:19" s="154" customFormat="1">
      <c r="A21" s="112">
        <v>14</v>
      </c>
      <c r="B21" s="172" t="s">
        <v>256</v>
      </c>
      <c r="C21" s="395">
        <v>420057758.84500003</v>
      </c>
      <c r="D21" s="395"/>
      <c r="E21" s="395">
        <v>0</v>
      </c>
      <c r="F21" s="395"/>
      <c r="G21" s="395">
        <v>0</v>
      </c>
      <c r="H21" s="395"/>
      <c r="I21" s="395">
        <v>0</v>
      </c>
      <c r="J21" s="395"/>
      <c r="K21" s="395">
        <v>0</v>
      </c>
      <c r="L21" s="395"/>
      <c r="M21" s="395">
        <v>594332786.23421097</v>
      </c>
      <c r="N21" s="395"/>
      <c r="O21" s="395">
        <v>0</v>
      </c>
      <c r="P21" s="395"/>
      <c r="Q21" s="395">
        <v>110184191.53999998</v>
      </c>
      <c r="R21" s="396"/>
      <c r="S21" s="435">
        <f t="shared" si="0"/>
        <v>869793265.08421087</v>
      </c>
    </row>
    <row r="22" spans="1:19" ht="13.5" thickBot="1">
      <c r="A22" s="95"/>
      <c r="B22" s="156" t="s">
        <v>73</v>
      </c>
      <c r="C22" s="276">
        <f>SUM(C8:C21)</f>
        <v>1956338696.5045321</v>
      </c>
      <c r="D22" s="276">
        <f t="shared" ref="D22:S22" si="1">SUM(D8:D21)</f>
        <v>0</v>
      </c>
      <c r="E22" s="276">
        <f t="shared" si="1"/>
        <v>1355653823.3946998</v>
      </c>
      <c r="F22" s="276">
        <f t="shared" si="1"/>
        <v>0</v>
      </c>
      <c r="G22" s="276">
        <f t="shared" si="1"/>
        <v>1133794197.0097001</v>
      </c>
      <c r="H22" s="276">
        <f t="shared" si="1"/>
        <v>0</v>
      </c>
      <c r="I22" s="276">
        <f t="shared" si="1"/>
        <v>93572978.520467997</v>
      </c>
      <c r="J22" s="276">
        <f t="shared" si="1"/>
        <v>0</v>
      </c>
      <c r="K22" s="276">
        <f t="shared" si="1"/>
        <v>3334854822.6197</v>
      </c>
      <c r="L22" s="276">
        <f t="shared" si="1"/>
        <v>122786044.6287</v>
      </c>
      <c r="M22" s="276">
        <f t="shared" si="1"/>
        <v>4112786097.106863</v>
      </c>
      <c r="N22" s="276">
        <f t="shared" si="1"/>
        <v>322590861.15818</v>
      </c>
      <c r="O22" s="276">
        <f t="shared" si="1"/>
        <v>306887520.50103188</v>
      </c>
      <c r="P22" s="276">
        <f t="shared" si="1"/>
        <v>0</v>
      </c>
      <c r="Q22" s="276">
        <f t="shared" si="1"/>
        <v>140989846.29442379</v>
      </c>
      <c r="R22" s="276">
        <f t="shared" si="1"/>
        <v>0</v>
      </c>
      <c r="S22" s="436">
        <f t="shared" si="1"/>
        <v>8556158728.0815182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tint="-9.9978637043366805E-2"/>
  </sheetPr>
  <dimension ref="A1:V28"/>
  <sheetViews>
    <sheetView zoomScaleNormal="100" workbookViewId="0">
      <pane xSplit="2" ySplit="6" topLeftCell="P7" activePane="bottomRight" state="frozen"/>
      <selection pane="topRight" activeCell="C1" sqref="C1"/>
      <selection pane="bottomLeft" activeCell="A6" sqref="A6"/>
      <selection pane="bottomRight" activeCell="R32" sqref="R3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c r="A1" s="2" t="s">
        <v>195</v>
      </c>
      <c r="B1" s="403" t="str">
        <f>'1. key ratios'!B1</f>
        <v>სს ”საქართველოს ბანკი”</v>
      </c>
    </row>
    <row r="2" spans="1:22">
      <c r="A2" s="2" t="s">
        <v>196</v>
      </c>
      <c r="B2" s="404">
        <f>'1. key ratios'!B2</f>
        <v>43190</v>
      </c>
    </row>
    <row r="4" spans="1:22" ht="27.75" thickBot="1">
      <c r="A4" s="2" t="s">
        <v>346</v>
      </c>
      <c r="B4" s="295" t="s">
        <v>369</v>
      </c>
      <c r="V4" s="194" t="s">
        <v>99</v>
      </c>
    </row>
    <row r="5" spans="1:22">
      <c r="A5" s="93"/>
      <c r="B5" s="94"/>
      <c r="C5" s="520" t="s">
        <v>205</v>
      </c>
      <c r="D5" s="521"/>
      <c r="E5" s="521"/>
      <c r="F5" s="521"/>
      <c r="G5" s="521"/>
      <c r="H5" s="521"/>
      <c r="I5" s="521"/>
      <c r="J5" s="521"/>
      <c r="K5" s="521"/>
      <c r="L5" s="522"/>
      <c r="M5" s="520" t="s">
        <v>206</v>
      </c>
      <c r="N5" s="521"/>
      <c r="O5" s="521"/>
      <c r="P5" s="521"/>
      <c r="Q5" s="521"/>
      <c r="R5" s="521"/>
      <c r="S5" s="522"/>
      <c r="T5" s="525" t="s">
        <v>367</v>
      </c>
      <c r="U5" s="525" t="s">
        <v>366</v>
      </c>
      <c r="V5" s="523" t="s">
        <v>207</v>
      </c>
    </row>
    <row r="6" spans="1:22" s="61" customFormat="1" ht="140.25">
      <c r="A6" s="110"/>
      <c r="B6" s="174"/>
      <c r="C6" s="91" t="s">
        <v>208</v>
      </c>
      <c r="D6" s="90" t="s">
        <v>209</v>
      </c>
      <c r="E6" s="87" t="s">
        <v>210</v>
      </c>
      <c r="F6" s="296" t="s">
        <v>361</v>
      </c>
      <c r="G6" s="90" t="s">
        <v>211</v>
      </c>
      <c r="H6" s="90" t="s">
        <v>212</v>
      </c>
      <c r="I6" s="90" t="s">
        <v>213</v>
      </c>
      <c r="J6" s="90" t="s">
        <v>255</v>
      </c>
      <c r="K6" s="90" t="s">
        <v>214</v>
      </c>
      <c r="L6" s="92" t="s">
        <v>215</v>
      </c>
      <c r="M6" s="91" t="s">
        <v>216</v>
      </c>
      <c r="N6" s="90" t="s">
        <v>217</v>
      </c>
      <c r="O6" s="90" t="s">
        <v>218</v>
      </c>
      <c r="P6" s="90" t="s">
        <v>219</v>
      </c>
      <c r="Q6" s="90" t="s">
        <v>220</v>
      </c>
      <c r="R6" s="90" t="s">
        <v>221</v>
      </c>
      <c r="S6" s="92" t="s">
        <v>222</v>
      </c>
      <c r="T6" s="526"/>
      <c r="U6" s="526"/>
      <c r="V6" s="524"/>
    </row>
    <row r="7" spans="1:22" s="154" customFormat="1">
      <c r="A7" s="155">
        <v>1</v>
      </c>
      <c r="B7" s="153" t="s">
        <v>223</v>
      </c>
      <c r="C7" s="395"/>
      <c r="D7" s="395">
        <v>0</v>
      </c>
      <c r="E7" s="395"/>
      <c r="F7" s="395"/>
      <c r="G7" s="395"/>
      <c r="H7" s="395"/>
      <c r="I7" s="395"/>
      <c r="J7" s="395"/>
      <c r="K7" s="395"/>
      <c r="L7" s="395"/>
      <c r="M7" s="395">
        <v>0</v>
      </c>
      <c r="N7" s="395"/>
      <c r="O7" s="395"/>
      <c r="P7" s="395"/>
      <c r="Q7" s="395"/>
      <c r="R7" s="395">
        <v>0</v>
      </c>
      <c r="S7" s="395"/>
      <c r="T7" s="397">
        <v>0</v>
      </c>
      <c r="U7" s="395"/>
      <c r="V7" s="277">
        <f>SUM(C7:S7)</f>
        <v>0</v>
      </c>
    </row>
    <row r="8" spans="1:22" s="154" customFormat="1">
      <c r="A8" s="155">
        <v>2</v>
      </c>
      <c r="B8" s="153" t="s">
        <v>224</v>
      </c>
      <c r="C8" s="395"/>
      <c r="D8" s="395">
        <v>0</v>
      </c>
      <c r="E8" s="395"/>
      <c r="F8" s="395"/>
      <c r="G8" s="395"/>
      <c r="H8" s="395"/>
      <c r="I8" s="395"/>
      <c r="J8" s="395"/>
      <c r="K8" s="395"/>
      <c r="L8" s="395"/>
      <c r="M8" s="395"/>
      <c r="N8" s="395"/>
      <c r="O8" s="395"/>
      <c r="P8" s="395"/>
      <c r="Q8" s="395"/>
      <c r="R8" s="395">
        <v>0</v>
      </c>
      <c r="S8" s="395"/>
      <c r="T8" s="397">
        <v>0</v>
      </c>
      <c r="U8" s="395"/>
      <c r="V8" s="277">
        <f t="shared" ref="V8:V20" si="0">SUM(C8:S8)</f>
        <v>0</v>
      </c>
    </row>
    <row r="9" spans="1:22" s="154" customFormat="1">
      <c r="A9" s="155">
        <v>3</v>
      </c>
      <c r="B9" s="153" t="s">
        <v>225</v>
      </c>
      <c r="C9" s="395"/>
      <c r="D9" s="395">
        <v>0</v>
      </c>
      <c r="E9" s="395"/>
      <c r="F9" s="395"/>
      <c r="G9" s="395"/>
      <c r="H9" s="395"/>
      <c r="I9" s="395"/>
      <c r="J9" s="395"/>
      <c r="K9" s="395"/>
      <c r="L9" s="395"/>
      <c r="M9" s="395"/>
      <c r="N9" s="395"/>
      <c r="O9" s="395"/>
      <c r="P9" s="395"/>
      <c r="Q9" s="395"/>
      <c r="R9" s="395">
        <v>0</v>
      </c>
      <c r="S9" s="395"/>
      <c r="T9" s="397">
        <v>0</v>
      </c>
      <c r="U9" s="395"/>
      <c r="V9" s="277">
        <f>SUM(C9:S9)</f>
        <v>0</v>
      </c>
    </row>
    <row r="10" spans="1:22" s="154" customFormat="1">
      <c r="A10" s="155">
        <v>4</v>
      </c>
      <c r="B10" s="153" t="s">
        <v>226</v>
      </c>
      <c r="C10" s="395"/>
      <c r="D10" s="395">
        <v>0</v>
      </c>
      <c r="E10" s="395"/>
      <c r="F10" s="395"/>
      <c r="G10" s="395"/>
      <c r="H10" s="395"/>
      <c r="I10" s="395"/>
      <c r="J10" s="395"/>
      <c r="K10" s="395"/>
      <c r="L10" s="395"/>
      <c r="M10" s="395"/>
      <c r="N10" s="395"/>
      <c r="O10" s="395"/>
      <c r="P10" s="395"/>
      <c r="Q10" s="395"/>
      <c r="R10" s="395">
        <v>0</v>
      </c>
      <c r="S10" s="395"/>
      <c r="T10" s="397">
        <v>0</v>
      </c>
      <c r="U10" s="395"/>
      <c r="V10" s="277">
        <f t="shared" si="0"/>
        <v>0</v>
      </c>
    </row>
    <row r="11" spans="1:22" s="154" customFormat="1">
      <c r="A11" s="155">
        <v>5</v>
      </c>
      <c r="B11" s="153" t="s">
        <v>227</v>
      </c>
      <c r="C11" s="395"/>
      <c r="D11" s="395">
        <v>0</v>
      </c>
      <c r="E11" s="395"/>
      <c r="F11" s="395"/>
      <c r="G11" s="395"/>
      <c r="H11" s="395"/>
      <c r="I11" s="395"/>
      <c r="J11" s="395"/>
      <c r="K11" s="395"/>
      <c r="L11" s="395"/>
      <c r="M11" s="395"/>
      <c r="N11" s="395"/>
      <c r="O11" s="395"/>
      <c r="P11" s="395"/>
      <c r="Q11" s="395"/>
      <c r="R11" s="395">
        <v>0</v>
      </c>
      <c r="S11" s="395"/>
      <c r="T11" s="397">
        <v>0</v>
      </c>
      <c r="U11" s="395"/>
      <c r="V11" s="277">
        <f t="shared" si="0"/>
        <v>0</v>
      </c>
    </row>
    <row r="12" spans="1:22" s="154" customFormat="1">
      <c r="A12" s="155">
        <v>6</v>
      </c>
      <c r="B12" s="153" t="s">
        <v>228</v>
      </c>
      <c r="C12" s="395"/>
      <c r="D12" s="395">
        <v>0</v>
      </c>
      <c r="E12" s="395"/>
      <c r="F12" s="395"/>
      <c r="G12" s="395"/>
      <c r="H12" s="395"/>
      <c r="I12" s="395"/>
      <c r="J12" s="395"/>
      <c r="K12" s="395"/>
      <c r="L12" s="395"/>
      <c r="M12" s="395"/>
      <c r="N12" s="395"/>
      <c r="O12" s="395"/>
      <c r="P12" s="395"/>
      <c r="Q12" s="395"/>
      <c r="R12" s="395">
        <v>0</v>
      </c>
      <c r="S12" s="395"/>
      <c r="T12" s="397">
        <v>0</v>
      </c>
      <c r="U12" s="395"/>
      <c r="V12" s="277">
        <f t="shared" si="0"/>
        <v>0</v>
      </c>
    </row>
    <row r="13" spans="1:22" s="154" customFormat="1">
      <c r="A13" s="155">
        <v>7</v>
      </c>
      <c r="B13" s="153" t="s">
        <v>78</v>
      </c>
      <c r="C13" s="395"/>
      <c r="D13" s="395">
        <v>159996293.6268</v>
      </c>
      <c r="E13" s="395"/>
      <c r="F13" s="395"/>
      <c r="G13" s="395"/>
      <c r="H13" s="395"/>
      <c r="I13" s="395"/>
      <c r="J13" s="395"/>
      <c r="K13" s="395"/>
      <c r="L13" s="395"/>
      <c r="M13" s="395"/>
      <c r="N13" s="395"/>
      <c r="O13" s="395"/>
      <c r="P13" s="395"/>
      <c r="Q13" s="395"/>
      <c r="R13" s="395">
        <v>20542972.742699999</v>
      </c>
      <c r="S13" s="395"/>
      <c r="T13" s="397">
        <v>123579838.4972</v>
      </c>
      <c r="U13" s="395">
        <v>56959427.872299999</v>
      </c>
      <c r="V13" s="277">
        <f t="shared" si="0"/>
        <v>180539266.36950001</v>
      </c>
    </row>
    <row r="14" spans="1:22" s="154" customFormat="1">
      <c r="A14" s="155">
        <v>8</v>
      </c>
      <c r="B14" s="153" t="s">
        <v>79</v>
      </c>
      <c r="C14" s="395"/>
      <c r="D14" s="395">
        <v>22098924.493799999</v>
      </c>
      <c r="E14" s="395"/>
      <c r="F14" s="395"/>
      <c r="G14" s="395"/>
      <c r="H14" s="395"/>
      <c r="I14" s="395"/>
      <c r="J14" s="395">
        <v>31199808.7808</v>
      </c>
      <c r="K14" s="395"/>
      <c r="L14" s="395"/>
      <c r="M14" s="395"/>
      <c r="N14" s="395"/>
      <c r="O14" s="395"/>
      <c r="P14" s="395"/>
      <c r="Q14" s="395"/>
      <c r="R14" s="395">
        <v>0</v>
      </c>
      <c r="S14" s="395"/>
      <c r="T14" s="397">
        <v>53298733.274599999</v>
      </c>
      <c r="U14" s="395"/>
      <c r="V14" s="277">
        <f t="shared" si="0"/>
        <v>53298733.274599999</v>
      </c>
    </row>
    <row r="15" spans="1:22" s="154" customFormat="1">
      <c r="A15" s="155">
        <v>9</v>
      </c>
      <c r="B15" s="153" t="s">
        <v>80</v>
      </c>
      <c r="C15" s="395"/>
      <c r="D15" s="395">
        <v>454627.87520000001</v>
      </c>
      <c r="E15" s="395"/>
      <c r="F15" s="395"/>
      <c r="G15" s="395"/>
      <c r="H15" s="395"/>
      <c r="I15" s="395"/>
      <c r="J15" s="395"/>
      <c r="K15" s="395"/>
      <c r="L15" s="395"/>
      <c r="M15" s="395"/>
      <c r="N15" s="395"/>
      <c r="O15" s="395"/>
      <c r="P15" s="395"/>
      <c r="Q15" s="395"/>
      <c r="R15" s="395">
        <v>0</v>
      </c>
      <c r="S15" s="395"/>
      <c r="T15" s="397">
        <v>454627.87520000001</v>
      </c>
      <c r="U15" s="395"/>
      <c r="V15" s="277">
        <f t="shared" si="0"/>
        <v>454627.87520000001</v>
      </c>
    </row>
    <row r="16" spans="1:22" s="154" customFormat="1">
      <c r="A16" s="155">
        <v>10</v>
      </c>
      <c r="B16" s="153" t="s">
        <v>74</v>
      </c>
      <c r="C16" s="395"/>
      <c r="D16" s="395">
        <v>2477691.3250000002</v>
      </c>
      <c r="E16" s="395"/>
      <c r="F16" s="395"/>
      <c r="G16" s="395"/>
      <c r="H16" s="395"/>
      <c r="I16" s="395"/>
      <c r="J16" s="395"/>
      <c r="K16" s="395"/>
      <c r="L16" s="395"/>
      <c r="M16" s="395"/>
      <c r="N16" s="395"/>
      <c r="O16" s="395"/>
      <c r="P16" s="395"/>
      <c r="Q16" s="395"/>
      <c r="R16" s="395">
        <v>0</v>
      </c>
      <c r="S16" s="395"/>
      <c r="T16" s="397">
        <v>2477691.3250000002</v>
      </c>
      <c r="U16" s="395"/>
      <c r="V16" s="277">
        <f t="shared" si="0"/>
        <v>2477691.3250000002</v>
      </c>
    </row>
    <row r="17" spans="1:22" s="154" customFormat="1">
      <c r="A17" s="155">
        <v>11</v>
      </c>
      <c r="B17" s="153" t="s">
        <v>75</v>
      </c>
      <c r="C17" s="395"/>
      <c r="D17" s="395">
        <v>0</v>
      </c>
      <c r="E17" s="395"/>
      <c r="F17" s="395"/>
      <c r="G17" s="395"/>
      <c r="H17" s="395"/>
      <c r="I17" s="395"/>
      <c r="J17" s="395"/>
      <c r="K17" s="395"/>
      <c r="L17" s="395"/>
      <c r="M17" s="395"/>
      <c r="N17" s="395"/>
      <c r="O17" s="395"/>
      <c r="P17" s="395"/>
      <c r="Q17" s="395"/>
      <c r="R17" s="395">
        <v>0</v>
      </c>
      <c r="S17" s="395"/>
      <c r="T17" s="397">
        <v>0</v>
      </c>
      <c r="U17" s="395"/>
      <c r="V17" s="277">
        <f t="shared" si="0"/>
        <v>0</v>
      </c>
    </row>
    <row r="18" spans="1:22" s="154" customFormat="1">
      <c r="A18" s="155">
        <v>12</v>
      </c>
      <c r="B18" s="153" t="s">
        <v>76</v>
      </c>
      <c r="C18" s="395"/>
      <c r="D18" s="395">
        <v>0</v>
      </c>
      <c r="E18" s="395"/>
      <c r="F18" s="395"/>
      <c r="G18" s="395"/>
      <c r="H18" s="395"/>
      <c r="I18" s="395"/>
      <c r="J18" s="395"/>
      <c r="K18" s="395"/>
      <c r="L18" s="395"/>
      <c r="M18" s="395"/>
      <c r="N18" s="395"/>
      <c r="O18" s="395"/>
      <c r="P18" s="395"/>
      <c r="Q18" s="395"/>
      <c r="R18" s="395">
        <v>0</v>
      </c>
      <c r="S18" s="395"/>
      <c r="T18" s="397">
        <v>0</v>
      </c>
      <c r="U18" s="395"/>
      <c r="V18" s="277">
        <f t="shared" si="0"/>
        <v>0</v>
      </c>
    </row>
    <row r="19" spans="1:22" s="154" customFormat="1">
      <c r="A19" s="155">
        <v>13</v>
      </c>
      <c r="B19" s="153" t="s">
        <v>77</v>
      </c>
      <c r="C19" s="395"/>
      <c r="D19" s="395">
        <v>0</v>
      </c>
      <c r="E19" s="395"/>
      <c r="F19" s="395"/>
      <c r="G19" s="395"/>
      <c r="H19" s="395"/>
      <c r="I19" s="395"/>
      <c r="J19" s="395"/>
      <c r="K19" s="395"/>
      <c r="L19" s="395"/>
      <c r="M19" s="395"/>
      <c r="N19" s="395"/>
      <c r="O19" s="395"/>
      <c r="P19" s="395"/>
      <c r="Q19" s="395"/>
      <c r="R19" s="395">
        <v>0</v>
      </c>
      <c r="S19" s="395"/>
      <c r="T19" s="397">
        <v>0</v>
      </c>
      <c r="U19" s="395"/>
      <c r="V19" s="277">
        <f t="shared" si="0"/>
        <v>0</v>
      </c>
    </row>
    <row r="20" spans="1:22" s="154" customFormat="1">
      <c r="A20" s="155">
        <v>14</v>
      </c>
      <c r="B20" s="153" t="s">
        <v>256</v>
      </c>
      <c r="C20" s="395"/>
      <c r="D20" s="395">
        <v>0</v>
      </c>
      <c r="E20" s="395"/>
      <c r="F20" s="395"/>
      <c r="G20" s="395"/>
      <c r="H20" s="395"/>
      <c r="I20" s="395"/>
      <c r="J20" s="395"/>
      <c r="K20" s="395"/>
      <c r="L20" s="395"/>
      <c r="M20" s="395"/>
      <c r="N20" s="395"/>
      <c r="O20" s="395"/>
      <c r="P20" s="395"/>
      <c r="Q20" s="395"/>
      <c r="R20" s="395">
        <v>0</v>
      </c>
      <c r="S20" s="395"/>
      <c r="T20" s="397">
        <v>0</v>
      </c>
      <c r="U20" s="395"/>
      <c r="V20" s="277">
        <f t="shared" si="0"/>
        <v>0</v>
      </c>
    </row>
    <row r="21" spans="1:22" ht="13.5" thickBot="1">
      <c r="A21" s="95"/>
      <c r="B21" s="96" t="s">
        <v>73</v>
      </c>
      <c r="C21" s="278">
        <f>SUM(C7:C20)</f>
        <v>0</v>
      </c>
      <c r="D21" s="276">
        <f t="shared" ref="D21:V21" si="1">SUM(D7:D20)</f>
        <v>185027537.32079998</v>
      </c>
      <c r="E21" s="276">
        <f t="shared" si="1"/>
        <v>0</v>
      </c>
      <c r="F21" s="276">
        <f t="shared" si="1"/>
        <v>0</v>
      </c>
      <c r="G21" s="276">
        <f t="shared" si="1"/>
        <v>0</v>
      </c>
      <c r="H21" s="276">
        <f t="shared" si="1"/>
        <v>0</v>
      </c>
      <c r="I21" s="276">
        <f t="shared" si="1"/>
        <v>0</v>
      </c>
      <c r="J21" s="276">
        <f t="shared" si="1"/>
        <v>31199808.7808</v>
      </c>
      <c r="K21" s="276">
        <f t="shared" si="1"/>
        <v>0</v>
      </c>
      <c r="L21" s="279">
        <f t="shared" si="1"/>
        <v>0</v>
      </c>
      <c r="M21" s="278">
        <f t="shared" si="1"/>
        <v>0</v>
      </c>
      <c r="N21" s="276">
        <f t="shared" si="1"/>
        <v>0</v>
      </c>
      <c r="O21" s="276">
        <f t="shared" si="1"/>
        <v>0</v>
      </c>
      <c r="P21" s="276">
        <f t="shared" si="1"/>
        <v>0</v>
      </c>
      <c r="Q21" s="276">
        <f t="shared" si="1"/>
        <v>0</v>
      </c>
      <c r="R21" s="276">
        <f t="shared" si="1"/>
        <v>20542972.742699999</v>
      </c>
      <c r="S21" s="279">
        <f t="shared" si="1"/>
        <v>0</v>
      </c>
      <c r="T21" s="279">
        <f>SUM(T7:T20)</f>
        <v>179810890.97199997</v>
      </c>
      <c r="U21" s="279">
        <f t="shared" si="1"/>
        <v>56959427.872299999</v>
      </c>
      <c r="V21" s="280">
        <f t="shared" si="1"/>
        <v>236770318.8443</v>
      </c>
    </row>
    <row r="24" spans="1:22">
      <c r="A24" s="14"/>
      <c r="B24" s="14"/>
      <c r="C24" s="65"/>
      <c r="D24" s="65"/>
      <c r="E24" s="65"/>
    </row>
    <row r="25" spans="1:22">
      <c r="A25" s="88"/>
      <c r="B25" s="88"/>
      <c r="C25" s="14"/>
      <c r="D25" s="65"/>
      <c r="E25" s="65"/>
    </row>
    <row r="26" spans="1:22">
      <c r="A26" s="88"/>
      <c r="B26" s="89"/>
      <c r="C26" s="14"/>
      <c r="D26" s="65"/>
      <c r="E26" s="65"/>
    </row>
    <row r="27" spans="1:22">
      <c r="A27" s="88"/>
      <c r="B27" s="88"/>
      <c r="C27" s="14"/>
      <c r="D27" s="65"/>
      <c r="E27" s="65"/>
    </row>
    <row r="28" spans="1:22">
      <c r="A28" s="88"/>
      <c r="B28" s="89"/>
      <c r="C28" s="14"/>
      <c r="D28" s="65"/>
      <c r="E28" s="65"/>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G19" sqref="G19"/>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1"/>
  </cols>
  <sheetData>
    <row r="1" spans="1:9">
      <c r="A1" s="2" t="s">
        <v>195</v>
      </c>
      <c r="B1" s="403" t="str">
        <f>'1. key ratios'!B1</f>
        <v>სს ”საქართველოს ბანკი”</v>
      </c>
    </row>
    <row r="2" spans="1:9">
      <c r="A2" s="2" t="s">
        <v>196</v>
      </c>
      <c r="B2" s="404">
        <f>'1. key ratios'!B2</f>
        <v>43190</v>
      </c>
    </row>
    <row r="4" spans="1:9" ht="13.5" thickBot="1">
      <c r="A4" s="2" t="s">
        <v>347</v>
      </c>
      <c r="B4" s="292" t="s">
        <v>370</v>
      </c>
    </row>
    <row r="5" spans="1:9">
      <c r="A5" s="93"/>
      <c r="B5" s="151"/>
      <c r="C5" s="157" t="s">
        <v>0</v>
      </c>
      <c r="D5" s="157" t="s">
        <v>1</v>
      </c>
      <c r="E5" s="157" t="s">
        <v>2</v>
      </c>
      <c r="F5" s="157" t="s">
        <v>3</v>
      </c>
      <c r="G5" s="290" t="s">
        <v>4</v>
      </c>
      <c r="H5" s="158" t="s">
        <v>9</v>
      </c>
      <c r="I5" s="20"/>
    </row>
    <row r="6" spans="1:9" ht="15" customHeight="1">
      <c r="A6" s="150"/>
      <c r="B6" s="18"/>
      <c r="C6" s="527" t="s">
        <v>362</v>
      </c>
      <c r="D6" s="531" t="s">
        <v>372</v>
      </c>
      <c r="E6" s="532"/>
      <c r="F6" s="527" t="s">
        <v>373</v>
      </c>
      <c r="G6" s="527" t="s">
        <v>374</v>
      </c>
      <c r="H6" s="529" t="s">
        <v>364</v>
      </c>
      <c r="I6" s="20"/>
    </row>
    <row r="7" spans="1:9" ht="76.5">
      <c r="A7" s="150"/>
      <c r="B7" s="18"/>
      <c r="C7" s="528"/>
      <c r="D7" s="291" t="s">
        <v>365</v>
      </c>
      <c r="E7" s="291" t="s">
        <v>363</v>
      </c>
      <c r="F7" s="528"/>
      <c r="G7" s="528"/>
      <c r="H7" s="530"/>
      <c r="I7" s="20"/>
    </row>
    <row r="8" spans="1:9">
      <c r="A8" s="85">
        <v>1</v>
      </c>
      <c r="B8" s="67" t="s">
        <v>223</v>
      </c>
      <c r="C8" s="398">
        <v>1974680941.8040161</v>
      </c>
      <c r="D8" s="398"/>
      <c r="E8" s="398"/>
      <c r="F8" s="398">
        <v>943472722.85432398</v>
      </c>
      <c r="G8" s="481">
        <f>F8</f>
        <v>943472722.85432398</v>
      </c>
      <c r="H8" s="297">
        <f>G8/(C8+E8)</f>
        <v>0.47778489318501871</v>
      </c>
    </row>
    <row r="9" spans="1:9" ht="15" customHeight="1">
      <c r="A9" s="85">
        <v>2</v>
      </c>
      <c r="B9" s="67" t="s">
        <v>224</v>
      </c>
      <c r="C9" s="398">
        <v>0</v>
      </c>
      <c r="D9" s="398"/>
      <c r="E9" s="398"/>
      <c r="F9" s="398"/>
      <c r="G9" s="481">
        <f t="shared" ref="G9:G21" si="0">F9</f>
        <v>0</v>
      </c>
      <c r="H9" s="297" t="e">
        <f t="shared" ref="H9:H21" si="1">G9/(C9+E9)</f>
        <v>#DIV/0!</v>
      </c>
    </row>
    <row r="10" spans="1:9">
      <c r="A10" s="85">
        <v>3</v>
      </c>
      <c r="B10" s="67" t="s">
        <v>225</v>
      </c>
      <c r="C10" s="398">
        <v>0</v>
      </c>
      <c r="D10" s="398"/>
      <c r="E10" s="398"/>
      <c r="F10" s="398"/>
      <c r="G10" s="481">
        <f t="shared" si="0"/>
        <v>0</v>
      </c>
      <c r="H10" s="297" t="e">
        <f t="shared" si="1"/>
        <v>#DIV/0!</v>
      </c>
    </row>
    <row r="11" spans="1:9">
      <c r="A11" s="85">
        <v>4</v>
      </c>
      <c r="B11" s="67" t="s">
        <v>226</v>
      </c>
      <c r="C11" s="398">
        <v>0</v>
      </c>
      <c r="D11" s="398"/>
      <c r="E11" s="398"/>
      <c r="F11" s="398"/>
      <c r="G11" s="481">
        <f t="shared" si="0"/>
        <v>0</v>
      </c>
      <c r="H11" s="297" t="e">
        <f t="shared" si="1"/>
        <v>#DIV/0!</v>
      </c>
    </row>
    <row r="12" spans="1:9">
      <c r="A12" s="85">
        <v>5</v>
      </c>
      <c r="B12" s="67" t="s">
        <v>227</v>
      </c>
      <c r="C12" s="398">
        <v>526381162.34799999</v>
      </c>
      <c r="D12" s="398"/>
      <c r="E12" s="398"/>
      <c r="F12" s="398"/>
      <c r="G12" s="481">
        <f t="shared" si="0"/>
        <v>0</v>
      </c>
      <c r="H12" s="297">
        <f t="shared" si="1"/>
        <v>0</v>
      </c>
    </row>
    <row r="13" spans="1:9">
      <c r="A13" s="85">
        <v>6</v>
      </c>
      <c r="B13" s="67" t="s">
        <v>228</v>
      </c>
      <c r="C13" s="398">
        <v>1432446773.9859998</v>
      </c>
      <c r="D13" s="398"/>
      <c r="E13" s="398"/>
      <c r="F13" s="398">
        <v>323770009.44889998</v>
      </c>
      <c r="G13" s="481">
        <f t="shared" si="0"/>
        <v>323770009.44889998</v>
      </c>
      <c r="H13" s="297">
        <f t="shared" si="1"/>
        <v>0.22602585682675033</v>
      </c>
    </row>
    <row r="14" spans="1:9">
      <c r="A14" s="85">
        <v>7</v>
      </c>
      <c r="B14" s="67" t="s">
        <v>78</v>
      </c>
      <c r="C14" s="398">
        <v>2398545973.8223681</v>
      </c>
      <c r="D14" s="398">
        <v>792000132.81529999</v>
      </c>
      <c r="E14" s="398">
        <v>322590861.15817994</v>
      </c>
      <c r="F14" s="398">
        <v>2769543901.4805479</v>
      </c>
      <c r="G14" s="481">
        <v>2589004635.1110477</v>
      </c>
      <c r="H14" s="297">
        <f t="shared" si="1"/>
        <v>0.95144228023709632</v>
      </c>
    </row>
    <row r="15" spans="1:9">
      <c r="A15" s="85">
        <v>8</v>
      </c>
      <c r="B15" s="67" t="s">
        <v>79</v>
      </c>
      <c r="C15" s="398">
        <v>3334854822.6197</v>
      </c>
      <c r="D15" s="398">
        <v>248638528.8114</v>
      </c>
      <c r="E15" s="398">
        <v>122786044.6287</v>
      </c>
      <c r="F15" s="398">
        <v>2593230650.4363003</v>
      </c>
      <c r="G15" s="481">
        <v>2539931917.1617002</v>
      </c>
      <c r="H15" s="297">
        <f t="shared" si="1"/>
        <v>0.73458523157235389</v>
      </c>
    </row>
    <row r="16" spans="1:9">
      <c r="A16" s="85">
        <v>9</v>
      </c>
      <c r="B16" s="67" t="s">
        <v>80</v>
      </c>
      <c r="C16" s="398">
        <v>1133794197.0097001</v>
      </c>
      <c r="D16" s="398"/>
      <c r="E16" s="398"/>
      <c r="F16" s="398">
        <v>396827968.95339501</v>
      </c>
      <c r="G16" s="481">
        <v>396373341.07819504</v>
      </c>
      <c r="H16" s="297">
        <f t="shared" si="1"/>
        <v>0.34959902081312549</v>
      </c>
    </row>
    <row r="17" spans="1:8">
      <c r="A17" s="85">
        <v>10</v>
      </c>
      <c r="B17" s="67" t="s">
        <v>74</v>
      </c>
      <c r="C17" s="398">
        <v>109109899.89819998</v>
      </c>
      <c r="D17" s="398"/>
      <c r="E17" s="398"/>
      <c r="F17" s="398">
        <v>111238084.63488193</v>
      </c>
      <c r="G17" s="481">
        <v>108760393.30988193</v>
      </c>
      <c r="H17" s="297">
        <f t="shared" si="1"/>
        <v>0.99679674723701384</v>
      </c>
    </row>
    <row r="18" spans="1:8">
      <c r="A18" s="85">
        <v>11</v>
      </c>
      <c r="B18" s="67" t="s">
        <v>75</v>
      </c>
      <c r="C18" s="398">
        <v>400489473.8442238</v>
      </c>
      <c r="D18" s="398"/>
      <c r="E18" s="398"/>
      <c r="F18" s="398">
        <v>548282125.18895948</v>
      </c>
      <c r="G18" s="481">
        <f t="shared" si="0"/>
        <v>548282125.18895948</v>
      </c>
      <c r="H18" s="297">
        <f t="shared" si="1"/>
        <v>1.369030051966414</v>
      </c>
    </row>
    <row r="19" spans="1:8">
      <c r="A19" s="85">
        <v>12</v>
      </c>
      <c r="B19" s="67" t="s">
        <v>76</v>
      </c>
      <c r="C19" s="398">
        <v>0</v>
      </c>
      <c r="D19" s="398"/>
      <c r="E19" s="398"/>
      <c r="F19" s="398"/>
      <c r="G19" s="481">
        <f t="shared" si="0"/>
        <v>0</v>
      </c>
      <c r="H19" s="297" t="e">
        <f t="shared" si="1"/>
        <v>#DIV/0!</v>
      </c>
    </row>
    <row r="20" spans="1:8">
      <c r="A20" s="85">
        <v>13</v>
      </c>
      <c r="B20" s="67" t="s">
        <v>77</v>
      </c>
      <c r="C20" s="398">
        <v>0</v>
      </c>
      <c r="D20" s="398"/>
      <c r="E20" s="398"/>
      <c r="F20" s="398"/>
      <c r="G20" s="481">
        <f t="shared" si="0"/>
        <v>0</v>
      </c>
      <c r="H20" s="297" t="e">
        <f t="shared" si="1"/>
        <v>#DIV/0!</v>
      </c>
    </row>
    <row r="21" spans="1:8">
      <c r="A21" s="85">
        <v>14</v>
      </c>
      <c r="B21" s="67" t="s">
        <v>256</v>
      </c>
      <c r="C21" s="398">
        <v>1124574736.619211</v>
      </c>
      <c r="D21" s="398"/>
      <c r="E21" s="398"/>
      <c r="F21" s="398">
        <v>869793265.08421087</v>
      </c>
      <c r="G21" s="481">
        <f t="shared" si="0"/>
        <v>869793265.08421087</v>
      </c>
      <c r="H21" s="297">
        <f t="shared" si="1"/>
        <v>0.77344193921611193</v>
      </c>
    </row>
    <row r="22" spans="1:8" ht="13.5" thickBot="1">
      <c r="A22" s="152"/>
      <c r="B22" s="159" t="s">
        <v>73</v>
      </c>
      <c r="C22" s="276">
        <f t="shared" ref="C22:G22" si="2">SUM(C8:C21)</f>
        <v>12434877981.951418</v>
      </c>
      <c r="D22" s="276">
        <f t="shared" si="2"/>
        <v>1040638661.6266999</v>
      </c>
      <c r="E22" s="276">
        <f t="shared" si="2"/>
        <v>445376905.78687996</v>
      </c>
      <c r="F22" s="276">
        <f t="shared" si="2"/>
        <v>8556158728.0815182</v>
      </c>
      <c r="G22" s="276">
        <f t="shared" si="2"/>
        <v>8319388409.2372189</v>
      </c>
      <c r="H22" s="298">
        <f>G22/(C22+E22)</f>
        <v>0.64590246712874311</v>
      </c>
    </row>
    <row r="28" spans="1:8" ht="10.5" customHeight="1"/>
  </sheetData>
  <mergeCells count="5">
    <mergeCell ref="C6:C7"/>
    <mergeCell ref="F6:F7"/>
    <mergeCell ref="G6:G7"/>
    <mergeCell ref="H6:H7"/>
    <mergeCell ref="D6:E6"/>
  </mergeCells>
  <pageMargins left="0.7" right="0.7" top="0.75" bottom="0.75" header="0.3" footer="0.3"/>
  <pageSetup paperSize="9" scale="4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tint="-9.9978637043366805E-2"/>
  </sheetPr>
  <dimension ref="A1:N25"/>
  <sheetViews>
    <sheetView zoomScaleNormal="100" workbookViewId="0">
      <pane xSplit="2" ySplit="6" topLeftCell="C7" activePane="bottomRight" state="frozen"/>
      <selection pane="topRight" activeCell="C1" sqref="C1"/>
      <selection pane="bottomLeft" activeCell="A6" sqref="A6"/>
      <selection pane="bottomRight" activeCell="C27" sqref="C27"/>
    </sheetView>
  </sheetViews>
  <sheetFormatPr defaultColWidth="9.140625" defaultRowHeight="12.75"/>
  <cols>
    <col min="1" max="1" width="19.28515625" style="324" customWidth="1"/>
    <col min="2" max="2" width="99.85546875" style="324" bestFit="1" customWidth="1"/>
    <col min="3" max="3" width="12.7109375" style="418" bestFit="1" customWidth="1"/>
    <col min="4" max="4" width="13.42578125" style="418" bestFit="1" customWidth="1"/>
    <col min="5" max="6" width="12.7109375" style="418" bestFit="1" customWidth="1"/>
    <col min="7" max="7" width="13.42578125" style="418" bestFit="1" customWidth="1"/>
    <col min="8" max="9" width="12.7109375" style="418" bestFit="1" customWidth="1"/>
    <col min="10" max="10" width="13.42578125" style="418" bestFit="1" customWidth="1"/>
    <col min="11" max="11" width="12.7109375" style="418" bestFit="1" customWidth="1"/>
    <col min="12" max="12" width="12.28515625" style="324" bestFit="1" customWidth="1"/>
    <col min="13" max="13" width="22" style="324" bestFit="1" customWidth="1"/>
    <col min="14" max="16384" width="9.140625" style="324"/>
  </cols>
  <sheetData>
    <row r="1" spans="1:13">
      <c r="A1" s="324" t="s">
        <v>195</v>
      </c>
      <c r="B1" s="403" t="str">
        <f>'1. key ratios'!B1</f>
        <v>სს ”საქართველოს ბანკი”</v>
      </c>
    </row>
    <row r="2" spans="1:13">
      <c r="A2" s="324" t="s">
        <v>196</v>
      </c>
      <c r="B2" s="404">
        <f>'1. key ratios'!B2</f>
        <v>43190</v>
      </c>
    </row>
    <row r="3" spans="1:13">
      <c r="B3" s="325"/>
    </row>
    <row r="4" spans="1:13" ht="13.5" thickBot="1">
      <c r="A4" s="324" t="s">
        <v>403</v>
      </c>
      <c r="B4" s="292" t="s">
        <v>402</v>
      </c>
      <c r="M4" s="428"/>
    </row>
    <row r="5" spans="1:13">
      <c r="A5" s="536"/>
      <c r="B5" s="537"/>
      <c r="C5" s="534" t="s">
        <v>448</v>
      </c>
      <c r="D5" s="534"/>
      <c r="E5" s="534"/>
      <c r="F5" s="534" t="s">
        <v>449</v>
      </c>
      <c r="G5" s="534"/>
      <c r="H5" s="534"/>
      <c r="I5" s="534" t="s">
        <v>450</v>
      </c>
      <c r="J5" s="534"/>
      <c r="K5" s="535"/>
    </row>
    <row r="6" spans="1:13">
      <c r="A6" s="322"/>
      <c r="B6" s="323"/>
      <c r="C6" s="430" t="s">
        <v>32</v>
      </c>
      <c r="D6" s="430" t="s">
        <v>102</v>
      </c>
      <c r="E6" s="430" t="s">
        <v>73</v>
      </c>
      <c r="F6" s="430" t="s">
        <v>32</v>
      </c>
      <c r="G6" s="430" t="s">
        <v>102</v>
      </c>
      <c r="H6" s="430" t="s">
        <v>73</v>
      </c>
      <c r="I6" s="430" t="s">
        <v>32</v>
      </c>
      <c r="J6" s="430" t="s">
        <v>102</v>
      </c>
      <c r="K6" s="473" t="s">
        <v>73</v>
      </c>
    </row>
    <row r="7" spans="1:13">
      <c r="A7" s="326" t="s">
        <v>382</v>
      </c>
      <c r="B7" s="321"/>
      <c r="C7" s="419"/>
      <c r="D7" s="419"/>
      <c r="E7" s="419"/>
      <c r="F7" s="419"/>
      <c r="G7" s="419"/>
      <c r="H7" s="419"/>
      <c r="I7" s="419"/>
      <c r="J7" s="419"/>
      <c r="K7" s="439"/>
    </row>
    <row r="8" spans="1:13">
      <c r="A8" s="320">
        <v>1</v>
      </c>
      <c r="B8" s="311" t="s">
        <v>382</v>
      </c>
      <c r="C8" s="440"/>
      <c r="D8" s="440"/>
      <c r="E8" s="440"/>
      <c r="F8" s="420">
        <v>741922349.53912067</v>
      </c>
      <c r="G8" s="420">
        <v>2057192711.8305438</v>
      </c>
      <c r="H8" s="420">
        <v>2799115061.3696647</v>
      </c>
      <c r="I8" s="420">
        <v>742005299.74389565</v>
      </c>
      <c r="J8" s="420">
        <v>1716627685.6203828</v>
      </c>
      <c r="K8" s="424">
        <v>2458632985.3642783</v>
      </c>
      <c r="L8" s="418"/>
    </row>
    <row r="9" spans="1:13">
      <c r="A9" s="326" t="s">
        <v>383</v>
      </c>
      <c r="B9" s="321"/>
      <c r="C9" s="419"/>
      <c r="D9" s="419"/>
      <c r="E9" s="419"/>
      <c r="F9" s="419"/>
      <c r="G9" s="419"/>
      <c r="H9" s="419"/>
      <c r="I9" s="419"/>
      <c r="J9" s="419"/>
      <c r="K9" s="439"/>
      <c r="L9" s="418"/>
    </row>
    <row r="10" spans="1:13">
      <c r="A10" s="327">
        <v>2</v>
      </c>
      <c r="B10" s="431" t="s">
        <v>384</v>
      </c>
      <c r="C10" s="441">
        <v>654567244.23966062</v>
      </c>
      <c r="D10" s="442">
        <v>2063649637.7149491</v>
      </c>
      <c r="E10" s="442">
        <v>2718216881.9546123</v>
      </c>
      <c r="F10" s="442">
        <v>125976827.06879035</v>
      </c>
      <c r="G10" s="442">
        <v>485592265.67011112</v>
      </c>
      <c r="H10" s="442">
        <v>611569092.73890126</v>
      </c>
      <c r="I10" s="442">
        <v>35034389.476976708</v>
      </c>
      <c r="J10" s="442">
        <v>131362250.28516068</v>
      </c>
      <c r="K10" s="443">
        <v>166396639.76213747</v>
      </c>
      <c r="L10" s="418"/>
    </row>
    <row r="11" spans="1:13">
      <c r="A11" s="327">
        <v>3</v>
      </c>
      <c r="B11" s="431" t="s">
        <v>385</v>
      </c>
      <c r="C11" s="441">
        <v>1874854992.90325</v>
      </c>
      <c r="D11" s="442">
        <v>3753834518.4248805</v>
      </c>
      <c r="E11" s="442">
        <v>5628689511.3281326</v>
      </c>
      <c r="F11" s="442">
        <v>733875449.64322543</v>
      </c>
      <c r="G11" s="442">
        <v>1433504494.1893563</v>
      </c>
      <c r="H11" s="442">
        <v>2167379943.8325815</v>
      </c>
      <c r="I11" s="442">
        <v>562652180.68134594</v>
      </c>
      <c r="J11" s="442">
        <v>904732467.94451785</v>
      </c>
      <c r="K11" s="443">
        <v>1467384648.6258636</v>
      </c>
      <c r="L11" s="418"/>
    </row>
    <row r="12" spans="1:13">
      <c r="A12" s="327">
        <v>4</v>
      </c>
      <c r="B12" s="431" t="s">
        <v>386</v>
      </c>
      <c r="C12" s="441">
        <v>935892635.55556822</v>
      </c>
      <c r="D12" s="442">
        <v>0</v>
      </c>
      <c r="E12" s="442">
        <v>935892635.55556822</v>
      </c>
      <c r="F12" s="442">
        <v>0</v>
      </c>
      <c r="G12" s="442">
        <v>0</v>
      </c>
      <c r="H12" s="442">
        <v>0</v>
      </c>
      <c r="I12" s="442"/>
      <c r="J12" s="442"/>
      <c r="K12" s="443"/>
      <c r="L12" s="418"/>
    </row>
    <row r="13" spans="1:13">
      <c r="A13" s="327">
        <v>5</v>
      </c>
      <c r="B13" s="431" t="s">
        <v>387</v>
      </c>
      <c r="C13" s="441">
        <v>564321847.26113629</v>
      </c>
      <c r="D13" s="442">
        <v>465750497.46287864</v>
      </c>
      <c r="E13" s="442">
        <v>1030072344.7240151</v>
      </c>
      <c r="F13" s="442">
        <v>95386436.699018776</v>
      </c>
      <c r="G13" s="442">
        <v>70475750.79303056</v>
      </c>
      <c r="H13" s="442">
        <v>165862187.49204919</v>
      </c>
      <c r="I13" s="442">
        <v>32485082.380369339</v>
      </c>
      <c r="J13" s="442">
        <v>28551513.236022614</v>
      </c>
      <c r="K13" s="443">
        <v>61036595.61639189</v>
      </c>
      <c r="L13" s="418"/>
    </row>
    <row r="14" spans="1:13">
      <c r="A14" s="327">
        <v>6</v>
      </c>
      <c r="B14" s="431" t="s">
        <v>401</v>
      </c>
      <c r="C14" s="441"/>
      <c r="D14" s="442"/>
      <c r="E14" s="442"/>
      <c r="F14" s="442"/>
      <c r="G14" s="442"/>
      <c r="H14" s="442"/>
      <c r="I14" s="442"/>
      <c r="J14" s="442"/>
      <c r="K14" s="443"/>
      <c r="L14" s="418"/>
    </row>
    <row r="15" spans="1:13">
      <c r="A15" s="327">
        <v>7</v>
      </c>
      <c r="B15" s="431" t="s">
        <v>388</v>
      </c>
      <c r="C15" s="441">
        <v>31929185.352499995</v>
      </c>
      <c r="D15" s="442">
        <v>101479821.89602271</v>
      </c>
      <c r="E15" s="442">
        <v>133409007.24852267</v>
      </c>
      <c r="F15" s="442">
        <v>32058670.491136368</v>
      </c>
      <c r="G15" s="442">
        <v>102983341.59249997</v>
      </c>
      <c r="H15" s="442">
        <v>135042012.08363631</v>
      </c>
      <c r="I15" s="442">
        <v>31938091.648636363</v>
      </c>
      <c r="J15" s="442">
        <v>101479821.89602271</v>
      </c>
      <c r="K15" s="443">
        <v>133417913.54465908</v>
      </c>
      <c r="L15" s="418"/>
    </row>
    <row r="16" spans="1:13">
      <c r="A16" s="327">
        <v>8</v>
      </c>
      <c r="B16" s="432" t="s">
        <v>389</v>
      </c>
      <c r="C16" s="441">
        <v>3406998661.0724545</v>
      </c>
      <c r="D16" s="442">
        <v>4321064837.783782</v>
      </c>
      <c r="E16" s="442">
        <v>7728063498.8562393</v>
      </c>
      <c r="F16" s="442">
        <v>861320556.83338046</v>
      </c>
      <c r="G16" s="442">
        <v>1606963586.5748868</v>
      </c>
      <c r="H16" s="442">
        <v>2468284143.408267</v>
      </c>
      <c r="I16" s="442">
        <v>627075354.71035159</v>
      </c>
      <c r="J16" s="442">
        <v>1034763803.0765631</v>
      </c>
      <c r="K16" s="443">
        <v>1661839157.7869146</v>
      </c>
      <c r="L16" s="418"/>
      <c r="M16" s="418"/>
    </row>
    <row r="17" spans="1:14">
      <c r="A17" s="326" t="s">
        <v>390</v>
      </c>
      <c r="B17" s="321"/>
      <c r="C17" s="419"/>
      <c r="D17" s="419"/>
      <c r="E17" s="419"/>
      <c r="F17" s="419"/>
      <c r="G17" s="419"/>
      <c r="H17" s="419"/>
      <c r="I17" s="419"/>
      <c r="J17" s="419"/>
      <c r="K17" s="439"/>
      <c r="L17" s="418"/>
    </row>
    <row r="18" spans="1:14">
      <c r="A18" s="327">
        <v>9</v>
      </c>
      <c r="B18" s="431" t="s">
        <v>391</v>
      </c>
      <c r="C18" s="441">
        <v>0</v>
      </c>
      <c r="D18" s="442">
        <v>0</v>
      </c>
      <c r="E18" s="442">
        <v>0</v>
      </c>
      <c r="F18" s="442">
        <v>0</v>
      </c>
      <c r="G18" s="442">
        <v>0</v>
      </c>
      <c r="H18" s="442">
        <v>0</v>
      </c>
      <c r="I18" s="442"/>
      <c r="J18" s="442"/>
      <c r="K18" s="443"/>
      <c r="L18" s="418"/>
    </row>
    <row r="19" spans="1:14">
      <c r="A19" s="327">
        <v>10</v>
      </c>
      <c r="B19" s="431" t="s">
        <v>392</v>
      </c>
      <c r="C19" s="441">
        <v>156334762.12590915</v>
      </c>
      <c r="D19" s="442">
        <v>156660736.17042392</v>
      </c>
      <c r="E19" s="442">
        <v>312995498.2963329</v>
      </c>
      <c r="F19" s="442">
        <v>78481955.803465873</v>
      </c>
      <c r="G19" s="442">
        <v>78712638.025962487</v>
      </c>
      <c r="H19" s="442">
        <v>157194593.8294284</v>
      </c>
      <c r="I19" s="442">
        <v>80894707.93414779</v>
      </c>
      <c r="J19" s="442">
        <v>1137550101.0702987</v>
      </c>
      <c r="K19" s="443">
        <v>1218444809.004446</v>
      </c>
      <c r="L19" s="418"/>
      <c r="N19" s="429"/>
    </row>
    <row r="20" spans="1:14">
      <c r="A20" s="327">
        <v>11</v>
      </c>
      <c r="B20" s="431" t="s">
        <v>393</v>
      </c>
      <c r="C20" s="441">
        <v>1870765.000909091</v>
      </c>
      <c r="D20" s="442">
        <v>5155986.5090909088</v>
      </c>
      <c r="E20" s="442">
        <v>7026751.5099999933</v>
      </c>
      <c r="F20" s="442">
        <v>1871825.8270454549</v>
      </c>
      <c r="G20" s="442">
        <v>5155824.2545454539</v>
      </c>
      <c r="H20" s="442">
        <v>7027650.0815909049</v>
      </c>
      <c r="I20" s="442">
        <v>1870765.000909091</v>
      </c>
      <c r="J20" s="442">
        <v>5134065.7818181813</v>
      </c>
      <c r="K20" s="443">
        <v>7004830.7827272657</v>
      </c>
      <c r="L20" s="418"/>
    </row>
    <row r="21" spans="1:14" ht="13.5" thickBot="1">
      <c r="A21" s="215">
        <v>12</v>
      </c>
      <c r="B21" s="328" t="s">
        <v>394</v>
      </c>
      <c r="C21" s="444">
        <v>158205527.12681821</v>
      </c>
      <c r="D21" s="421">
        <v>161816722.67951471</v>
      </c>
      <c r="E21" s="444">
        <v>320022249.80633271</v>
      </c>
      <c r="F21" s="421">
        <v>80353781.630511329</v>
      </c>
      <c r="G21" s="421">
        <v>83868462.280507937</v>
      </c>
      <c r="H21" s="421">
        <v>164222243.9110193</v>
      </c>
      <c r="I21" s="421">
        <v>82765472.93505688</v>
      </c>
      <c r="J21" s="421">
        <v>1142684166.8521168</v>
      </c>
      <c r="K21" s="425">
        <v>1225449639.7871733</v>
      </c>
      <c r="L21" s="418"/>
    </row>
    <row r="22" spans="1:14" ht="13.5" thickBot="1">
      <c r="A22" s="318"/>
      <c r="B22" s="319"/>
      <c r="C22" s="472"/>
      <c r="D22" s="472"/>
      <c r="E22" s="472"/>
      <c r="F22" s="533" t="s">
        <v>395</v>
      </c>
      <c r="G22" s="534"/>
      <c r="H22" s="534"/>
      <c r="I22" s="533" t="s">
        <v>396</v>
      </c>
      <c r="J22" s="534"/>
      <c r="K22" s="535"/>
      <c r="L22" s="418"/>
    </row>
    <row r="23" spans="1:14">
      <c r="A23" s="315">
        <v>13</v>
      </c>
      <c r="B23" s="312" t="s">
        <v>382</v>
      </c>
      <c r="C23" s="474"/>
      <c r="D23" s="474"/>
      <c r="E23" s="474"/>
      <c r="F23" s="422">
        <f t="shared" ref="F23:K23" si="0">F8</f>
        <v>741922349.53912067</v>
      </c>
      <c r="G23" s="422">
        <f t="shared" si="0"/>
        <v>2057192711.8305438</v>
      </c>
      <c r="H23" s="422">
        <f t="shared" si="0"/>
        <v>2799115061.3696647</v>
      </c>
      <c r="I23" s="422">
        <f t="shared" si="0"/>
        <v>742005299.74389565</v>
      </c>
      <c r="J23" s="422">
        <f t="shared" si="0"/>
        <v>1716627685.6203828</v>
      </c>
      <c r="K23" s="426">
        <f t="shared" si="0"/>
        <v>2458632985.3642783</v>
      </c>
      <c r="L23" s="418"/>
    </row>
    <row r="24" spans="1:14" ht="13.5" thickBot="1">
      <c r="A24" s="316">
        <v>14</v>
      </c>
      <c r="B24" s="313" t="s">
        <v>397</v>
      </c>
      <c r="C24" s="475"/>
      <c r="D24" s="476"/>
      <c r="E24" s="477"/>
      <c r="F24" s="423">
        <f>F16-F21</f>
        <v>780966775.20286918</v>
      </c>
      <c r="G24" s="423">
        <f>G16-G21</f>
        <v>1523095124.2943788</v>
      </c>
      <c r="H24" s="423">
        <f>H16-H21</f>
        <v>2304061899.4972477</v>
      </c>
      <c r="I24" s="423">
        <f>MAX(I16-I21,I16*0.25)</f>
        <v>544309881.77529466</v>
      </c>
      <c r="J24" s="423">
        <f>MAX(J16-J21,J16*0.25)</f>
        <v>258690950.76914078</v>
      </c>
      <c r="K24" s="427">
        <f>MAX(K16-K21,K16*0.25)</f>
        <v>436389517.99974132</v>
      </c>
      <c r="L24" s="418"/>
    </row>
    <row r="25" spans="1:14" ht="13.5" thickBot="1">
      <c r="A25" s="317">
        <v>15</v>
      </c>
      <c r="B25" s="314" t="s">
        <v>398</v>
      </c>
      <c r="C25" s="478"/>
      <c r="D25" s="478"/>
      <c r="E25" s="478"/>
      <c r="F25" s="479">
        <f t="shared" ref="F25:J25" si="1">IFERROR(F23/F24,0)</f>
        <v>0.95000501057985975</v>
      </c>
      <c r="G25" s="479">
        <f t="shared" si="1"/>
        <v>1.3506659426696033</v>
      </c>
      <c r="H25" s="479">
        <f t="shared" si="1"/>
        <v>1.2148610512505931</v>
      </c>
      <c r="I25" s="479">
        <f t="shared" si="1"/>
        <v>1.3632038009741936</v>
      </c>
      <c r="J25" s="479">
        <f t="shared" si="1"/>
        <v>6.6358242548357405</v>
      </c>
      <c r="K25" s="480">
        <f>IFERROR(K23/K24,0)</f>
        <v>5.6340330918895623</v>
      </c>
      <c r="L25" s="418"/>
    </row>
  </sheetData>
  <mergeCells count="6">
    <mergeCell ref="F22:H22"/>
    <mergeCell ref="I22:K22"/>
    <mergeCell ref="A5:B5"/>
    <mergeCell ref="C5:E5"/>
    <mergeCell ref="F5:H5"/>
    <mergeCell ref="I5:K5"/>
  </mergeCells>
  <pageMargins left="0.7" right="0.7" top="0.75" bottom="0.75" header="0.3" footer="0.3"/>
  <pageSetup paperSize="9" scale="27" orientation="portrait" r:id="rId1"/>
  <colBreaks count="1" manualBreakCount="1">
    <brk id="11"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2" tint="-9.9978637043366805E-2"/>
  </sheetPr>
  <dimension ref="A1:N22"/>
  <sheetViews>
    <sheetView zoomScaleNormal="100" workbookViewId="0">
      <pane xSplit="1" ySplit="5" topLeftCell="B6" activePane="bottomRight" state="frozen"/>
      <selection pane="topRight" activeCell="B1" sqref="B1"/>
      <selection pane="bottomLeft" activeCell="A5" sqref="A5"/>
      <selection pane="bottomRight" activeCell="F9" sqref="F9"/>
    </sheetView>
  </sheetViews>
  <sheetFormatPr defaultColWidth="9.140625" defaultRowHeight="15"/>
  <cols>
    <col min="1" max="1" width="10.5703125" style="62" bestFit="1" customWidth="1"/>
    <col min="2" max="2" width="95" style="62" customWidth="1"/>
    <col min="3" max="3" width="13.140625" style="62" bestFit="1" customWidth="1"/>
    <col min="4" max="4" width="10" style="62" bestFit="1" customWidth="1"/>
    <col min="5" max="5" width="18.28515625" style="62" bestFit="1" customWidth="1"/>
    <col min="6" max="13" width="10.7109375" style="62" customWidth="1"/>
    <col min="14" max="14" width="31" style="62" bestFit="1" customWidth="1"/>
    <col min="15" max="16384" width="9.140625" style="11"/>
  </cols>
  <sheetData>
    <row r="1" spans="1:14">
      <c r="A1" s="5" t="s">
        <v>195</v>
      </c>
      <c r="B1" s="403" t="str">
        <f>'1. key ratios'!B1</f>
        <v>სს ”საქართველოს ბანკი”</v>
      </c>
    </row>
    <row r="2" spans="1:14" ht="14.25" customHeight="1">
      <c r="A2" s="62" t="s">
        <v>196</v>
      </c>
      <c r="B2" s="404">
        <f>'1. key ratios'!B2</f>
        <v>43190</v>
      </c>
    </row>
    <row r="3" spans="1:14" ht="14.25" customHeight="1"/>
    <row r="4" spans="1:14" ht="15.75" thickBot="1">
      <c r="A4" s="2" t="s">
        <v>348</v>
      </c>
      <c r="B4" s="86" t="s">
        <v>82</v>
      </c>
    </row>
    <row r="5" spans="1:14" s="21" customFormat="1" ht="12.75">
      <c r="A5" s="168"/>
      <c r="B5" s="169"/>
      <c r="C5" s="170" t="s">
        <v>0</v>
      </c>
      <c r="D5" s="170" t="s">
        <v>1</v>
      </c>
      <c r="E5" s="170" t="s">
        <v>2</v>
      </c>
      <c r="F5" s="170" t="s">
        <v>3</v>
      </c>
      <c r="G5" s="170" t="s">
        <v>4</v>
      </c>
      <c r="H5" s="170" t="s">
        <v>9</v>
      </c>
      <c r="I5" s="170" t="s">
        <v>245</v>
      </c>
      <c r="J5" s="170" t="s">
        <v>246</v>
      </c>
      <c r="K5" s="170" t="s">
        <v>247</v>
      </c>
      <c r="L5" s="170" t="s">
        <v>248</v>
      </c>
      <c r="M5" s="170" t="s">
        <v>249</v>
      </c>
      <c r="N5" s="171" t="s">
        <v>250</v>
      </c>
    </row>
    <row r="6" spans="1:14" ht="45">
      <c r="A6" s="160"/>
      <c r="B6" s="98"/>
      <c r="C6" s="99" t="s">
        <v>92</v>
      </c>
      <c r="D6" s="100" t="s">
        <v>81</v>
      </c>
      <c r="E6" s="101" t="s">
        <v>91</v>
      </c>
      <c r="F6" s="102">
        <v>0</v>
      </c>
      <c r="G6" s="102">
        <v>0.2</v>
      </c>
      <c r="H6" s="102">
        <v>0.35</v>
      </c>
      <c r="I6" s="102">
        <v>0.5</v>
      </c>
      <c r="J6" s="102">
        <v>0.75</v>
      </c>
      <c r="K6" s="102">
        <v>1</v>
      </c>
      <c r="L6" s="102">
        <v>1.5</v>
      </c>
      <c r="M6" s="102">
        <v>2.5</v>
      </c>
      <c r="N6" s="161" t="s">
        <v>82</v>
      </c>
    </row>
    <row r="7" spans="1:14">
      <c r="A7" s="162">
        <v>1</v>
      </c>
      <c r="B7" s="103" t="s">
        <v>83</v>
      </c>
      <c r="C7" s="281">
        <f>SUM(C8:C13)</f>
        <v>148974417.27689999</v>
      </c>
      <c r="D7" s="98"/>
      <c r="E7" s="284">
        <f t="shared" ref="E7:M7" si="0">SUM(E8:E13)</f>
        <v>2979488.3455380001</v>
      </c>
      <c r="F7" s="281">
        <f>SUM(F8:F13)</f>
        <v>0</v>
      </c>
      <c r="G7" s="281">
        <f t="shared" si="0"/>
        <v>0</v>
      </c>
      <c r="H7" s="281">
        <f t="shared" si="0"/>
        <v>0</v>
      </c>
      <c r="I7" s="281">
        <f t="shared" si="0"/>
        <v>0</v>
      </c>
      <c r="J7" s="281">
        <f t="shared" si="0"/>
        <v>0</v>
      </c>
      <c r="K7" s="281">
        <f t="shared" si="0"/>
        <v>2979488.3455380001</v>
      </c>
      <c r="L7" s="281">
        <f t="shared" si="0"/>
        <v>0</v>
      </c>
      <c r="M7" s="281">
        <f t="shared" si="0"/>
        <v>0</v>
      </c>
      <c r="N7" s="163">
        <f>SUM(N8:N13)</f>
        <v>2979488.3455380001</v>
      </c>
    </row>
    <row r="8" spans="1:14">
      <c r="A8" s="162">
        <v>1.1000000000000001</v>
      </c>
      <c r="B8" s="104" t="s">
        <v>84</v>
      </c>
      <c r="C8" s="399">
        <v>148974417.27689999</v>
      </c>
      <c r="D8" s="105">
        <v>0.02</v>
      </c>
      <c r="E8" s="284">
        <f>C8*D8</f>
        <v>2979488.3455380001</v>
      </c>
      <c r="F8" s="282"/>
      <c r="G8" s="282"/>
      <c r="H8" s="282"/>
      <c r="I8" s="282"/>
      <c r="J8" s="282"/>
      <c r="K8" s="282">
        <f>E8</f>
        <v>2979488.3455380001</v>
      </c>
      <c r="L8" s="282"/>
      <c r="M8" s="282"/>
      <c r="N8" s="163">
        <f>SUMPRODUCT($F$6:$M$6,F8:M8)</f>
        <v>2979488.3455380001</v>
      </c>
    </row>
    <row r="9" spans="1:14">
      <c r="A9" s="162">
        <v>1.2</v>
      </c>
      <c r="B9" s="104" t="s">
        <v>85</v>
      </c>
      <c r="C9" s="399">
        <v>0</v>
      </c>
      <c r="D9" s="105">
        <v>0.05</v>
      </c>
      <c r="E9" s="284">
        <f>C9*D9</f>
        <v>0</v>
      </c>
      <c r="F9" s="282"/>
      <c r="G9" s="282"/>
      <c r="H9" s="282"/>
      <c r="I9" s="282"/>
      <c r="J9" s="282"/>
      <c r="K9" s="282"/>
      <c r="L9" s="282"/>
      <c r="M9" s="282"/>
      <c r="N9" s="163">
        <f t="shared" ref="N9:N12" si="1">SUMPRODUCT($F$6:$M$6,F9:M9)</f>
        <v>0</v>
      </c>
    </row>
    <row r="10" spans="1:14">
      <c r="A10" s="162">
        <v>1.3</v>
      </c>
      <c r="B10" s="104" t="s">
        <v>86</v>
      </c>
      <c r="C10" s="399">
        <v>0</v>
      </c>
      <c r="D10" s="105">
        <v>0.08</v>
      </c>
      <c r="E10" s="284">
        <f>C10*D10</f>
        <v>0</v>
      </c>
      <c r="F10" s="282"/>
      <c r="G10" s="282"/>
      <c r="H10" s="282"/>
      <c r="I10" s="282"/>
      <c r="J10" s="282"/>
      <c r="K10" s="282"/>
      <c r="L10" s="282"/>
      <c r="M10" s="282"/>
      <c r="N10" s="163">
        <f>SUMPRODUCT($F$6:$M$6,F10:M10)</f>
        <v>0</v>
      </c>
    </row>
    <row r="11" spans="1:14">
      <c r="A11" s="162">
        <v>1.4</v>
      </c>
      <c r="B11" s="104" t="s">
        <v>87</v>
      </c>
      <c r="C11" s="399">
        <v>0</v>
      </c>
      <c r="D11" s="105">
        <v>0.11</v>
      </c>
      <c r="E11" s="284">
        <f>C11*D11</f>
        <v>0</v>
      </c>
      <c r="F11" s="282"/>
      <c r="G11" s="282"/>
      <c r="H11" s="282"/>
      <c r="I11" s="282"/>
      <c r="J11" s="282"/>
      <c r="K11" s="282"/>
      <c r="L11" s="282"/>
      <c r="M11" s="282"/>
      <c r="N11" s="163">
        <f t="shared" si="1"/>
        <v>0</v>
      </c>
    </row>
    <row r="12" spans="1:14">
      <c r="A12" s="162">
        <v>1.5</v>
      </c>
      <c r="B12" s="104" t="s">
        <v>88</v>
      </c>
      <c r="C12" s="399">
        <v>0</v>
      </c>
      <c r="D12" s="105">
        <v>0.14000000000000001</v>
      </c>
      <c r="E12" s="284">
        <f>C12*D12</f>
        <v>0</v>
      </c>
      <c r="F12" s="282"/>
      <c r="G12" s="282"/>
      <c r="H12" s="282"/>
      <c r="I12" s="282"/>
      <c r="J12" s="282"/>
      <c r="K12" s="282"/>
      <c r="L12" s="282"/>
      <c r="M12" s="282"/>
      <c r="N12" s="163">
        <f t="shared" si="1"/>
        <v>0</v>
      </c>
    </row>
    <row r="13" spans="1:14">
      <c r="A13" s="162">
        <v>1.6</v>
      </c>
      <c r="B13" s="106" t="s">
        <v>89</v>
      </c>
      <c r="C13" s="399">
        <v>0</v>
      </c>
      <c r="D13" s="107"/>
      <c r="E13" s="282"/>
      <c r="F13" s="282"/>
      <c r="G13" s="282"/>
      <c r="H13" s="282"/>
      <c r="I13" s="282"/>
      <c r="J13" s="282"/>
      <c r="K13" s="282"/>
      <c r="L13" s="282"/>
      <c r="M13" s="282"/>
      <c r="N13" s="163">
        <f>SUMPRODUCT($F$6:$M$6,F13:M13)</f>
        <v>0</v>
      </c>
    </row>
    <row r="14" spans="1:14">
      <c r="A14" s="162">
        <v>2</v>
      </c>
      <c r="B14" s="108" t="s">
        <v>90</v>
      </c>
      <c r="C14" s="281">
        <f>SUM(C15:C20)</f>
        <v>0</v>
      </c>
      <c r="D14" s="98"/>
      <c r="E14" s="284">
        <f t="shared" ref="E14:M14" si="2">SUM(E15:E20)</f>
        <v>0</v>
      </c>
      <c r="F14" s="282">
        <f t="shared" si="2"/>
        <v>0</v>
      </c>
      <c r="G14" s="282">
        <f t="shared" si="2"/>
        <v>0</v>
      </c>
      <c r="H14" s="282">
        <f t="shared" si="2"/>
        <v>0</v>
      </c>
      <c r="I14" s="282">
        <f t="shared" si="2"/>
        <v>0</v>
      </c>
      <c r="J14" s="282">
        <f t="shared" si="2"/>
        <v>0</v>
      </c>
      <c r="K14" s="282">
        <f t="shared" si="2"/>
        <v>0</v>
      </c>
      <c r="L14" s="282">
        <f t="shared" si="2"/>
        <v>0</v>
      </c>
      <c r="M14" s="282">
        <f t="shared" si="2"/>
        <v>0</v>
      </c>
      <c r="N14" s="163">
        <f>SUM(N15:N20)</f>
        <v>0</v>
      </c>
    </row>
    <row r="15" spans="1:14">
      <c r="A15" s="162">
        <v>2.1</v>
      </c>
      <c r="B15" s="106" t="s">
        <v>84</v>
      </c>
      <c r="C15" s="282"/>
      <c r="D15" s="105">
        <v>5.0000000000000001E-3</v>
      </c>
      <c r="E15" s="284">
        <f>C15*D15</f>
        <v>0</v>
      </c>
      <c r="F15" s="282"/>
      <c r="G15" s="282"/>
      <c r="H15" s="282"/>
      <c r="I15" s="282"/>
      <c r="J15" s="282"/>
      <c r="K15" s="282"/>
      <c r="L15" s="282"/>
      <c r="M15" s="282"/>
      <c r="N15" s="163">
        <f>SUMPRODUCT($F$6:$M$6,F15:M15)</f>
        <v>0</v>
      </c>
    </row>
    <row r="16" spans="1:14">
      <c r="A16" s="162">
        <v>2.2000000000000002</v>
      </c>
      <c r="B16" s="106" t="s">
        <v>85</v>
      </c>
      <c r="C16" s="282"/>
      <c r="D16" s="105">
        <v>0.01</v>
      </c>
      <c r="E16" s="284">
        <f>C16*D16</f>
        <v>0</v>
      </c>
      <c r="F16" s="282"/>
      <c r="G16" s="282"/>
      <c r="H16" s="282"/>
      <c r="I16" s="282"/>
      <c r="J16" s="282"/>
      <c r="K16" s="282"/>
      <c r="L16" s="282"/>
      <c r="M16" s="282"/>
      <c r="N16" s="163">
        <f t="shared" ref="N16:N20" si="3">SUMPRODUCT($F$6:$M$6,F16:M16)</f>
        <v>0</v>
      </c>
    </row>
    <row r="17" spans="1:14">
      <c r="A17" s="162">
        <v>2.2999999999999998</v>
      </c>
      <c r="B17" s="106" t="s">
        <v>86</v>
      </c>
      <c r="C17" s="282"/>
      <c r="D17" s="105">
        <v>0.02</v>
      </c>
      <c r="E17" s="284">
        <f>C17*D17</f>
        <v>0</v>
      </c>
      <c r="F17" s="282"/>
      <c r="G17" s="282"/>
      <c r="H17" s="282"/>
      <c r="I17" s="282"/>
      <c r="J17" s="282"/>
      <c r="K17" s="282"/>
      <c r="L17" s="282"/>
      <c r="M17" s="282"/>
      <c r="N17" s="163">
        <f t="shared" si="3"/>
        <v>0</v>
      </c>
    </row>
    <row r="18" spans="1:14">
      <c r="A18" s="162">
        <v>2.4</v>
      </c>
      <c r="B18" s="106" t="s">
        <v>87</v>
      </c>
      <c r="C18" s="282"/>
      <c r="D18" s="105">
        <v>0.03</v>
      </c>
      <c r="E18" s="284">
        <f>C18*D18</f>
        <v>0</v>
      </c>
      <c r="F18" s="282"/>
      <c r="G18" s="282"/>
      <c r="H18" s="282"/>
      <c r="I18" s="282"/>
      <c r="J18" s="282"/>
      <c r="K18" s="282"/>
      <c r="L18" s="282"/>
      <c r="M18" s="282"/>
      <c r="N18" s="163">
        <f t="shared" si="3"/>
        <v>0</v>
      </c>
    </row>
    <row r="19" spans="1:14">
      <c r="A19" s="162">
        <v>2.5</v>
      </c>
      <c r="B19" s="106" t="s">
        <v>88</v>
      </c>
      <c r="C19" s="282"/>
      <c r="D19" s="105">
        <v>0.04</v>
      </c>
      <c r="E19" s="284">
        <f>C19*D19</f>
        <v>0</v>
      </c>
      <c r="F19" s="282"/>
      <c r="G19" s="282"/>
      <c r="H19" s="282"/>
      <c r="I19" s="282"/>
      <c r="J19" s="282"/>
      <c r="K19" s="282"/>
      <c r="L19" s="282"/>
      <c r="M19" s="282"/>
      <c r="N19" s="163">
        <f t="shared" si="3"/>
        <v>0</v>
      </c>
    </row>
    <row r="20" spans="1:14">
      <c r="A20" s="162">
        <v>2.6</v>
      </c>
      <c r="B20" s="106" t="s">
        <v>89</v>
      </c>
      <c r="C20" s="282"/>
      <c r="D20" s="107"/>
      <c r="E20" s="285"/>
      <c r="F20" s="282"/>
      <c r="G20" s="282"/>
      <c r="H20" s="282"/>
      <c r="I20" s="282"/>
      <c r="J20" s="282"/>
      <c r="K20" s="282"/>
      <c r="L20" s="282"/>
      <c r="M20" s="282"/>
      <c r="N20" s="163">
        <f t="shared" si="3"/>
        <v>0</v>
      </c>
    </row>
    <row r="21" spans="1:14" ht="15.75" thickBot="1">
      <c r="A21" s="164">
        <v>3</v>
      </c>
      <c r="B21" s="165" t="s">
        <v>73</v>
      </c>
      <c r="C21" s="283">
        <f>C14+C7</f>
        <v>148974417.27689999</v>
      </c>
      <c r="D21" s="166"/>
      <c r="E21" s="286">
        <f>E14+E7</f>
        <v>2979488.3455380001</v>
      </c>
      <c r="F21" s="287">
        <f>F7+F14</f>
        <v>0</v>
      </c>
      <c r="G21" s="287">
        <f t="shared" ref="G21:L21" si="4">G7+G14</f>
        <v>0</v>
      </c>
      <c r="H21" s="287">
        <f t="shared" si="4"/>
        <v>0</v>
      </c>
      <c r="I21" s="287">
        <f t="shared" si="4"/>
        <v>0</v>
      </c>
      <c r="J21" s="287">
        <f t="shared" si="4"/>
        <v>0</v>
      </c>
      <c r="K21" s="287">
        <f t="shared" si="4"/>
        <v>2979488.3455380001</v>
      </c>
      <c r="L21" s="287">
        <f t="shared" si="4"/>
        <v>0</v>
      </c>
      <c r="M21" s="287">
        <f>M7+M14</f>
        <v>0</v>
      </c>
      <c r="N21" s="167">
        <f>N14+N7</f>
        <v>2979488.3455380001</v>
      </c>
    </row>
    <row r="22" spans="1:14">
      <c r="E22" s="288"/>
      <c r="F22" s="288"/>
      <c r="G22" s="288"/>
      <c r="H22" s="288"/>
      <c r="I22" s="288"/>
      <c r="J22" s="288"/>
      <c r="K22" s="288"/>
      <c r="L22" s="288"/>
      <c r="M22" s="288"/>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3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9.9978637043366805E-2"/>
  </sheetPr>
  <dimension ref="A1:H42"/>
  <sheetViews>
    <sheetView zoomScaleNormal="100" workbookViewId="0">
      <pane xSplit="1" ySplit="5" topLeftCell="B6" activePane="bottomRight" state="frozen"/>
      <selection pane="topRight" activeCell="B1" sqref="B1"/>
      <selection pane="bottomLeft" activeCell="A6" sqref="A6"/>
      <selection pane="bottomRight" activeCell="C40" sqref="C40"/>
    </sheetView>
  </sheetViews>
  <sheetFormatPr defaultRowHeight="15.75"/>
  <cols>
    <col min="1" max="1" width="9.5703125" style="15" bestFit="1" customWidth="1"/>
    <col min="2" max="2" width="86" style="12" customWidth="1"/>
    <col min="3" max="3" width="14.5703125" style="12" customWidth="1"/>
    <col min="4" max="7" width="14.5703125" style="2" customWidth="1"/>
    <col min="8" max="8" width="6.7109375" customWidth="1"/>
  </cols>
  <sheetData>
    <row r="1" spans="1:8">
      <c r="A1" s="13" t="s">
        <v>195</v>
      </c>
      <c r="B1" s="401" t="s">
        <v>460</v>
      </c>
    </row>
    <row r="2" spans="1:8">
      <c r="A2" s="13" t="s">
        <v>196</v>
      </c>
      <c r="B2" s="402">
        <v>43190</v>
      </c>
      <c r="C2" s="23"/>
      <c r="D2" s="14"/>
      <c r="E2" s="14"/>
      <c r="F2" s="14"/>
      <c r="G2" s="14"/>
      <c r="H2" s="1"/>
    </row>
    <row r="3" spans="1:8">
      <c r="A3" s="13"/>
      <c r="C3" s="23"/>
      <c r="D3" s="14"/>
      <c r="E3" s="14"/>
      <c r="F3" s="14"/>
      <c r="G3" s="14"/>
      <c r="H3" s="1"/>
    </row>
    <row r="4" spans="1:8" ht="16.5" thickBot="1">
      <c r="A4" s="63" t="s">
        <v>335</v>
      </c>
      <c r="B4" s="197" t="s">
        <v>230</v>
      </c>
      <c r="C4" s="198"/>
      <c r="D4" s="199"/>
      <c r="E4" s="199"/>
      <c r="F4" s="199"/>
      <c r="G4" s="199"/>
      <c r="H4" s="1"/>
    </row>
    <row r="5" spans="1:8" ht="15">
      <c r="A5" s="302" t="s">
        <v>31</v>
      </c>
      <c r="B5" s="303"/>
      <c r="C5" s="304" t="s">
        <v>5</v>
      </c>
      <c r="D5" s="305" t="s">
        <v>6</v>
      </c>
      <c r="E5" s="305" t="s">
        <v>7</v>
      </c>
      <c r="F5" s="306" t="s">
        <v>8</v>
      </c>
      <c r="G5" s="306" t="s">
        <v>481</v>
      </c>
    </row>
    <row r="6" spans="1:8" ht="15">
      <c r="A6" s="113"/>
      <c r="B6" s="26" t="s">
        <v>192</v>
      </c>
      <c r="C6" s="307"/>
      <c r="D6" s="307"/>
      <c r="E6" s="307"/>
      <c r="F6" s="307"/>
      <c r="G6" s="308"/>
    </row>
    <row r="7" spans="1:8" ht="15">
      <c r="A7" s="113"/>
      <c r="B7" s="27" t="s">
        <v>197</v>
      </c>
      <c r="C7" s="307"/>
      <c r="D7" s="307"/>
      <c r="E7" s="307"/>
      <c r="F7" s="307"/>
      <c r="G7" s="308"/>
    </row>
    <row r="8" spans="1:8" ht="15">
      <c r="A8" s="114">
        <v>1</v>
      </c>
      <c r="B8" s="219" t="s">
        <v>28</v>
      </c>
      <c r="C8" s="384">
        <v>1197214006.8601401</v>
      </c>
      <c r="D8" s="221">
        <v>1141844831.032634</v>
      </c>
      <c r="E8" s="221">
        <v>1090348133.5975978</v>
      </c>
      <c r="F8" s="221">
        <v>1007507516.1199999</v>
      </c>
      <c r="G8" s="222">
        <v>960145997.70179999</v>
      </c>
    </row>
    <row r="9" spans="1:8" ht="15">
      <c r="A9" s="114">
        <v>2</v>
      </c>
      <c r="B9" s="219" t="s">
        <v>94</v>
      </c>
      <c r="C9" s="384">
        <v>1197214006.8601401</v>
      </c>
      <c r="D9" s="221">
        <v>1141844831.032634</v>
      </c>
      <c r="E9" s="221">
        <v>1090348133.5975978</v>
      </c>
      <c r="F9" s="221">
        <v>1007507516.1199999</v>
      </c>
      <c r="G9" s="222">
        <v>960145997.70179999</v>
      </c>
    </row>
    <row r="10" spans="1:8" ht="15">
      <c r="A10" s="114">
        <v>3</v>
      </c>
      <c r="B10" s="219" t="s">
        <v>93</v>
      </c>
      <c r="C10" s="384">
        <v>1675475605.5799246</v>
      </c>
      <c r="D10" s="221">
        <v>1643533605.5228853</v>
      </c>
      <c r="E10" s="221">
        <v>1590618008.9949045</v>
      </c>
      <c r="F10" s="221">
        <v>1482773912.4569964</v>
      </c>
      <c r="G10" s="222">
        <v>1442149910.6855836</v>
      </c>
    </row>
    <row r="11" spans="1:8" ht="15">
      <c r="A11" s="113"/>
      <c r="B11" s="26" t="s">
        <v>193</v>
      </c>
      <c r="C11" s="307"/>
      <c r="D11" s="307"/>
      <c r="E11" s="307"/>
      <c r="F11" s="307"/>
      <c r="G11" s="308"/>
    </row>
    <row r="12" spans="1:8" ht="15" customHeight="1">
      <c r="A12" s="114">
        <v>4</v>
      </c>
      <c r="B12" s="219" t="s">
        <v>349</v>
      </c>
      <c r="C12" s="384">
        <v>9669736313.9626808</v>
      </c>
      <c r="D12" s="221">
        <v>9192077726.5034771</v>
      </c>
      <c r="E12" s="221">
        <v>9838788841.5815945</v>
      </c>
      <c r="F12" s="221">
        <v>9495340449.3357582</v>
      </c>
      <c r="G12" s="222">
        <v>9467136175.2876701</v>
      </c>
    </row>
    <row r="13" spans="1:8" ht="15">
      <c r="A13" s="113"/>
      <c r="B13" s="26" t="s">
        <v>95</v>
      </c>
      <c r="C13" s="307"/>
      <c r="D13" s="307"/>
      <c r="E13" s="307"/>
      <c r="F13" s="307"/>
      <c r="G13" s="308"/>
    </row>
    <row r="14" spans="1:8" s="3" customFormat="1" ht="15">
      <c r="A14" s="114"/>
      <c r="B14" s="27" t="s">
        <v>407</v>
      </c>
      <c r="C14" s="307"/>
      <c r="D14" s="307"/>
      <c r="E14" s="307"/>
      <c r="F14" s="307"/>
      <c r="G14" s="308"/>
    </row>
    <row r="15" spans="1:8" ht="15">
      <c r="A15" s="457">
        <v>5</v>
      </c>
      <c r="B15" s="25" t="s">
        <v>408</v>
      </c>
      <c r="C15" s="405">
        <v>0.12381040888689125</v>
      </c>
      <c r="D15" s="406">
        <v>0.12422053696743206</v>
      </c>
      <c r="E15" s="406">
        <v>0.1108213776262245</v>
      </c>
      <c r="F15" s="406">
        <v>0.10610546525380031</v>
      </c>
      <c r="G15" s="407">
        <v>0.10141884302964775</v>
      </c>
    </row>
    <row r="16" spans="1:8" ht="15" customHeight="1">
      <c r="A16" s="457">
        <v>6</v>
      </c>
      <c r="B16" s="25" t="s">
        <v>409</v>
      </c>
      <c r="C16" s="405">
        <v>0.12381040888689125</v>
      </c>
      <c r="D16" s="406">
        <v>0.12422053696743206</v>
      </c>
      <c r="E16" s="406">
        <v>0.1108213776262245</v>
      </c>
      <c r="F16" s="406">
        <v>0.10610546525380031</v>
      </c>
      <c r="G16" s="407">
        <v>0.10141884302964775</v>
      </c>
    </row>
    <row r="17" spans="1:7" ht="15">
      <c r="A17" s="457">
        <v>7</v>
      </c>
      <c r="B17" s="25" t="s">
        <v>410</v>
      </c>
      <c r="C17" s="405">
        <v>0.17327004079321276</v>
      </c>
      <c r="D17" s="406">
        <v>0.17879892385854093</v>
      </c>
      <c r="E17" s="406">
        <v>0.16166807059345401</v>
      </c>
      <c r="F17" s="406">
        <v>0.15615805671935892</v>
      </c>
      <c r="G17" s="407">
        <v>0.15233222423166023</v>
      </c>
    </row>
    <row r="18" spans="1:7" ht="15">
      <c r="A18" s="113"/>
      <c r="B18" s="26" t="s">
        <v>10</v>
      </c>
      <c r="C18" s="408"/>
      <c r="D18" s="409"/>
      <c r="E18" s="409"/>
      <c r="F18" s="409"/>
      <c r="G18" s="410"/>
    </row>
    <row r="19" spans="1:7" ht="15" customHeight="1">
      <c r="A19" s="458">
        <v>8</v>
      </c>
      <c r="B19" s="28" t="s">
        <v>11</v>
      </c>
      <c r="C19" s="405">
        <v>9.4599285524036722E-2</v>
      </c>
      <c r="D19" s="411">
        <v>9.5519251825976287E-2</v>
      </c>
      <c r="E19" s="411">
        <v>9.4384505142796352E-2</v>
      </c>
      <c r="F19" s="411">
        <v>9.3932330867872685E-2</v>
      </c>
      <c r="G19" s="412">
        <v>9.2866939839460344E-2</v>
      </c>
    </row>
    <row r="20" spans="1:7" ht="15">
      <c r="A20" s="458">
        <v>9</v>
      </c>
      <c r="B20" s="28" t="s">
        <v>12</v>
      </c>
      <c r="C20" s="405">
        <v>4.1550984994149248E-2</v>
      </c>
      <c r="D20" s="411">
        <v>4.1156223667367188E-2</v>
      </c>
      <c r="E20" s="411">
        <v>4.114308525411061E-2</v>
      </c>
      <c r="F20" s="411">
        <v>4.07404285485971E-2</v>
      </c>
      <c r="G20" s="412">
        <v>3.9463348664376334E-2</v>
      </c>
    </row>
    <row r="21" spans="1:7" ht="15">
      <c r="A21" s="458">
        <v>10</v>
      </c>
      <c r="B21" s="28" t="s">
        <v>13</v>
      </c>
      <c r="C21" s="405">
        <v>4.3279778769430663E-2</v>
      </c>
      <c r="D21" s="411">
        <v>4.5964930525748328E-2</v>
      </c>
      <c r="E21" s="411">
        <v>4.3803360619104344E-2</v>
      </c>
      <c r="F21" s="411">
        <v>4.4887471356643026E-2</v>
      </c>
      <c r="G21" s="412">
        <v>4.4861952399693095E-2</v>
      </c>
    </row>
    <row r="22" spans="1:7" ht="15">
      <c r="A22" s="458">
        <v>11</v>
      </c>
      <c r="B22" s="28" t="s">
        <v>231</v>
      </c>
      <c r="C22" s="405">
        <v>5.304830052988746E-2</v>
      </c>
      <c r="D22" s="411">
        <v>5.4363028158609092E-2</v>
      </c>
      <c r="E22" s="411">
        <v>5.3241419888685734E-2</v>
      </c>
      <c r="F22" s="411">
        <v>5.3191902319275591E-2</v>
      </c>
      <c r="G22" s="412">
        <v>5.3403591175084017E-2</v>
      </c>
    </row>
    <row r="23" spans="1:7" ht="15">
      <c r="A23" s="458">
        <v>12</v>
      </c>
      <c r="B23" s="28" t="s">
        <v>14</v>
      </c>
      <c r="C23" s="405">
        <v>2.4953165002770315E-2</v>
      </c>
      <c r="D23" s="411">
        <v>3.5308114902758661E-2</v>
      </c>
      <c r="E23" s="411">
        <v>3.7577618304024597E-2</v>
      </c>
      <c r="F23" s="411">
        <v>4.1618305382558458E-2</v>
      </c>
      <c r="G23" s="412">
        <v>4.7514882467782814E-2</v>
      </c>
    </row>
    <row r="24" spans="1:7" ht="15">
      <c r="A24" s="458">
        <v>13</v>
      </c>
      <c r="B24" s="28" t="s">
        <v>15</v>
      </c>
      <c r="C24" s="405">
        <v>0.22989553889421974</v>
      </c>
      <c r="D24" s="411">
        <v>0.31825675030924871</v>
      </c>
      <c r="E24" s="411">
        <v>0.33791890837746108</v>
      </c>
      <c r="F24" s="411">
        <v>0.3804059363035478</v>
      </c>
      <c r="G24" s="412">
        <v>0.44411322578458023</v>
      </c>
    </row>
    <row r="25" spans="1:7" ht="15">
      <c r="A25" s="113"/>
      <c r="B25" s="26" t="s">
        <v>16</v>
      </c>
      <c r="C25" s="408"/>
      <c r="D25" s="409"/>
      <c r="E25" s="409"/>
      <c r="F25" s="409"/>
      <c r="G25" s="410"/>
    </row>
    <row r="26" spans="1:7" ht="15">
      <c r="A26" s="458">
        <v>14</v>
      </c>
      <c r="B26" s="28" t="s">
        <v>17</v>
      </c>
      <c r="C26" s="405">
        <v>5.1317327138860565E-2</v>
      </c>
      <c r="D26" s="411">
        <v>6.4157067535760226E-2</v>
      </c>
      <c r="E26" s="411">
        <v>7.2249922361481644E-2</v>
      </c>
      <c r="F26" s="411">
        <v>7.6283358098710438E-2</v>
      </c>
      <c r="G26" s="412">
        <v>8.2146030582002996E-2</v>
      </c>
    </row>
    <row r="27" spans="1:7" ht="15" customHeight="1">
      <c r="A27" s="458">
        <v>15</v>
      </c>
      <c r="B27" s="28" t="s">
        <v>18</v>
      </c>
      <c r="C27" s="405">
        <v>4.6115385187684543E-2</v>
      </c>
      <c r="D27" s="411">
        <v>4.9941673274903134E-2</v>
      </c>
      <c r="E27" s="411">
        <v>5.485732628543296E-2</v>
      </c>
      <c r="F27" s="411">
        <v>5.8055251056575878E-2</v>
      </c>
      <c r="G27" s="412">
        <v>6.1474729373332496E-2</v>
      </c>
    </row>
    <row r="28" spans="1:7" ht="15">
      <c r="A28" s="458">
        <v>16</v>
      </c>
      <c r="B28" s="28" t="s">
        <v>19</v>
      </c>
      <c r="C28" s="405">
        <v>0.55592099691716979</v>
      </c>
      <c r="D28" s="411">
        <v>0.58217206698126511</v>
      </c>
      <c r="E28" s="411">
        <v>0.57532847584286162</v>
      </c>
      <c r="F28" s="411">
        <v>0.58996375847186555</v>
      </c>
      <c r="G28" s="412">
        <v>0.62591894311730145</v>
      </c>
    </row>
    <row r="29" spans="1:7" ht="15" customHeight="1">
      <c r="A29" s="458">
        <v>17</v>
      </c>
      <c r="B29" s="28" t="s">
        <v>20</v>
      </c>
      <c r="C29" s="405">
        <v>0.53456996105865229</v>
      </c>
      <c r="D29" s="411">
        <v>0.54224371353819978</v>
      </c>
      <c r="E29" s="411">
        <v>0.54016094966604122</v>
      </c>
      <c r="F29" s="411">
        <v>0.54855234664656949</v>
      </c>
      <c r="G29" s="412">
        <v>0.58365008854357336</v>
      </c>
    </row>
    <row r="30" spans="1:7" ht="15">
      <c r="A30" s="458">
        <v>18</v>
      </c>
      <c r="B30" s="28" t="s">
        <v>21</v>
      </c>
      <c r="C30" s="405">
        <v>2.309674490744373E-2</v>
      </c>
      <c r="D30" s="411">
        <v>0.1683620442461389</v>
      </c>
      <c r="E30" s="411">
        <v>4.1825636359587769E-2</v>
      </c>
      <c r="F30" s="411">
        <v>-1.2629335439140889E-2</v>
      </c>
      <c r="G30" s="412">
        <v>-2.2879718473679284E-2</v>
      </c>
    </row>
    <row r="31" spans="1:7" ht="15" customHeight="1">
      <c r="A31" s="113"/>
      <c r="B31" s="26" t="s">
        <v>22</v>
      </c>
      <c r="C31" s="408"/>
      <c r="D31" s="409"/>
      <c r="E31" s="409"/>
      <c r="F31" s="409"/>
      <c r="G31" s="410"/>
    </row>
    <row r="32" spans="1:7" ht="15" customHeight="1">
      <c r="A32" s="458">
        <v>19</v>
      </c>
      <c r="B32" s="28" t="s">
        <v>23</v>
      </c>
      <c r="C32" s="405">
        <v>0.20170165584357908</v>
      </c>
      <c r="D32" s="413">
        <v>0.18206845462345314</v>
      </c>
      <c r="E32" s="413">
        <v>0.22214500984351038</v>
      </c>
      <c r="F32" s="413">
        <v>0.2553201368284555</v>
      </c>
      <c r="G32" s="414">
        <v>0.22811096440648149</v>
      </c>
    </row>
    <row r="33" spans="1:7" ht="15" customHeight="1">
      <c r="A33" s="458">
        <v>20</v>
      </c>
      <c r="B33" s="28" t="s">
        <v>24</v>
      </c>
      <c r="C33" s="405">
        <v>0.61299624877524372</v>
      </c>
      <c r="D33" s="413">
        <v>0.62013798086063254</v>
      </c>
      <c r="E33" s="413">
        <v>0.62703148363305294</v>
      </c>
      <c r="F33" s="413">
        <v>0.62437213700709149</v>
      </c>
      <c r="G33" s="414">
        <v>0.66631615547187206</v>
      </c>
    </row>
    <row r="34" spans="1:7" ht="15" customHeight="1">
      <c r="A34" s="458">
        <v>21</v>
      </c>
      <c r="B34" s="223" t="s">
        <v>25</v>
      </c>
      <c r="C34" s="405">
        <v>0.30518631508771982</v>
      </c>
      <c r="D34" s="413">
        <v>0.30235066888422024</v>
      </c>
      <c r="E34" s="413">
        <v>0.29791571371563758</v>
      </c>
      <c r="F34" s="413">
        <v>0.27653307845851449</v>
      </c>
      <c r="G34" s="414">
        <v>0.27902940444197205</v>
      </c>
    </row>
    <row r="35" spans="1:7" ht="15" customHeight="1">
      <c r="A35" s="310"/>
      <c r="B35" s="26" t="s">
        <v>406</v>
      </c>
      <c r="C35" s="307"/>
      <c r="D35" s="307"/>
      <c r="E35" s="307"/>
      <c r="F35" s="307"/>
      <c r="G35" s="308"/>
    </row>
    <row r="36" spans="1:7" ht="15" customHeight="1">
      <c r="A36" s="458">
        <v>22</v>
      </c>
      <c r="B36" s="301" t="s">
        <v>399</v>
      </c>
      <c r="C36" s="223">
        <v>2057192711.8305438</v>
      </c>
      <c r="D36" s="223">
        <v>2451802093.6352</v>
      </c>
      <c r="E36" s="223"/>
      <c r="F36" s="223"/>
      <c r="G36" s="309"/>
    </row>
    <row r="37" spans="1:7" ht="15">
      <c r="A37" s="458">
        <v>23</v>
      </c>
      <c r="B37" s="28" t="s">
        <v>400</v>
      </c>
      <c r="C37" s="223">
        <v>1523095124.2943788</v>
      </c>
      <c r="D37" s="224">
        <v>2181240768.1010337</v>
      </c>
      <c r="E37" s="224"/>
      <c r="F37" s="224"/>
      <c r="G37" s="225"/>
    </row>
    <row r="38" spans="1:7" thickBot="1">
      <c r="A38" s="115">
        <v>24</v>
      </c>
      <c r="B38" s="226" t="s">
        <v>398</v>
      </c>
      <c r="C38" s="433">
        <v>1.3506659426696033</v>
      </c>
      <c r="D38" s="437">
        <v>1.124040101162108</v>
      </c>
      <c r="E38" s="227"/>
      <c r="F38" s="227"/>
      <c r="G38" s="228"/>
    </row>
    <row r="39" spans="1:7">
      <c r="A39" s="16"/>
    </row>
    <row r="40" spans="1:7" ht="39.75">
      <c r="B40" s="300" t="s">
        <v>411</v>
      </c>
    </row>
    <row r="41" spans="1:7" ht="65.25">
      <c r="B41" s="341" t="s">
        <v>405</v>
      </c>
      <c r="D41" s="324"/>
      <c r="E41" s="324"/>
      <c r="F41" s="324"/>
      <c r="G41" s="324"/>
    </row>
    <row r="42" spans="1:7">
      <c r="B42" s="341"/>
    </row>
  </sheetData>
  <pageMargins left="0.7" right="0.7" top="0.75" bottom="0.75" header="0.3" footer="0.3"/>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9.9978637043366805E-2"/>
  </sheetPr>
  <dimension ref="A1:H43"/>
  <sheetViews>
    <sheetView zoomScaleNormal="100" workbookViewId="0">
      <pane xSplit="1" ySplit="5" topLeftCell="B15" activePane="bottomRight" state="frozen"/>
      <selection pane="topRight" activeCell="B1" sqref="B1"/>
      <selection pane="bottomLeft" activeCell="A5" sqref="A5"/>
      <selection pane="bottomRight" activeCell="G34" sqref="G34"/>
    </sheetView>
  </sheetViews>
  <sheetFormatPr defaultRowHeight="15"/>
  <cols>
    <col min="1" max="1" width="9.5703125" style="2" bestFit="1" customWidth="1"/>
    <col min="2" max="2" width="55.140625" style="2" bestFit="1" customWidth="1"/>
    <col min="3" max="4" width="12.7109375" style="2" bestFit="1" customWidth="1"/>
    <col min="5" max="5" width="13.85546875" style="2" bestFit="1" customWidth="1"/>
    <col min="6" max="6" width="12.42578125" style="2" customWidth="1"/>
    <col min="7" max="7" width="12.7109375" style="2" bestFit="1" customWidth="1"/>
    <col min="8" max="8" width="13.85546875" style="2" bestFit="1" customWidth="1"/>
  </cols>
  <sheetData>
    <row r="1" spans="1:8" ht="15.75">
      <c r="A1" s="13" t="s">
        <v>195</v>
      </c>
      <c r="B1" s="403" t="str">
        <f>'1. key ratios'!B1</f>
        <v>სს ”საქართველოს ბანკი”</v>
      </c>
    </row>
    <row r="2" spans="1:8" ht="15.75">
      <c r="A2" s="13" t="s">
        <v>196</v>
      </c>
      <c r="B2" s="404">
        <f>'1. key ratios'!B2</f>
        <v>43190</v>
      </c>
    </row>
    <row r="3" spans="1:8" ht="15.75">
      <c r="A3" s="13"/>
    </row>
    <row r="4" spans="1:8" ht="16.5" thickBot="1">
      <c r="A4" s="29" t="s">
        <v>336</v>
      </c>
      <c r="B4" s="64" t="s">
        <v>251</v>
      </c>
      <c r="C4" s="29"/>
      <c r="D4" s="30"/>
      <c r="E4" s="30"/>
      <c r="F4" s="31"/>
      <c r="G4" s="31"/>
      <c r="H4" s="32" t="s">
        <v>99</v>
      </c>
    </row>
    <row r="5" spans="1:8" ht="15.75">
      <c r="A5" s="33"/>
      <c r="B5" s="34"/>
      <c r="C5" s="490" t="s">
        <v>201</v>
      </c>
      <c r="D5" s="491"/>
      <c r="E5" s="492"/>
      <c r="F5" s="490" t="s">
        <v>202</v>
      </c>
      <c r="G5" s="491"/>
      <c r="H5" s="493"/>
    </row>
    <row r="6" spans="1:8" ht="15.75">
      <c r="A6" s="35" t="s">
        <v>31</v>
      </c>
      <c r="B6" s="36" t="s">
        <v>159</v>
      </c>
      <c r="C6" s="37" t="s">
        <v>32</v>
      </c>
      <c r="D6" s="37" t="s">
        <v>100</v>
      </c>
      <c r="E6" s="37" t="s">
        <v>73</v>
      </c>
      <c r="F6" s="37" t="s">
        <v>32</v>
      </c>
      <c r="G6" s="37" t="s">
        <v>100</v>
      </c>
      <c r="H6" s="38" t="s">
        <v>73</v>
      </c>
    </row>
    <row r="7" spans="1:8" ht="15.75">
      <c r="A7" s="35">
        <v>1</v>
      </c>
      <c r="B7" s="39" t="s">
        <v>160</v>
      </c>
      <c r="C7" s="385">
        <v>195069420.17500001</v>
      </c>
      <c r="D7" s="385">
        <v>224988338.67000002</v>
      </c>
      <c r="E7" s="230">
        <f>C7+D7</f>
        <v>420057758.84500003</v>
      </c>
      <c r="F7" s="231">
        <v>156221949.55000001</v>
      </c>
      <c r="G7" s="232">
        <v>322563039.84000003</v>
      </c>
      <c r="H7" s="233">
        <v>478784989.39000005</v>
      </c>
    </row>
    <row r="8" spans="1:8" ht="15.75">
      <c r="A8" s="35">
        <v>2</v>
      </c>
      <c r="B8" s="39" t="s">
        <v>161</v>
      </c>
      <c r="C8" s="385">
        <v>108682141.3415</v>
      </c>
      <c r="D8" s="385">
        <v>930795841.14999998</v>
      </c>
      <c r="E8" s="230">
        <f t="shared" ref="E8:E20" si="0">C8+D8</f>
        <v>1039477982.4915</v>
      </c>
      <c r="F8" s="231">
        <v>56004258.691500001</v>
      </c>
      <c r="G8" s="232">
        <v>973487861.68999994</v>
      </c>
      <c r="H8" s="233">
        <v>1029492120.3814999</v>
      </c>
    </row>
    <row r="9" spans="1:8" ht="15.75">
      <c r="A9" s="35">
        <v>3</v>
      </c>
      <c r="B9" s="39" t="s">
        <v>162</v>
      </c>
      <c r="C9" s="385">
        <v>42560213.780000001</v>
      </c>
      <c r="D9" s="385">
        <v>1159418777.3099999</v>
      </c>
      <c r="E9" s="230">
        <f t="shared" si="0"/>
        <v>1201978991.0899999</v>
      </c>
      <c r="F9" s="231">
        <v>3000000</v>
      </c>
      <c r="G9" s="232">
        <v>796252851.50999999</v>
      </c>
      <c r="H9" s="233">
        <v>799252851.50999999</v>
      </c>
    </row>
    <row r="10" spans="1:8" ht="15.75">
      <c r="A10" s="35">
        <v>4</v>
      </c>
      <c r="B10" s="39" t="s">
        <v>191</v>
      </c>
      <c r="C10" s="385">
        <v>303.24</v>
      </c>
      <c r="D10" s="385">
        <v>0</v>
      </c>
      <c r="E10" s="230">
        <f t="shared" si="0"/>
        <v>303.24</v>
      </c>
      <c r="F10" s="231">
        <v>303.24</v>
      </c>
      <c r="G10" s="232">
        <v>0</v>
      </c>
      <c r="H10" s="233">
        <v>303.24</v>
      </c>
    </row>
    <row r="11" spans="1:8" ht="15.75">
      <c r="A11" s="35">
        <v>5</v>
      </c>
      <c r="B11" s="39" t="s">
        <v>163</v>
      </c>
      <c r="C11" s="385">
        <v>1395650710.3250227</v>
      </c>
      <c r="D11" s="385">
        <v>339685361.09681803</v>
      </c>
      <c r="E11" s="230">
        <f t="shared" si="0"/>
        <v>1735336071.4218407</v>
      </c>
      <c r="F11" s="231">
        <v>1051932183.49</v>
      </c>
      <c r="G11" s="232">
        <v>60851556.960000001</v>
      </c>
      <c r="H11" s="233">
        <v>1112783740.45</v>
      </c>
    </row>
    <row r="12" spans="1:8" ht="15.75">
      <c r="A12" s="35">
        <v>6.1</v>
      </c>
      <c r="B12" s="40" t="s">
        <v>164</v>
      </c>
      <c r="C12" s="385">
        <v>3287274955.5300002</v>
      </c>
      <c r="D12" s="385">
        <v>4115180311.9099994</v>
      </c>
      <c r="E12" s="230">
        <f>C12+D12</f>
        <v>7402455267.4399996</v>
      </c>
      <c r="F12" s="231">
        <v>2263577628.77</v>
      </c>
      <c r="G12" s="232">
        <v>3787457533.5899997</v>
      </c>
      <c r="H12" s="233">
        <v>6051035162.3599997</v>
      </c>
    </row>
    <row r="13" spans="1:8" ht="15.75">
      <c r="A13" s="35">
        <v>6.2</v>
      </c>
      <c r="B13" s="40" t="s">
        <v>165</v>
      </c>
      <c r="C13" s="385">
        <v>-143888279.55919999</v>
      </c>
      <c r="D13" s="385">
        <v>-197478796.43340001</v>
      </c>
      <c r="E13" s="230">
        <f t="shared" si="0"/>
        <v>-341367075.99259996</v>
      </c>
      <c r="F13" s="231">
        <v>-112781979.0923</v>
      </c>
      <c r="G13" s="232">
        <v>-259203769.94229999</v>
      </c>
      <c r="H13" s="233">
        <v>-371985749.03460002</v>
      </c>
    </row>
    <row r="14" spans="1:8" ht="15.75">
      <c r="A14" s="35">
        <v>6</v>
      </c>
      <c r="B14" s="39" t="s">
        <v>166</v>
      </c>
      <c r="C14" s="230">
        <f>C12+C13</f>
        <v>3143386675.9708004</v>
      </c>
      <c r="D14" s="230">
        <f>D12+D13</f>
        <v>3917701515.4765992</v>
      </c>
      <c r="E14" s="230">
        <f>E12+E13</f>
        <v>7061088191.4473991</v>
      </c>
      <c r="F14" s="230">
        <v>2150795649.6777</v>
      </c>
      <c r="G14" s="230">
        <v>3528253763.6476998</v>
      </c>
      <c r="H14" s="233">
        <v>5679049413.3253994</v>
      </c>
    </row>
    <row r="15" spans="1:8" ht="15.75">
      <c r="A15" s="35">
        <v>7</v>
      </c>
      <c r="B15" s="39" t="s">
        <v>167</v>
      </c>
      <c r="C15" s="385">
        <v>58417717.299999997</v>
      </c>
      <c r="D15" s="385">
        <v>23135223.824099999</v>
      </c>
      <c r="E15" s="230">
        <f t="shared" si="0"/>
        <v>81552941.1241</v>
      </c>
      <c r="F15" s="231">
        <v>48929172.07</v>
      </c>
      <c r="G15" s="232">
        <v>25363339.767700005</v>
      </c>
      <c r="H15" s="233">
        <v>74292511.837700009</v>
      </c>
    </row>
    <row r="16" spans="1:8" ht="15.75">
      <c r="A16" s="35">
        <v>8</v>
      </c>
      <c r="B16" s="39" t="s">
        <v>168</v>
      </c>
      <c r="C16" s="385">
        <v>102988868.09400001</v>
      </c>
      <c r="D16" s="385">
        <v>0</v>
      </c>
      <c r="E16" s="230">
        <f t="shared" si="0"/>
        <v>102988868.09400001</v>
      </c>
      <c r="F16" s="231">
        <v>65247469.870999999</v>
      </c>
      <c r="G16" s="232" t="s">
        <v>478</v>
      </c>
      <c r="H16" s="233">
        <v>65247469.870999999</v>
      </c>
    </row>
    <row r="17" spans="1:8" ht="15.75">
      <c r="A17" s="35">
        <v>9</v>
      </c>
      <c r="B17" s="39" t="s">
        <v>169</v>
      </c>
      <c r="C17" s="385">
        <v>124550555.72</v>
      </c>
      <c r="D17" s="385">
        <v>0</v>
      </c>
      <c r="E17" s="230">
        <f t="shared" si="0"/>
        <v>124550555.72</v>
      </c>
      <c r="F17" s="231">
        <v>95914067.689999998</v>
      </c>
      <c r="G17" s="232">
        <v>0</v>
      </c>
      <c r="H17" s="233">
        <v>95914067.689999998</v>
      </c>
    </row>
    <row r="18" spans="1:8" ht="15.75">
      <c r="A18" s="35">
        <v>10</v>
      </c>
      <c r="B18" s="39" t="s">
        <v>170</v>
      </c>
      <c r="C18" s="385">
        <v>358926639.73469996</v>
      </c>
      <c r="D18" s="385">
        <v>0</v>
      </c>
      <c r="E18" s="230">
        <f t="shared" si="0"/>
        <v>358926639.73469996</v>
      </c>
      <c r="F18" s="231">
        <v>361522468.99980003</v>
      </c>
      <c r="G18" s="232" t="s">
        <v>478</v>
      </c>
      <c r="H18" s="233">
        <v>361522468.99980003</v>
      </c>
    </row>
    <row r="19" spans="1:8" ht="15.75">
      <c r="A19" s="35">
        <v>11</v>
      </c>
      <c r="B19" s="39" t="s">
        <v>171</v>
      </c>
      <c r="C19" s="385">
        <v>237309553.66039997</v>
      </c>
      <c r="D19" s="385">
        <v>28589816.219999999</v>
      </c>
      <c r="E19" s="230">
        <f t="shared" si="0"/>
        <v>265899369.88039997</v>
      </c>
      <c r="F19" s="231">
        <v>95560217.106711686</v>
      </c>
      <c r="G19" s="232">
        <v>19865450.029999997</v>
      </c>
      <c r="H19" s="233">
        <v>115425667.13671169</v>
      </c>
    </row>
    <row r="20" spans="1:8" ht="15.75">
      <c r="A20" s="35">
        <v>12</v>
      </c>
      <c r="B20" s="41" t="s">
        <v>172</v>
      </c>
      <c r="C20" s="230">
        <f>SUM(C7:C11)+SUM(C14:C19)</f>
        <v>5767542799.341423</v>
      </c>
      <c r="D20" s="230">
        <f>SUM(D7:D11)+SUM(D14:D19)</f>
        <v>6624314873.7475166</v>
      </c>
      <c r="E20" s="230">
        <f t="shared" si="0"/>
        <v>12391857673.08894</v>
      </c>
      <c r="F20" s="230">
        <v>4085127740.3867121</v>
      </c>
      <c r="G20" s="230">
        <v>5726637863.4453993</v>
      </c>
      <c r="H20" s="233">
        <v>9811765603.8321114</v>
      </c>
    </row>
    <row r="21" spans="1:8" ht="15.75">
      <c r="A21" s="35"/>
      <c r="B21" s="36" t="s">
        <v>189</v>
      </c>
      <c r="C21" s="234"/>
      <c r="D21" s="234"/>
      <c r="E21" s="234"/>
      <c r="F21" s="235"/>
      <c r="G21" s="236"/>
      <c r="H21" s="237"/>
    </row>
    <row r="22" spans="1:8" ht="15.75">
      <c r="A22" s="35">
        <v>13</v>
      </c>
      <c r="B22" s="39" t="s">
        <v>173</v>
      </c>
      <c r="C22" s="385">
        <v>169266872.25999999</v>
      </c>
      <c r="D22" s="385">
        <v>187919299.48000002</v>
      </c>
      <c r="E22" s="230">
        <f>C22+D22</f>
        <v>357186171.74000001</v>
      </c>
      <c r="F22" s="231">
        <v>75731667.38000001</v>
      </c>
      <c r="G22" s="232">
        <v>190698834.00999999</v>
      </c>
      <c r="H22" s="233">
        <v>266430501.38999999</v>
      </c>
    </row>
    <row r="23" spans="1:8" ht="15.75">
      <c r="A23" s="35">
        <v>14</v>
      </c>
      <c r="B23" s="39" t="s">
        <v>174</v>
      </c>
      <c r="C23" s="385">
        <v>879520489.55349994</v>
      </c>
      <c r="D23" s="385">
        <v>1082545569.77</v>
      </c>
      <c r="E23" s="230">
        <f t="shared" ref="E23:E40" si="1">C23+D23</f>
        <v>1962066059.3234999</v>
      </c>
      <c r="F23" s="231">
        <v>801643089.35549998</v>
      </c>
      <c r="G23" s="232">
        <v>883541771.62999988</v>
      </c>
      <c r="H23" s="233">
        <v>1685184860.9854999</v>
      </c>
    </row>
    <row r="24" spans="1:8" ht="15.75">
      <c r="A24" s="35">
        <v>15</v>
      </c>
      <c r="B24" s="39" t="s">
        <v>175</v>
      </c>
      <c r="C24" s="385">
        <v>564528539.91799998</v>
      </c>
      <c r="D24" s="385">
        <v>1255230781.0999999</v>
      </c>
      <c r="E24" s="230">
        <f t="shared" si="1"/>
        <v>1819759321.0179999</v>
      </c>
      <c r="F24" s="231">
        <v>306960758.986</v>
      </c>
      <c r="G24" s="232">
        <v>745625492.99000001</v>
      </c>
      <c r="H24" s="233">
        <v>1052586251.9760001</v>
      </c>
    </row>
    <row r="25" spans="1:8" ht="15.75">
      <c r="A25" s="35">
        <v>16</v>
      </c>
      <c r="B25" s="39" t="s">
        <v>176</v>
      </c>
      <c r="C25" s="385">
        <v>968136769.36269975</v>
      </c>
      <c r="D25" s="385">
        <v>2191113765.8200002</v>
      </c>
      <c r="E25" s="230">
        <f t="shared" si="1"/>
        <v>3159250535.1827002</v>
      </c>
      <c r="F25" s="231">
        <v>386384907.74000001</v>
      </c>
      <c r="G25" s="232">
        <v>2156632619.98</v>
      </c>
      <c r="H25" s="233">
        <v>2543017527.7200003</v>
      </c>
    </row>
    <row r="26" spans="1:8" ht="15.75">
      <c r="A26" s="35">
        <v>17</v>
      </c>
      <c r="B26" s="39" t="s">
        <v>177</v>
      </c>
      <c r="C26" s="385">
        <v>527815000</v>
      </c>
      <c r="D26" s="385">
        <f>223178197.6+820157193.6</f>
        <v>1043335391.2</v>
      </c>
      <c r="E26" s="230">
        <f t="shared" si="1"/>
        <v>1571150391.2</v>
      </c>
      <c r="F26" s="235">
        <v>71000000</v>
      </c>
      <c r="G26" s="236">
        <v>168287200.59999999</v>
      </c>
      <c r="H26" s="233">
        <v>239287200.59999999</v>
      </c>
    </row>
    <row r="27" spans="1:8" ht="15.75">
      <c r="A27" s="35">
        <v>18</v>
      </c>
      <c r="B27" s="39" t="s">
        <v>178</v>
      </c>
      <c r="C27" s="385">
        <v>1080162000</v>
      </c>
      <c r="D27" s="385">
        <f>1379180822.2299-820157193.6</f>
        <v>559023628.62989986</v>
      </c>
      <c r="E27" s="230">
        <f t="shared" si="1"/>
        <v>1639185628.6299</v>
      </c>
      <c r="F27" s="231">
        <v>1172404000</v>
      </c>
      <c r="G27" s="232">
        <v>998027599.6193099</v>
      </c>
      <c r="H27" s="233">
        <v>2170431599.6193099</v>
      </c>
    </row>
    <row r="28" spans="1:8" ht="15.75">
      <c r="A28" s="35">
        <v>19</v>
      </c>
      <c r="B28" s="39" t="s">
        <v>179</v>
      </c>
      <c r="C28" s="385">
        <v>33246248.739999998</v>
      </c>
      <c r="D28" s="385">
        <v>34068250.590000004</v>
      </c>
      <c r="E28" s="230">
        <f t="shared" si="1"/>
        <v>67314499.329999998</v>
      </c>
      <c r="F28" s="231">
        <v>16205778.180000003</v>
      </c>
      <c r="G28" s="232">
        <v>31682232.099999998</v>
      </c>
      <c r="H28" s="233">
        <v>47888010.280000001</v>
      </c>
    </row>
    <row r="29" spans="1:8" ht="15.75">
      <c r="A29" s="35">
        <v>20</v>
      </c>
      <c r="B29" s="39" t="s">
        <v>101</v>
      </c>
      <c r="C29" s="385">
        <v>62694006.948199317</v>
      </c>
      <c r="D29" s="385">
        <v>36217357.481799997</v>
      </c>
      <c r="E29" s="230">
        <f t="shared" si="1"/>
        <v>98911364.429999322</v>
      </c>
      <c r="F29" s="231">
        <v>80064167.286400005</v>
      </c>
      <c r="G29" s="232">
        <v>233663498.7861</v>
      </c>
      <c r="H29" s="233">
        <v>313727666.07249999</v>
      </c>
    </row>
    <row r="30" spans="1:8" ht="15.75">
      <c r="A30" s="35">
        <v>21</v>
      </c>
      <c r="B30" s="39" t="s">
        <v>180</v>
      </c>
      <c r="C30" s="385">
        <v>0</v>
      </c>
      <c r="D30" s="385">
        <v>398376000</v>
      </c>
      <c r="E30" s="230">
        <f t="shared" si="1"/>
        <v>398376000</v>
      </c>
      <c r="F30" s="231">
        <v>0</v>
      </c>
      <c r="G30" s="232">
        <v>403458000</v>
      </c>
      <c r="H30" s="233">
        <v>403458000</v>
      </c>
    </row>
    <row r="31" spans="1:8" ht="15.75">
      <c r="A31" s="35">
        <v>22</v>
      </c>
      <c r="B31" s="41" t="s">
        <v>181</v>
      </c>
      <c r="C31" s="230">
        <f>SUM(C22:C30)</f>
        <v>4285369926.7823987</v>
      </c>
      <c r="D31" s="230">
        <f>SUM(D22:D30)</f>
        <v>6787830044.0717001</v>
      </c>
      <c r="E31" s="230">
        <f>C31+D31</f>
        <v>11073199970.854099</v>
      </c>
      <c r="F31" s="230">
        <v>2910394368.9278998</v>
      </c>
      <c r="G31" s="230">
        <v>5811617249.7154102</v>
      </c>
      <c r="H31" s="233">
        <v>8722011618.6433105</v>
      </c>
    </row>
    <row r="32" spans="1:8" ht="15.75">
      <c r="A32" s="35"/>
      <c r="B32" s="36" t="s">
        <v>190</v>
      </c>
      <c r="C32" s="234"/>
      <c r="D32" s="234"/>
      <c r="E32" s="229"/>
      <c r="F32" s="235"/>
      <c r="G32" s="236"/>
      <c r="H32" s="237"/>
    </row>
    <row r="33" spans="1:8" ht="15.75">
      <c r="A33" s="35">
        <v>23</v>
      </c>
      <c r="B33" s="39" t="s">
        <v>182</v>
      </c>
      <c r="C33" s="385">
        <v>27821150.18</v>
      </c>
      <c r="D33" s="234"/>
      <c r="E33" s="230">
        <f t="shared" si="1"/>
        <v>27821150.18</v>
      </c>
      <c r="F33" s="231">
        <v>27821150.18</v>
      </c>
      <c r="G33" s="236" t="s">
        <v>478</v>
      </c>
      <c r="H33" s="233">
        <v>27821150.18</v>
      </c>
    </row>
    <row r="34" spans="1:8" ht="15.75">
      <c r="A34" s="35">
        <v>24</v>
      </c>
      <c r="B34" s="39" t="s">
        <v>183</v>
      </c>
      <c r="C34" s="385">
        <v>0</v>
      </c>
      <c r="D34" s="234"/>
      <c r="E34" s="230">
        <f t="shared" si="1"/>
        <v>0</v>
      </c>
      <c r="F34" s="231">
        <v>0</v>
      </c>
      <c r="G34" s="236" t="s">
        <v>478</v>
      </c>
      <c r="H34" s="233">
        <v>0</v>
      </c>
    </row>
    <row r="35" spans="1:8" ht="15.75">
      <c r="A35" s="35">
        <v>25</v>
      </c>
      <c r="B35" s="40" t="s">
        <v>184</v>
      </c>
      <c r="C35" s="385">
        <v>-2531851.2000000002</v>
      </c>
      <c r="D35" s="234"/>
      <c r="E35" s="230">
        <f t="shared" si="1"/>
        <v>-2531851.2000000002</v>
      </c>
      <c r="F35" s="231">
        <v>-1768157.2</v>
      </c>
      <c r="G35" s="236" t="s">
        <v>478</v>
      </c>
      <c r="H35" s="233">
        <v>-1768157.2</v>
      </c>
    </row>
    <row r="36" spans="1:8" ht="15.75">
      <c r="A36" s="35">
        <v>26</v>
      </c>
      <c r="B36" s="39" t="s">
        <v>185</v>
      </c>
      <c r="C36" s="385">
        <v>147828140.47999999</v>
      </c>
      <c r="D36" s="234"/>
      <c r="E36" s="230">
        <f t="shared" si="1"/>
        <v>147828140.47999999</v>
      </c>
      <c r="F36" s="231">
        <v>221552491.56</v>
      </c>
      <c r="G36" s="236" t="s">
        <v>478</v>
      </c>
      <c r="H36" s="233">
        <v>221552491.56</v>
      </c>
    </row>
    <row r="37" spans="1:8" ht="15.75">
      <c r="A37" s="35">
        <v>27</v>
      </c>
      <c r="B37" s="39" t="s">
        <v>186</v>
      </c>
      <c r="C37" s="385">
        <v>0</v>
      </c>
      <c r="D37" s="234"/>
      <c r="E37" s="230">
        <f t="shared" si="1"/>
        <v>0</v>
      </c>
      <c r="F37" s="231">
        <v>0</v>
      </c>
      <c r="G37" s="236" t="s">
        <v>478</v>
      </c>
      <c r="H37" s="233">
        <v>0</v>
      </c>
    </row>
    <row r="38" spans="1:8" ht="15.75">
      <c r="A38" s="35">
        <v>28</v>
      </c>
      <c r="B38" s="39" t="s">
        <v>187</v>
      </c>
      <c r="C38" s="385">
        <v>1115074480.3501401</v>
      </c>
      <c r="D38" s="234"/>
      <c r="E38" s="230">
        <f t="shared" si="1"/>
        <v>1115074480.3501401</v>
      </c>
      <c r="F38" s="231">
        <v>790048247.60179996</v>
      </c>
      <c r="G38" s="236" t="s">
        <v>478</v>
      </c>
      <c r="H38" s="233">
        <v>790048247.60179996</v>
      </c>
    </row>
    <row r="39" spans="1:8" ht="15.75">
      <c r="A39" s="35">
        <v>29</v>
      </c>
      <c r="B39" s="39" t="s">
        <v>203</v>
      </c>
      <c r="C39" s="385">
        <v>30465782.424700003</v>
      </c>
      <c r="D39" s="234"/>
      <c r="E39" s="230">
        <f t="shared" si="1"/>
        <v>30465782.424700003</v>
      </c>
      <c r="F39" s="231">
        <v>52100253.049999997</v>
      </c>
      <c r="G39" s="236" t="s">
        <v>478</v>
      </c>
      <c r="H39" s="233">
        <v>52100253.049999997</v>
      </c>
    </row>
    <row r="40" spans="1:8" ht="15.75">
      <c r="A40" s="35">
        <v>30</v>
      </c>
      <c r="B40" s="41" t="s">
        <v>188</v>
      </c>
      <c r="C40" s="385">
        <f>SUM(C33:C39)</f>
        <v>1318657702.2348402</v>
      </c>
      <c r="D40" s="234"/>
      <c r="E40" s="230">
        <f t="shared" si="1"/>
        <v>1318657702.2348402</v>
      </c>
      <c r="F40" s="385">
        <v>1089753985.1917999</v>
      </c>
      <c r="G40" s="236" t="s">
        <v>478</v>
      </c>
      <c r="H40" s="233">
        <v>1089753985.1917999</v>
      </c>
    </row>
    <row r="41" spans="1:8" ht="16.5" thickBot="1">
      <c r="A41" s="42">
        <v>31</v>
      </c>
      <c r="B41" s="43" t="s">
        <v>204</v>
      </c>
      <c r="C41" s="238">
        <f>C31+C40</f>
        <v>5604027629.0172386</v>
      </c>
      <c r="D41" s="238">
        <f>D31+D40</f>
        <v>6787830044.0717001</v>
      </c>
      <c r="E41" s="238">
        <f>C41+D41</f>
        <v>12391857673.08894</v>
      </c>
      <c r="F41" s="238">
        <v>4000148354.1196995</v>
      </c>
      <c r="G41" s="238">
        <v>5811617249.7154102</v>
      </c>
      <c r="H41" s="239">
        <v>9811765603.8351097</v>
      </c>
    </row>
    <row r="43" spans="1:8">
      <c r="G43"/>
      <c r="H43"/>
    </row>
  </sheetData>
  <mergeCells count="2">
    <mergeCell ref="C5:E5"/>
    <mergeCell ref="F5:H5"/>
  </mergeCells>
  <dataValidations count="1">
    <dataValidation type="whole" operator="lessThanOrEqual" allowBlank="1" showInputMessage="1" showErrorMessage="1" sqref="F13:G13">
      <formula1>0</formula1>
    </dataValidation>
  </dataValidations>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9.9978637043366805E-2"/>
  </sheetPr>
  <dimension ref="A1:I67"/>
  <sheetViews>
    <sheetView zoomScaleNormal="100" workbookViewId="0">
      <pane xSplit="1" ySplit="6" topLeftCell="B49" activePane="bottomRight" state="frozen"/>
      <selection pane="topRight" activeCell="B1" sqref="B1"/>
      <selection pane="bottomLeft" activeCell="A6" sqref="A6"/>
      <selection pane="bottomRight" activeCell="E34" sqref="E3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1"/>
  </cols>
  <sheetData>
    <row r="1" spans="1:8" ht="15.75">
      <c r="A1" s="13" t="s">
        <v>195</v>
      </c>
      <c r="B1" s="403" t="str">
        <f>'1. key ratios'!B1</f>
        <v>სს ”საქართველოს ბანკი”</v>
      </c>
      <c r="C1" s="12"/>
    </row>
    <row r="2" spans="1:8" ht="15.75">
      <c r="A2" s="13" t="s">
        <v>196</v>
      </c>
      <c r="B2" s="404">
        <f>'1. key ratios'!B2</f>
        <v>43190</v>
      </c>
      <c r="C2" s="23"/>
      <c r="D2" s="14"/>
      <c r="E2" s="14"/>
      <c r="F2" s="14"/>
      <c r="G2" s="14"/>
      <c r="H2" s="14"/>
    </row>
    <row r="3" spans="1:8" ht="15.75">
      <c r="A3" s="13"/>
      <c r="B3" s="12"/>
      <c r="C3" s="23"/>
      <c r="D3" s="14"/>
      <c r="E3" s="14"/>
      <c r="F3" s="14"/>
      <c r="G3" s="14"/>
      <c r="H3" s="14"/>
    </row>
    <row r="4" spans="1:8" ht="16.5" thickBot="1">
      <c r="A4" s="44" t="s">
        <v>337</v>
      </c>
      <c r="B4" s="24" t="s">
        <v>229</v>
      </c>
      <c r="C4" s="31"/>
      <c r="D4" s="31"/>
      <c r="E4" s="31"/>
      <c r="F4" s="44"/>
      <c r="G4" s="44"/>
      <c r="H4" s="45" t="s">
        <v>99</v>
      </c>
    </row>
    <row r="5" spans="1:8" ht="15.75">
      <c r="A5" s="116"/>
      <c r="B5" s="117"/>
      <c r="C5" s="490" t="s">
        <v>201</v>
      </c>
      <c r="D5" s="491"/>
      <c r="E5" s="492"/>
      <c r="F5" s="490" t="s">
        <v>202</v>
      </c>
      <c r="G5" s="491"/>
      <c r="H5" s="493"/>
    </row>
    <row r="6" spans="1:8">
      <c r="A6" s="118" t="s">
        <v>31</v>
      </c>
      <c r="B6" s="46"/>
      <c r="C6" s="47" t="s">
        <v>32</v>
      </c>
      <c r="D6" s="47" t="s">
        <v>102</v>
      </c>
      <c r="E6" s="47" t="s">
        <v>73</v>
      </c>
      <c r="F6" s="47" t="s">
        <v>32</v>
      </c>
      <c r="G6" s="47" t="s">
        <v>102</v>
      </c>
      <c r="H6" s="119" t="s">
        <v>73</v>
      </c>
    </row>
    <row r="7" spans="1:8">
      <c r="A7" s="120"/>
      <c r="B7" s="49" t="s">
        <v>98</v>
      </c>
      <c r="C7" s="50"/>
      <c r="D7" s="50"/>
      <c r="E7" s="50"/>
      <c r="F7" s="50"/>
      <c r="G7" s="50"/>
      <c r="H7" s="121"/>
    </row>
    <row r="8" spans="1:8" ht="15.75">
      <c r="A8" s="120">
        <v>1</v>
      </c>
      <c r="B8" s="51" t="s">
        <v>103</v>
      </c>
      <c r="C8" s="386">
        <v>2738397.27</v>
      </c>
      <c r="D8" s="386">
        <v>5293857.59</v>
      </c>
      <c r="E8" s="230">
        <f>C8+D8</f>
        <v>8032254.8599999994</v>
      </c>
      <c r="F8" s="240">
        <v>1082863.48</v>
      </c>
      <c r="G8" s="240">
        <v>915578.99</v>
      </c>
      <c r="H8" s="241">
        <v>1998442.47</v>
      </c>
    </row>
    <row r="9" spans="1:8" ht="15.75">
      <c r="A9" s="120">
        <v>2</v>
      </c>
      <c r="B9" s="51" t="s">
        <v>104</v>
      </c>
      <c r="C9" s="242">
        <f>SUM(C10:C18)</f>
        <v>153863666.84944001</v>
      </c>
      <c r="D9" s="242">
        <f>SUM(D10:D18)</f>
        <v>85768082.366200015</v>
      </c>
      <c r="E9" s="230">
        <f t="shared" ref="E9:E67" si="0">C9+D9</f>
        <v>239631749.21564001</v>
      </c>
      <c r="F9" s="242">
        <v>108430976.48999999</v>
      </c>
      <c r="G9" s="242">
        <v>93217198.780000016</v>
      </c>
      <c r="H9" s="241">
        <v>201648175.27000001</v>
      </c>
    </row>
    <row r="10" spans="1:8" ht="15.75">
      <c r="A10" s="120">
        <v>2.1</v>
      </c>
      <c r="B10" s="52" t="s">
        <v>105</v>
      </c>
      <c r="C10" s="386">
        <v>541.16999999999996</v>
      </c>
      <c r="D10" s="386">
        <v>0</v>
      </c>
      <c r="E10" s="230">
        <f t="shared" si="0"/>
        <v>541.16999999999996</v>
      </c>
      <c r="F10" s="240">
        <v>154.49</v>
      </c>
      <c r="G10" s="240">
        <v>179.09</v>
      </c>
      <c r="H10" s="241">
        <v>333.58000000000004</v>
      </c>
    </row>
    <row r="11" spans="1:8" ht="15.75">
      <c r="A11" s="120">
        <v>2.2000000000000002</v>
      </c>
      <c r="B11" s="52" t="s">
        <v>106</v>
      </c>
      <c r="C11" s="386">
        <v>12727715.439999999</v>
      </c>
      <c r="D11" s="386">
        <v>23035549.6041</v>
      </c>
      <c r="E11" s="230">
        <f t="shared" si="0"/>
        <v>35763265.044100001</v>
      </c>
      <c r="F11" s="240">
        <v>13327751.8014</v>
      </c>
      <c r="G11" s="240">
        <v>26898704.374200001</v>
      </c>
      <c r="H11" s="241">
        <v>40226456.1756</v>
      </c>
    </row>
    <row r="12" spans="1:8" ht="15.75">
      <c r="A12" s="120">
        <v>2.2999999999999998</v>
      </c>
      <c r="B12" s="52" t="s">
        <v>107</v>
      </c>
      <c r="C12" s="386">
        <v>548371.34</v>
      </c>
      <c r="D12" s="386">
        <v>1099195.3777000001</v>
      </c>
      <c r="E12" s="230">
        <f t="shared" si="0"/>
        <v>1647566.7176999999</v>
      </c>
      <c r="F12" s="240">
        <v>8760.2099999999991</v>
      </c>
      <c r="G12" s="240">
        <v>822754.68130000005</v>
      </c>
      <c r="H12" s="241">
        <v>831514.89130000002</v>
      </c>
    </row>
    <row r="13" spans="1:8" ht="15.75">
      <c r="A13" s="120">
        <v>2.4</v>
      </c>
      <c r="B13" s="52" t="s">
        <v>108</v>
      </c>
      <c r="C13" s="386">
        <v>1539895.56</v>
      </c>
      <c r="D13" s="386">
        <v>1031062.3</v>
      </c>
      <c r="E13" s="230">
        <f t="shared" si="0"/>
        <v>2570957.8600000003</v>
      </c>
      <c r="F13" s="240">
        <v>723251.57</v>
      </c>
      <c r="G13" s="240">
        <v>1379527.96</v>
      </c>
      <c r="H13" s="241">
        <v>2102779.5299999998</v>
      </c>
    </row>
    <row r="14" spans="1:8" ht="15.75">
      <c r="A14" s="120">
        <v>2.5</v>
      </c>
      <c r="B14" s="52" t="s">
        <v>109</v>
      </c>
      <c r="C14" s="386">
        <v>1594342.8</v>
      </c>
      <c r="D14" s="386">
        <v>5952122.6799999997</v>
      </c>
      <c r="E14" s="230">
        <f t="shared" si="0"/>
        <v>7546465.4799999995</v>
      </c>
      <c r="F14" s="240">
        <v>1164540.06</v>
      </c>
      <c r="G14" s="240">
        <v>5511869.25</v>
      </c>
      <c r="H14" s="241">
        <v>6676409.3100000005</v>
      </c>
    </row>
    <row r="15" spans="1:8" ht="15.75">
      <c r="A15" s="120">
        <v>2.6</v>
      </c>
      <c r="B15" s="52" t="s">
        <v>110</v>
      </c>
      <c r="C15" s="386">
        <v>3705234.45</v>
      </c>
      <c r="D15" s="386">
        <v>13372527.1884</v>
      </c>
      <c r="E15" s="230">
        <f t="shared" si="0"/>
        <v>17077761.6384</v>
      </c>
      <c r="F15" s="240">
        <v>1933749.07</v>
      </c>
      <c r="G15" s="240">
        <v>12988116.014599999</v>
      </c>
      <c r="H15" s="241">
        <v>14921865.0846</v>
      </c>
    </row>
    <row r="16" spans="1:8" ht="15.75">
      <c r="A16" s="120">
        <v>2.7</v>
      </c>
      <c r="B16" s="52" t="s">
        <v>111</v>
      </c>
      <c r="C16" s="386">
        <v>1608546.6414999999</v>
      </c>
      <c r="D16" s="386">
        <v>1372558.3936000001</v>
      </c>
      <c r="E16" s="230">
        <f t="shared" si="0"/>
        <v>2981105.0351</v>
      </c>
      <c r="F16" s="240">
        <v>2436487.5685999999</v>
      </c>
      <c r="G16" s="240">
        <v>1826264.3099</v>
      </c>
      <c r="H16" s="241">
        <v>4262751.8784999996</v>
      </c>
    </row>
    <row r="17" spans="1:8" ht="15.75">
      <c r="A17" s="120">
        <v>2.8</v>
      </c>
      <c r="B17" s="52" t="s">
        <v>112</v>
      </c>
      <c r="C17" s="386">
        <v>131962998.53944004</v>
      </c>
      <c r="D17" s="386">
        <v>39653998.916199997</v>
      </c>
      <c r="E17" s="230">
        <f t="shared" si="0"/>
        <v>171616997.45564002</v>
      </c>
      <c r="F17" s="240">
        <v>88582443.569999993</v>
      </c>
      <c r="G17" s="240">
        <v>43294117.797700003</v>
      </c>
      <c r="H17" s="241">
        <v>131876561.3677</v>
      </c>
    </row>
    <row r="18" spans="1:8" ht="15.75">
      <c r="A18" s="120">
        <v>2.9</v>
      </c>
      <c r="B18" s="52" t="s">
        <v>113</v>
      </c>
      <c r="C18" s="386">
        <v>176020.90849999999</v>
      </c>
      <c r="D18" s="386">
        <v>251067.9062</v>
      </c>
      <c r="E18" s="230">
        <f t="shared" si="0"/>
        <v>427088.81469999999</v>
      </c>
      <c r="F18" s="240">
        <v>253838.15000001073</v>
      </c>
      <c r="G18" s="240">
        <v>495665.30230002821</v>
      </c>
      <c r="H18" s="241">
        <v>749503.45230003889</v>
      </c>
    </row>
    <row r="19" spans="1:8" ht="15.75">
      <c r="A19" s="120">
        <v>3</v>
      </c>
      <c r="B19" s="51" t="s">
        <v>114</v>
      </c>
      <c r="C19" s="386">
        <v>4065074.28</v>
      </c>
      <c r="D19" s="386">
        <v>750896.99</v>
      </c>
      <c r="E19" s="230">
        <f t="shared" si="0"/>
        <v>4815971.2699999996</v>
      </c>
      <c r="F19" s="240">
        <v>1979007.68</v>
      </c>
      <c r="G19" s="240">
        <v>691586.99</v>
      </c>
      <c r="H19" s="241">
        <v>2670594.67</v>
      </c>
    </row>
    <row r="20" spans="1:8" ht="15.75">
      <c r="A20" s="120">
        <v>4</v>
      </c>
      <c r="B20" s="51" t="s">
        <v>115</v>
      </c>
      <c r="C20" s="386">
        <v>29272033.510000002</v>
      </c>
      <c r="D20" s="386">
        <v>1733760.25</v>
      </c>
      <c r="E20" s="230">
        <f t="shared" si="0"/>
        <v>31005793.760000002</v>
      </c>
      <c r="F20" s="240">
        <v>23763111.350000001</v>
      </c>
      <c r="G20" s="240">
        <v>1250102.24</v>
      </c>
      <c r="H20" s="241">
        <v>25013213.59</v>
      </c>
    </row>
    <row r="21" spans="1:8" ht="15.75">
      <c r="A21" s="120">
        <v>5</v>
      </c>
      <c r="B21" s="51" t="s">
        <v>116</v>
      </c>
      <c r="C21" s="386">
        <v>0</v>
      </c>
      <c r="D21" s="386">
        <v>0</v>
      </c>
      <c r="E21" s="230">
        <f t="shared" si="0"/>
        <v>0</v>
      </c>
      <c r="F21" s="240"/>
      <c r="G21" s="240"/>
      <c r="H21" s="241">
        <v>0</v>
      </c>
    </row>
    <row r="22" spans="1:8" ht="15.75">
      <c r="A22" s="120">
        <v>6</v>
      </c>
      <c r="B22" s="53" t="s">
        <v>117</v>
      </c>
      <c r="C22" s="242">
        <f>C8+C9+C19+C20+C21</f>
        <v>189939171.90944001</v>
      </c>
      <c r="D22" s="242">
        <f>D8+D9+D19+D20+D21</f>
        <v>93546597.196200013</v>
      </c>
      <c r="E22" s="230">
        <f>C22+D22</f>
        <v>283485769.10564005</v>
      </c>
      <c r="F22" s="242">
        <v>135255959</v>
      </c>
      <c r="G22" s="242">
        <v>96074467</v>
      </c>
      <c r="H22" s="241">
        <v>231330426</v>
      </c>
    </row>
    <row r="23" spans="1:8" ht="15.75">
      <c r="A23" s="120"/>
      <c r="B23" s="49" t="s">
        <v>96</v>
      </c>
      <c r="C23" s="240"/>
      <c r="D23" s="240"/>
      <c r="E23" s="229"/>
      <c r="F23" s="240"/>
      <c r="G23" s="240"/>
      <c r="H23" s="243"/>
    </row>
    <row r="24" spans="1:8" ht="15.75">
      <c r="A24" s="120">
        <v>7</v>
      </c>
      <c r="B24" s="51" t="s">
        <v>118</v>
      </c>
      <c r="C24" s="386">
        <v>12817871.369999999</v>
      </c>
      <c r="D24" s="386">
        <v>4749647.18</v>
      </c>
      <c r="E24" s="230">
        <f t="shared" si="0"/>
        <v>17567518.549999997</v>
      </c>
      <c r="F24" s="240">
        <v>11490615.65</v>
      </c>
      <c r="G24" s="240">
        <v>3269637.62</v>
      </c>
      <c r="H24" s="241">
        <v>14760253.27</v>
      </c>
    </row>
    <row r="25" spans="1:8" ht="15.75">
      <c r="A25" s="120">
        <v>8</v>
      </c>
      <c r="B25" s="51" t="s">
        <v>119</v>
      </c>
      <c r="C25" s="386">
        <v>18020454.41</v>
      </c>
      <c r="D25" s="386">
        <v>19387797.5</v>
      </c>
      <c r="E25" s="230">
        <f t="shared" si="0"/>
        <v>37408251.909999996</v>
      </c>
      <c r="F25" s="240">
        <v>8538981.4800000004</v>
      </c>
      <c r="G25" s="240">
        <v>23817934.870000001</v>
      </c>
      <c r="H25" s="241">
        <v>32356916.350000001</v>
      </c>
    </row>
    <row r="26" spans="1:8" ht="15.75">
      <c r="A26" s="120">
        <v>9</v>
      </c>
      <c r="B26" s="51" t="s">
        <v>120</v>
      </c>
      <c r="C26" s="386">
        <v>2711440.84</v>
      </c>
      <c r="D26" s="386">
        <v>526648.53</v>
      </c>
      <c r="E26" s="230">
        <f t="shared" si="0"/>
        <v>3238089.37</v>
      </c>
      <c r="F26" s="240">
        <v>1548269.74</v>
      </c>
      <c r="G26" s="240">
        <v>115434.06</v>
      </c>
      <c r="H26" s="241">
        <v>1663703.8</v>
      </c>
    </row>
    <row r="27" spans="1:8" ht="15.75">
      <c r="A27" s="120">
        <v>10</v>
      </c>
      <c r="B27" s="51" t="s">
        <v>121</v>
      </c>
      <c r="C27" s="386">
        <v>15247534.539999999</v>
      </c>
      <c r="D27" s="386">
        <f>3674418.8+1398973.62</f>
        <v>5073392.42</v>
      </c>
      <c r="E27" s="230">
        <f t="shared" si="0"/>
        <v>20320926.960000001</v>
      </c>
      <c r="F27" s="240">
        <v>2327409.0099999998</v>
      </c>
      <c r="G27" s="240">
        <v>2315932.44</v>
      </c>
      <c r="H27" s="241">
        <v>4643341.4499999993</v>
      </c>
    </row>
    <row r="28" spans="1:8" ht="15.75">
      <c r="A28" s="120">
        <v>11</v>
      </c>
      <c r="B28" s="51" t="s">
        <v>122</v>
      </c>
      <c r="C28" s="386">
        <v>23523019.949999999</v>
      </c>
      <c r="D28" s="386">
        <f>23857043.22-1398973.62</f>
        <v>22458069.599999998</v>
      </c>
      <c r="E28" s="230">
        <f t="shared" si="0"/>
        <v>45981089.549999997</v>
      </c>
      <c r="F28" s="240">
        <v>21028232.73</v>
      </c>
      <c r="G28" s="240">
        <v>23850277.5</v>
      </c>
      <c r="H28" s="241">
        <v>44878510.230000004</v>
      </c>
    </row>
    <row r="29" spans="1:8" ht="15.75">
      <c r="A29" s="120">
        <v>12</v>
      </c>
      <c r="B29" s="51" t="s">
        <v>123</v>
      </c>
      <c r="C29" s="386">
        <v>0</v>
      </c>
      <c r="D29" s="386">
        <v>0</v>
      </c>
      <c r="E29" s="230">
        <f t="shared" si="0"/>
        <v>0</v>
      </c>
      <c r="F29" s="240"/>
      <c r="G29" s="240"/>
      <c r="H29" s="241">
        <v>0</v>
      </c>
    </row>
    <row r="30" spans="1:8" ht="15.75">
      <c r="A30" s="120">
        <v>13</v>
      </c>
      <c r="B30" s="54" t="s">
        <v>124</v>
      </c>
      <c r="C30" s="242">
        <f>SUM(C24:C29)</f>
        <v>72320321.109999999</v>
      </c>
      <c r="D30" s="242">
        <f>SUM(D24:D29)</f>
        <v>52195555.230000004</v>
      </c>
      <c r="E30" s="230">
        <f t="shared" si="0"/>
        <v>124515876.34</v>
      </c>
      <c r="F30" s="242">
        <v>44933508.609999999</v>
      </c>
      <c r="G30" s="242">
        <v>53369216.490000002</v>
      </c>
      <c r="H30" s="241">
        <v>98302725.099999994</v>
      </c>
    </row>
    <row r="31" spans="1:8" ht="15.75">
      <c r="A31" s="120">
        <v>14</v>
      </c>
      <c r="B31" s="54" t="s">
        <v>125</v>
      </c>
      <c r="C31" s="242">
        <f>C22-C30</f>
        <v>117618850.79944001</v>
      </c>
      <c r="D31" s="242">
        <f>D22-D30</f>
        <v>41351041.966200009</v>
      </c>
      <c r="E31" s="230">
        <f t="shared" si="0"/>
        <v>158969892.76564002</v>
      </c>
      <c r="F31" s="242">
        <v>90322450.390000001</v>
      </c>
      <c r="G31" s="242">
        <v>42705250.509999998</v>
      </c>
      <c r="H31" s="241">
        <v>133027700.90000001</v>
      </c>
    </row>
    <row r="32" spans="1:8">
      <c r="A32" s="120"/>
      <c r="B32" s="49"/>
      <c r="C32" s="244"/>
      <c r="D32" s="244"/>
      <c r="E32" s="244"/>
      <c r="F32" s="244"/>
      <c r="G32" s="244"/>
      <c r="H32" s="245"/>
    </row>
    <row r="33" spans="1:8" ht="15.75">
      <c r="A33" s="120"/>
      <c r="B33" s="49" t="s">
        <v>126</v>
      </c>
      <c r="C33" s="240"/>
      <c r="D33" s="240"/>
      <c r="E33" s="229"/>
      <c r="F33" s="240"/>
      <c r="G33" s="240"/>
      <c r="H33" s="243"/>
    </row>
    <row r="34" spans="1:8" ht="15.75">
      <c r="A34" s="120">
        <v>15</v>
      </c>
      <c r="B34" s="48" t="s">
        <v>97</v>
      </c>
      <c r="C34" s="246">
        <f>C35-C36</f>
        <v>28044530.229999997</v>
      </c>
      <c r="D34" s="246">
        <f>D35-D36</f>
        <v>778601.02000000142</v>
      </c>
      <c r="E34" s="230">
        <f t="shared" si="0"/>
        <v>28823131.25</v>
      </c>
      <c r="F34" s="246">
        <v>26190334.23</v>
      </c>
      <c r="G34" s="246">
        <v>-87691.419999999925</v>
      </c>
      <c r="H34" s="241">
        <v>26102642.810000002</v>
      </c>
    </row>
    <row r="35" spans="1:8" ht="15.75">
      <c r="A35" s="120">
        <v>15.1</v>
      </c>
      <c r="B35" s="52" t="s">
        <v>127</v>
      </c>
      <c r="C35" s="386">
        <v>35807598.689999998</v>
      </c>
      <c r="D35" s="386">
        <v>11456586.210000001</v>
      </c>
      <c r="E35" s="230">
        <f t="shared" si="0"/>
        <v>47264184.899999999</v>
      </c>
      <c r="F35" s="240">
        <v>30942070.539999999</v>
      </c>
      <c r="G35" s="240">
        <v>9605612.4700000007</v>
      </c>
      <c r="H35" s="241">
        <v>40547683.009999998</v>
      </c>
    </row>
    <row r="36" spans="1:8" ht="15.75">
      <c r="A36" s="120">
        <v>15.2</v>
      </c>
      <c r="B36" s="52" t="s">
        <v>128</v>
      </c>
      <c r="C36" s="386">
        <v>7763068.46</v>
      </c>
      <c r="D36" s="386">
        <v>10677985.189999999</v>
      </c>
      <c r="E36" s="230">
        <f t="shared" si="0"/>
        <v>18441053.649999999</v>
      </c>
      <c r="F36" s="240">
        <v>4751736.3099999996</v>
      </c>
      <c r="G36" s="240">
        <v>9693303.8900000006</v>
      </c>
      <c r="H36" s="241">
        <v>14445040.199999999</v>
      </c>
    </row>
    <row r="37" spans="1:8" ht="15.75">
      <c r="A37" s="120">
        <v>16</v>
      </c>
      <c r="B37" s="51" t="s">
        <v>129</v>
      </c>
      <c r="C37" s="386">
        <v>0</v>
      </c>
      <c r="D37" s="386">
        <v>0</v>
      </c>
      <c r="E37" s="230">
        <f t="shared" si="0"/>
        <v>0</v>
      </c>
      <c r="F37" s="240">
        <v>0</v>
      </c>
      <c r="G37" s="240">
        <v>0</v>
      </c>
      <c r="H37" s="241">
        <v>0</v>
      </c>
    </row>
    <row r="38" spans="1:8" ht="15.75">
      <c r="A38" s="120">
        <v>17</v>
      </c>
      <c r="B38" s="51" t="s">
        <v>130</v>
      </c>
      <c r="C38" s="386">
        <v>2334.48</v>
      </c>
      <c r="D38" s="386">
        <v>0</v>
      </c>
      <c r="E38" s="230">
        <f t="shared" si="0"/>
        <v>2334.48</v>
      </c>
      <c r="F38" s="240">
        <v>0</v>
      </c>
      <c r="G38" s="240">
        <v>0</v>
      </c>
      <c r="H38" s="241">
        <v>0</v>
      </c>
    </row>
    <row r="39" spans="1:8" ht="15.75">
      <c r="A39" s="120">
        <v>18</v>
      </c>
      <c r="B39" s="51" t="s">
        <v>131</v>
      </c>
      <c r="C39" s="386">
        <v>9986.27</v>
      </c>
      <c r="D39" s="386">
        <v>-347181.55</v>
      </c>
      <c r="E39" s="230">
        <f t="shared" si="0"/>
        <v>-337195.27999999997</v>
      </c>
      <c r="F39" s="240">
        <v>48436.52</v>
      </c>
      <c r="G39" s="240">
        <v>377420.87</v>
      </c>
      <c r="H39" s="241">
        <v>425857.39</v>
      </c>
    </row>
    <row r="40" spans="1:8" ht="15.75">
      <c r="A40" s="120">
        <v>19</v>
      </c>
      <c r="B40" s="51" t="s">
        <v>132</v>
      </c>
      <c r="C40" s="386">
        <v>20674636.969999999</v>
      </c>
      <c r="D40" s="386">
        <v>0</v>
      </c>
      <c r="E40" s="230">
        <f t="shared" si="0"/>
        <v>20674636.969999999</v>
      </c>
      <c r="F40" s="240">
        <v>19115632.789999999</v>
      </c>
      <c r="G40" s="240"/>
      <c r="H40" s="241">
        <v>19115632.789999999</v>
      </c>
    </row>
    <row r="41" spans="1:8" ht="15.75">
      <c r="A41" s="120">
        <v>20</v>
      </c>
      <c r="B41" s="51" t="s">
        <v>133</v>
      </c>
      <c r="C41" s="386">
        <v>-7534731.4100000001</v>
      </c>
      <c r="D41" s="386">
        <v>0</v>
      </c>
      <c r="E41" s="230">
        <f t="shared" si="0"/>
        <v>-7534731.4100000001</v>
      </c>
      <c r="F41" s="240">
        <v>1642498.65</v>
      </c>
      <c r="G41" s="240"/>
      <c r="H41" s="241">
        <v>1642498.65</v>
      </c>
    </row>
    <row r="42" spans="1:8" ht="15.75">
      <c r="A42" s="120">
        <v>21</v>
      </c>
      <c r="B42" s="51" t="s">
        <v>134</v>
      </c>
      <c r="C42" s="386">
        <v>717792.01</v>
      </c>
      <c r="D42" s="386">
        <v>0</v>
      </c>
      <c r="E42" s="230">
        <f t="shared" si="0"/>
        <v>717792.01</v>
      </c>
      <c r="F42" s="240">
        <v>1862730.4</v>
      </c>
      <c r="G42" s="240"/>
      <c r="H42" s="241">
        <v>1862730.4</v>
      </c>
    </row>
    <row r="43" spans="1:8" ht="15.75">
      <c r="A43" s="120">
        <v>22</v>
      </c>
      <c r="B43" s="51" t="s">
        <v>135</v>
      </c>
      <c r="C43" s="386">
        <v>2819079.05</v>
      </c>
      <c r="D43" s="386">
        <v>3764608.45</v>
      </c>
      <c r="E43" s="230">
        <f t="shared" si="0"/>
        <v>6583687.5</v>
      </c>
      <c r="F43" s="240">
        <v>2593100</v>
      </c>
      <c r="G43" s="240">
        <v>2928240.03</v>
      </c>
      <c r="H43" s="241">
        <v>5521340.0299999993</v>
      </c>
    </row>
    <row r="44" spans="1:8" ht="15.75">
      <c r="A44" s="120">
        <v>23</v>
      </c>
      <c r="B44" s="51" t="s">
        <v>136</v>
      </c>
      <c r="C44" s="386">
        <v>18276.240000000002</v>
      </c>
      <c r="D44" s="386">
        <v>4802136.59</v>
      </c>
      <c r="E44" s="230">
        <f t="shared" si="0"/>
        <v>4820412.83</v>
      </c>
      <c r="F44" s="240">
        <v>19636.939999999999</v>
      </c>
      <c r="G44" s="240">
        <v>387847.32</v>
      </c>
      <c r="H44" s="241">
        <v>407484.26</v>
      </c>
    </row>
    <row r="45" spans="1:8" ht="15.75">
      <c r="A45" s="120">
        <v>24</v>
      </c>
      <c r="B45" s="54" t="s">
        <v>137</v>
      </c>
      <c r="C45" s="242">
        <f>C34+C37+C38+C39+C40+C41+C42+C43+C44</f>
        <v>44751903.839999989</v>
      </c>
      <c r="D45" s="242">
        <f>D34+D37+D38+D39+D40+D41+D42+D43+D44</f>
        <v>8998164.5100000016</v>
      </c>
      <c r="E45" s="230">
        <f t="shared" si="0"/>
        <v>53750068.349999994</v>
      </c>
      <c r="F45" s="242">
        <v>51472369.529999994</v>
      </c>
      <c r="G45" s="242">
        <v>3605816.8</v>
      </c>
      <c r="H45" s="241">
        <v>55078186.329999991</v>
      </c>
    </row>
    <row r="46" spans="1:8">
      <c r="A46" s="120"/>
      <c r="B46" s="49" t="s">
        <v>138</v>
      </c>
      <c r="C46" s="240"/>
      <c r="D46" s="240"/>
      <c r="E46" s="240"/>
      <c r="F46" s="240"/>
      <c r="G46" s="240"/>
      <c r="H46" s="247"/>
    </row>
    <row r="47" spans="1:8" ht="15.75">
      <c r="A47" s="120">
        <v>25</v>
      </c>
      <c r="B47" s="51" t="s">
        <v>139</v>
      </c>
      <c r="C47" s="386">
        <v>1832670.73</v>
      </c>
      <c r="D47" s="386">
        <v>5422546.46</v>
      </c>
      <c r="E47" s="230">
        <f t="shared" si="0"/>
        <v>7255217.1899999995</v>
      </c>
      <c r="F47" s="240">
        <v>6102583.3499999996</v>
      </c>
      <c r="G47" s="240">
        <v>416547.9</v>
      </c>
      <c r="H47" s="241">
        <v>6519131.25</v>
      </c>
    </row>
    <row r="48" spans="1:8" ht="15.75">
      <c r="A48" s="120">
        <v>26</v>
      </c>
      <c r="B48" s="51" t="s">
        <v>140</v>
      </c>
      <c r="C48" s="386">
        <v>5734328.6600000001</v>
      </c>
      <c r="D48" s="386">
        <v>8208521.3200000003</v>
      </c>
      <c r="E48" s="230">
        <f t="shared" si="0"/>
        <v>13942849.98</v>
      </c>
      <c r="F48" s="240">
        <v>4799804.16</v>
      </c>
      <c r="G48" s="240">
        <v>1406054.15</v>
      </c>
      <c r="H48" s="241">
        <v>6205858.3100000005</v>
      </c>
    </row>
    <row r="49" spans="1:9" ht="15.75">
      <c r="A49" s="120">
        <v>27</v>
      </c>
      <c r="B49" s="51" t="s">
        <v>141</v>
      </c>
      <c r="C49" s="386">
        <v>47296957.399999999</v>
      </c>
      <c r="D49" s="386">
        <v>0</v>
      </c>
      <c r="E49" s="230">
        <f t="shared" si="0"/>
        <v>47296957.399999999</v>
      </c>
      <c r="F49" s="240">
        <v>39794561.780000001</v>
      </c>
      <c r="G49" s="240"/>
      <c r="H49" s="241">
        <v>39794561.780000001</v>
      </c>
    </row>
    <row r="50" spans="1:9" ht="15.75">
      <c r="A50" s="120">
        <v>28</v>
      </c>
      <c r="B50" s="51" t="s">
        <v>278</v>
      </c>
      <c r="C50" s="386">
        <v>1955176.68</v>
      </c>
      <c r="D50" s="386">
        <v>0</v>
      </c>
      <c r="E50" s="230">
        <f t="shared" si="0"/>
        <v>1955176.68</v>
      </c>
      <c r="F50" s="240">
        <v>1616412.74</v>
      </c>
      <c r="G50" s="240"/>
      <c r="H50" s="241">
        <v>1616412.74</v>
      </c>
    </row>
    <row r="51" spans="1:9" ht="15.75">
      <c r="A51" s="120">
        <v>29</v>
      </c>
      <c r="B51" s="51" t="s">
        <v>142</v>
      </c>
      <c r="C51" s="386">
        <v>10246973.6413</v>
      </c>
      <c r="D51" s="386">
        <v>0</v>
      </c>
      <c r="E51" s="230">
        <f t="shared" si="0"/>
        <v>10246973.6413</v>
      </c>
      <c r="F51" s="240">
        <v>8620643.8002000004</v>
      </c>
      <c r="G51" s="240"/>
      <c r="H51" s="241">
        <v>8620643.8002000004</v>
      </c>
    </row>
    <row r="52" spans="1:9" ht="15.75">
      <c r="A52" s="120">
        <v>30</v>
      </c>
      <c r="B52" s="51" t="s">
        <v>143</v>
      </c>
      <c r="C52" s="386">
        <v>9324690.1600000001</v>
      </c>
      <c r="D52" s="386">
        <v>153341.97</v>
      </c>
      <c r="E52" s="230">
        <f t="shared" si="0"/>
        <v>9478032.1300000008</v>
      </c>
      <c r="F52" s="240">
        <v>9084605.0399999991</v>
      </c>
      <c r="G52" s="240">
        <v>583006.04</v>
      </c>
      <c r="H52" s="241">
        <v>9667611.0799999982</v>
      </c>
    </row>
    <row r="53" spans="1:9" ht="15.75">
      <c r="A53" s="120">
        <v>31</v>
      </c>
      <c r="B53" s="54" t="s">
        <v>144</v>
      </c>
      <c r="C53" s="242">
        <f>C47+C48+C49+C50+C51+C52</f>
        <v>76390797.271300003</v>
      </c>
      <c r="D53" s="242">
        <f>D47+D48+D49+D50+D51+D52</f>
        <v>13784409.750000002</v>
      </c>
      <c r="E53" s="230">
        <f t="shared" si="0"/>
        <v>90175207.021300003</v>
      </c>
      <c r="F53" s="242">
        <v>70018610.870200008</v>
      </c>
      <c r="G53" s="242">
        <v>2405608.09</v>
      </c>
      <c r="H53" s="241">
        <v>72424218.960200012</v>
      </c>
    </row>
    <row r="54" spans="1:9" ht="15.75">
      <c r="A54" s="120">
        <v>32</v>
      </c>
      <c r="B54" s="54" t="s">
        <v>145</v>
      </c>
      <c r="C54" s="242">
        <f>C45-C53</f>
        <v>-31638893.431300014</v>
      </c>
      <c r="D54" s="242">
        <f>D45-D53</f>
        <v>-4786245.24</v>
      </c>
      <c r="E54" s="230">
        <f t="shared" si="0"/>
        <v>-36425138.671300016</v>
      </c>
      <c r="F54" s="242">
        <v>-18546241.340200014</v>
      </c>
      <c r="G54" s="242">
        <v>1200208.71</v>
      </c>
      <c r="H54" s="241">
        <v>-17346032.630200014</v>
      </c>
    </row>
    <row r="55" spans="1:9">
      <c r="A55" s="120"/>
      <c r="B55" s="49"/>
      <c r="C55" s="244"/>
      <c r="D55" s="244"/>
      <c r="E55" s="244"/>
      <c r="F55" s="244"/>
      <c r="G55" s="244"/>
      <c r="H55" s="245"/>
    </row>
    <row r="56" spans="1:9" ht="15.75">
      <c r="A56" s="120">
        <v>33</v>
      </c>
      <c r="B56" s="54" t="s">
        <v>146</v>
      </c>
      <c r="C56" s="242">
        <f>C31+C54</f>
        <v>85979957.368139997</v>
      </c>
      <c r="D56" s="242">
        <f>D31+D54</f>
        <v>36564796.726200007</v>
      </c>
      <c r="E56" s="230">
        <f t="shared" si="0"/>
        <v>122544754.09434</v>
      </c>
      <c r="F56" s="242">
        <v>71776209.049799979</v>
      </c>
      <c r="G56" s="242">
        <v>43905459.219999999</v>
      </c>
      <c r="H56" s="241">
        <v>115681668.26979998</v>
      </c>
    </row>
    <row r="57" spans="1:9">
      <c r="A57" s="120"/>
      <c r="B57" s="49"/>
      <c r="C57" s="244"/>
      <c r="D57" s="244"/>
      <c r="E57" s="244"/>
      <c r="F57" s="244"/>
      <c r="G57" s="244"/>
      <c r="H57" s="245"/>
    </row>
    <row r="58" spans="1:9" ht="15.75">
      <c r="A58" s="120">
        <v>34</v>
      </c>
      <c r="B58" s="51" t="s">
        <v>147</v>
      </c>
      <c r="C58" s="386">
        <v>42188062.368600003</v>
      </c>
      <c r="D58" s="240"/>
      <c r="E58" s="230">
        <f t="shared" si="0"/>
        <v>42188062.368600003</v>
      </c>
      <c r="F58" s="240">
        <v>-18605153.788199998</v>
      </c>
      <c r="G58" s="240" t="s">
        <v>478</v>
      </c>
      <c r="H58" s="241">
        <v>-18605153.788199998</v>
      </c>
    </row>
    <row r="59" spans="1:9" s="196" customFormat="1" ht="15.75">
      <c r="A59" s="120">
        <v>35</v>
      </c>
      <c r="B59" s="48" t="s">
        <v>148</v>
      </c>
      <c r="C59" s="386">
        <v>2830918</v>
      </c>
      <c r="D59" s="248"/>
      <c r="E59" s="249">
        <f t="shared" si="0"/>
        <v>2830918</v>
      </c>
      <c r="F59" s="250">
        <v>4815820.5</v>
      </c>
      <c r="G59" s="250" t="s">
        <v>478</v>
      </c>
      <c r="H59" s="251">
        <v>4815820.5</v>
      </c>
      <c r="I59" s="195"/>
    </row>
    <row r="60" spans="1:9" ht="15.75">
      <c r="A60" s="120">
        <v>36</v>
      </c>
      <c r="B60" s="51" t="s">
        <v>149</v>
      </c>
      <c r="C60" s="386">
        <v>891629.81560000009</v>
      </c>
      <c r="D60" s="240"/>
      <c r="E60" s="230">
        <f t="shared" si="0"/>
        <v>891629.81560000009</v>
      </c>
      <c r="F60" s="240">
        <v>-6419035.6538000004</v>
      </c>
      <c r="G60" s="240" t="s">
        <v>478</v>
      </c>
      <c r="H60" s="241">
        <v>-6419035.6538000004</v>
      </c>
    </row>
    <row r="61" spans="1:9" ht="15.75">
      <c r="A61" s="120">
        <v>37</v>
      </c>
      <c r="B61" s="54" t="s">
        <v>150</v>
      </c>
      <c r="C61" s="242">
        <f>C58+C59+C60</f>
        <v>45910610.184200004</v>
      </c>
      <c r="D61" s="242">
        <f>D58+D59+D60</f>
        <v>0</v>
      </c>
      <c r="E61" s="230">
        <f t="shared" si="0"/>
        <v>45910610.184200004</v>
      </c>
      <c r="F61" s="242">
        <v>-20208368.941999998</v>
      </c>
      <c r="G61" s="242">
        <v>0</v>
      </c>
      <c r="H61" s="241">
        <v>-20208368.941999998</v>
      </c>
    </row>
    <row r="62" spans="1:9">
      <c r="A62" s="120"/>
      <c r="B62" s="55"/>
      <c r="C62" s="240"/>
      <c r="D62" s="240"/>
      <c r="E62" s="240"/>
      <c r="F62" s="240"/>
      <c r="G62" s="240"/>
      <c r="H62" s="247"/>
    </row>
    <row r="63" spans="1:9" ht="15.75">
      <c r="A63" s="120">
        <v>38</v>
      </c>
      <c r="B63" s="56" t="s">
        <v>279</v>
      </c>
      <c r="C63" s="242">
        <f>C56-C61</f>
        <v>40069347.183939993</v>
      </c>
      <c r="D63" s="242">
        <f>D56-D61</f>
        <v>36564796.726200007</v>
      </c>
      <c r="E63" s="230">
        <f t="shared" si="0"/>
        <v>76634143.910140008</v>
      </c>
      <c r="F63" s="242">
        <v>91984577.99179998</v>
      </c>
      <c r="G63" s="242">
        <v>43905459.219999999</v>
      </c>
      <c r="H63" s="241">
        <v>135890037.21179998</v>
      </c>
    </row>
    <row r="64" spans="1:9" ht="15.75">
      <c r="A64" s="118">
        <v>39</v>
      </c>
      <c r="B64" s="51" t="s">
        <v>151</v>
      </c>
      <c r="C64" s="387">
        <v>982539</v>
      </c>
      <c r="D64" s="252"/>
      <c r="E64" s="230">
        <f t="shared" si="0"/>
        <v>982539</v>
      </c>
      <c r="F64" s="252">
        <v>10006427</v>
      </c>
      <c r="G64" s="252"/>
      <c r="H64" s="241">
        <v>10006427</v>
      </c>
    </row>
    <row r="65" spans="1:8" ht="15.75">
      <c r="A65" s="120">
        <v>40</v>
      </c>
      <c r="B65" s="54" t="s">
        <v>152</v>
      </c>
      <c r="C65" s="242">
        <f>C63-C64</f>
        <v>39086808.183939993</v>
      </c>
      <c r="D65" s="242">
        <f>D63-D64</f>
        <v>36564796.726200007</v>
      </c>
      <c r="E65" s="230">
        <f t="shared" si="0"/>
        <v>75651604.910140008</v>
      </c>
      <c r="F65" s="242">
        <v>81978150.99179998</v>
      </c>
      <c r="G65" s="242">
        <v>43905459.219999999</v>
      </c>
      <c r="H65" s="241">
        <v>125883610.21179998</v>
      </c>
    </row>
    <row r="66" spans="1:8" ht="15.75">
      <c r="A66" s="118">
        <v>41</v>
      </c>
      <c r="B66" s="51" t="s">
        <v>153</v>
      </c>
      <c r="C66" s="387">
        <v>-874431.56</v>
      </c>
      <c r="D66" s="252"/>
      <c r="E66" s="230">
        <f t="shared" si="0"/>
        <v>-874431.56</v>
      </c>
      <c r="F66" s="252">
        <v>-7524611.6100000003</v>
      </c>
      <c r="G66" s="252"/>
      <c r="H66" s="241">
        <v>-7524611.6100000003</v>
      </c>
    </row>
    <row r="67" spans="1:8" ht="16.5" thickBot="1">
      <c r="A67" s="122">
        <v>42</v>
      </c>
      <c r="B67" s="123" t="s">
        <v>154</v>
      </c>
      <c r="C67" s="253">
        <f>C65+C66</f>
        <v>38212376.623939991</v>
      </c>
      <c r="D67" s="253">
        <f>D65+D66</f>
        <v>36564796.726200007</v>
      </c>
      <c r="E67" s="238">
        <f t="shared" si="0"/>
        <v>74777173.350140005</v>
      </c>
      <c r="F67" s="253">
        <v>74453539.381799981</v>
      </c>
      <c r="G67" s="253">
        <v>43905459.219999999</v>
      </c>
      <c r="H67" s="254">
        <v>118358998.60179998</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9.9978637043366805E-2"/>
    <pageSetUpPr fitToPage="1"/>
  </sheetPr>
  <dimension ref="A1:J53"/>
  <sheetViews>
    <sheetView zoomScaleNormal="100" workbookViewId="0">
      <selection activeCell="C10" sqref="C10"/>
    </sheetView>
  </sheetViews>
  <sheetFormatPr defaultRowHeight="15"/>
  <cols>
    <col min="1" max="1" width="9.5703125" bestFit="1" customWidth="1"/>
    <col min="2" max="2" width="72.28515625" customWidth="1"/>
    <col min="3" max="4" width="12.7109375" style="3" customWidth="1"/>
    <col min="5" max="8" width="12.7109375" customWidth="1"/>
  </cols>
  <sheetData>
    <row r="1" spans="1:8">
      <c r="A1" s="2" t="s">
        <v>195</v>
      </c>
      <c r="B1" s="403" t="str">
        <f>'1. key ratios'!B1</f>
        <v>სს ”საქართველოს ბანკი”</v>
      </c>
    </row>
    <row r="2" spans="1:8">
      <c r="A2" s="2" t="s">
        <v>196</v>
      </c>
      <c r="B2" s="404">
        <f>'1. key ratios'!B2</f>
        <v>43190</v>
      </c>
    </row>
    <row r="3" spans="1:8">
      <c r="A3" s="2"/>
    </row>
    <row r="4" spans="1:8" ht="16.5" thickBot="1">
      <c r="A4" s="2" t="s">
        <v>338</v>
      </c>
      <c r="B4" s="2"/>
      <c r="C4" s="207"/>
      <c r="D4" s="207"/>
      <c r="E4" s="207"/>
      <c r="F4" s="208"/>
      <c r="G4" s="208"/>
      <c r="H4" s="209" t="s">
        <v>99</v>
      </c>
    </row>
    <row r="5" spans="1:8" ht="15.75">
      <c r="A5" s="494" t="s">
        <v>31</v>
      </c>
      <c r="B5" s="496" t="s">
        <v>252</v>
      </c>
      <c r="C5" s="498" t="s">
        <v>201</v>
      </c>
      <c r="D5" s="498"/>
      <c r="E5" s="498"/>
      <c r="F5" s="498" t="s">
        <v>202</v>
      </c>
      <c r="G5" s="498"/>
      <c r="H5" s="499"/>
    </row>
    <row r="6" spans="1:8">
      <c r="A6" s="495"/>
      <c r="B6" s="497"/>
      <c r="C6" s="37" t="s">
        <v>32</v>
      </c>
      <c r="D6" s="37" t="s">
        <v>100</v>
      </c>
      <c r="E6" s="37" t="s">
        <v>73</v>
      </c>
      <c r="F6" s="37" t="s">
        <v>32</v>
      </c>
      <c r="G6" s="37" t="s">
        <v>100</v>
      </c>
      <c r="H6" s="38" t="s">
        <v>73</v>
      </c>
    </row>
    <row r="7" spans="1:8" s="3" customFormat="1" ht="15.75">
      <c r="A7" s="210">
        <v>1</v>
      </c>
      <c r="B7" s="211" t="s">
        <v>375</v>
      </c>
      <c r="C7" s="232"/>
      <c r="D7" s="232"/>
      <c r="E7" s="255">
        <f>C7+D7</f>
        <v>0</v>
      </c>
      <c r="F7" s="232"/>
      <c r="G7" s="232"/>
      <c r="H7" s="233">
        <f t="shared" ref="H7:H53" si="0">F7+G7</f>
        <v>0</v>
      </c>
    </row>
    <row r="8" spans="1:8" s="3" customFormat="1" ht="15.75">
      <c r="A8" s="210">
        <v>1.1000000000000001</v>
      </c>
      <c r="B8" s="212" t="s">
        <v>283</v>
      </c>
      <c r="C8" s="388">
        <v>275309178.41000003</v>
      </c>
      <c r="D8" s="388">
        <v>295631768.01929998</v>
      </c>
      <c r="E8" s="255">
        <f t="shared" ref="E8:E53" si="1">C8+D8</f>
        <v>570940946.42930007</v>
      </c>
      <c r="F8" s="232"/>
      <c r="G8" s="232"/>
      <c r="H8" s="233">
        <f t="shared" si="0"/>
        <v>0</v>
      </c>
    </row>
    <row r="9" spans="1:8" s="3" customFormat="1" ht="15.75">
      <c r="A9" s="210">
        <v>1.2</v>
      </c>
      <c r="B9" s="212" t="s">
        <v>284</v>
      </c>
      <c r="C9" s="388">
        <v>0</v>
      </c>
      <c r="D9" s="388">
        <v>34837361.069999993</v>
      </c>
      <c r="E9" s="255">
        <f t="shared" si="1"/>
        <v>34837361.069999993</v>
      </c>
      <c r="F9" s="232"/>
      <c r="G9" s="232"/>
      <c r="H9" s="233">
        <f t="shared" si="0"/>
        <v>0</v>
      </c>
    </row>
    <row r="10" spans="1:8" s="3" customFormat="1" ht="15.75">
      <c r="A10" s="210">
        <v>1.3</v>
      </c>
      <c r="B10" s="212" t="s">
        <v>285</v>
      </c>
      <c r="C10" s="388">
        <v>236646474.15000001</v>
      </c>
      <c r="D10" s="388">
        <v>13014201.179400004</v>
      </c>
      <c r="E10" s="255">
        <f t="shared" si="1"/>
        <v>249660675.3294</v>
      </c>
      <c r="F10" s="232"/>
      <c r="G10" s="232"/>
      <c r="H10" s="233">
        <f t="shared" si="0"/>
        <v>0</v>
      </c>
    </row>
    <row r="11" spans="1:8" s="3" customFormat="1" ht="15.75">
      <c r="A11" s="210">
        <v>1.4</v>
      </c>
      <c r="B11" s="212" t="s">
        <v>286</v>
      </c>
      <c r="C11" s="388">
        <v>80309627.819999993</v>
      </c>
      <c r="D11" s="388">
        <v>106423957.5781</v>
      </c>
      <c r="E11" s="255">
        <f t="shared" si="1"/>
        <v>186733585.39809999</v>
      </c>
      <c r="F11" s="232"/>
      <c r="G11" s="232"/>
      <c r="H11" s="233">
        <f t="shared" si="0"/>
        <v>0</v>
      </c>
    </row>
    <row r="12" spans="1:8" s="3" customFormat="1" ht="29.25" customHeight="1">
      <c r="A12" s="210">
        <v>2</v>
      </c>
      <c r="B12" s="211" t="s">
        <v>287</v>
      </c>
      <c r="C12" s="388">
        <v>0</v>
      </c>
      <c r="D12" s="388">
        <v>0</v>
      </c>
      <c r="E12" s="255">
        <f t="shared" si="1"/>
        <v>0</v>
      </c>
      <c r="F12" s="232"/>
      <c r="G12" s="232"/>
      <c r="H12" s="233">
        <f t="shared" si="0"/>
        <v>0</v>
      </c>
    </row>
    <row r="13" spans="1:8" s="3" customFormat="1" ht="25.5">
      <c r="A13" s="210">
        <v>3</v>
      </c>
      <c r="B13" s="211" t="s">
        <v>288</v>
      </c>
      <c r="C13" s="388"/>
      <c r="D13" s="388"/>
      <c r="E13" s="255">
        <f t="shared" si="1"/>
        <v>0</v>
      </c>
      <c r="F13" s="232"/>
      <c r="G13" s="232"/>
      <c r="H13" s="233">
        <f t="shared" si="0"/>
        <v>0</v>
      </c>
    </row>
    <row r="14" spans="1:8" s="3" customFormat="1" ht="15.75">
      <c r="A14" s="210">
        <v>3.1</v>
      </c>
      <c r="B14" s="212" t="s">
        <v>289</v>
      </c>
      <c r="C14" s="388">
        <v>1161974751.0599999</v>
      </c>
      <c r="D14" s="388">
        <v>6169817.2300000004</v>
      </c>
      <c r="E14" s="255">
        <f t="shared" si="1"/>
        <v>1168144568.29</v>
      </c>
      <c r="F14" s="232"/>
      <c r="G14" s="232"/>
      <c r="H14" s="233">
        <f t="shared" si="0"/>
        <v>0</v>
      </c>
    </row>
    <row r="15" spans="1:8" s="3" customFormat="1" ht="15.75">
      <c r="A15" s="210">
        <v>3.2</v>
      </c>
      <c r="B15" s="212" t="s">
        <v>290</v>
      </c>
      <c r="C15" s="388"/>
      <c r="D15" s="388"/>
      <c r="E15" s="255">
        <f t="shared" si="1"/>
        <v>0</v>
      </c>
      <c r="F15" s="232"/>
      <c r="G15" s="232"/>
      <c r="H15" s="233">
        <f t="shared" si="0"/>
        <v>0</v>
      </c>
    </row>
    <row r="16" spans="1:8" s="3" customFormat="1" ht="15.75">
      <c r="A16" s="210">
        <v>4</v>
      </c>
      <c r="B16" s="211" t="s">
        <v>291</v>
      </c>
      <c r="C16" s="388"/>
      <c r="D16" s="388"/>
      <c r="E16" s="255">
        <f t="shared" si="1"/>
        <v>0</v>
      </c>
      <c r="F16" s="232"/>
      <c r="G16" s="232"/>
      <c r="H16" s="233">
        <f t="shared" si="0"/>
        <v>0</v>
      </c>
    </row>
    <row r="17" spans="1:8" s="3" customFormat="1" ht="15.75">
      <c r="A17" s="210">
        <v>4.0999999999999996</v>
      </c>
      <c r="B17" s="212" t="s">
        <v>292</v>
      </c>
      <c r="C17" s="388">
        <v>1421173196.54</v>
      </c>
      <c r="D17" s="388">
        <v>2817649.61</v>
      </c>
      <c r="E17" s="255">
        <f t="shared" si="1"/>
        <v>1423990846.1499999</v>
      </c>
      <c r="F17" s="232"/>
      <c r="G17" s="232"/>
      <c r="H17" s="233">
        <f t="shared" si="0"/>
        <v>0</v>
      </c>
    </row>
    <row r="18" spans="1:8" s="3" customFormat="1" ht="15.75">
      <c r="A18" s="210">
        <v>4.2</v>
      </c>
      <c r="B18" s="212" t="s">
        <v>293</v>
      </c>
      <c r="C18" s="388">
        <v>109791927.14000002</v>
      </c>
      <c r="D18" s="388">
        <v>127239754.964076</v>
      </c>
      <c r="E18" s="255">
        <f t="shared" si="1"/>
        <v>237031682.10407603</v>
      </c>
      <c r="F18" s="232"/>
      <c r="G18" s="232"/>
      <c r="H18" s="233">
        <f t="shared" si="0"/>
        <v>0</v>
      </c>
    </row>
    <row r="19" spans="1:8" s="3" customFormat="1" ht="25.5">
      <c r="A19" s="210">
        <v>5</v>
      </c>
      <c r="B19" s="211" t="s">
        <v>294</v>
      </c>
      <c r="C19" s="388"/>
      <c r="D19" s="388"/>
      <c r="E19" s="255">
        <f t="shared" si="1"/>
        <v>0</v>
      </c>
      <c r="F19" s="232"/>
      <c r="G19" s="232"/>
      <c r="H19" s="233">
        <f t="shared" si="0"/>
        <v>0</v>
      </c>
    </row>
    <row r="20" spans="1:8" s="3" customFormat="1" ht="15.75">
      <c r="A20" s="210">
        <v>5.0999999999999996</v>
      </c>
      <c r="B20" s="212" t="s">
        <v>295</v>
      </c>
      <c r="C20" s="388">
        <v>61318412.590000004</v>
      </c>
      <c r="D20" s="388">
        <v>226069621.47</v>
      </c>
      <c r="E20" s="255">
        <f t="shared" si="1"/>
        <v>287388034.06</v>
      </c>
      <c r="F20" s="232"/>
      <c r="G20" s="232"/>
      <c r="H20" s="233">
        <f t="shared" si="0"/>
        <v>0</v>
      </c>
    </row>
    <row r="21" spans="1:8" s="3" customFormat="1" ht="15.75">
      <c r="A21" s="210">
        <v>5.2</v>
      </c>
      <c r="B21" s="212" t="s">
        <v>296</v>
      </c>
      <c r="C21" s="388">
        <v>68527692.480000004</v>
      </c>
      <c r="D21" s="388">
        <v>4106735.7</v>
      </c>
      <c r="E21" s="255">
        <f t="shared" si="1"/>
        <v>72634428.180000007</v>
      </c>
      <c r="F21" s="232"/>
      <c r="G21" s="232"/>
      <c r="H21" s="233">
        <f t="shared" si="0"/>
        <v>0</v>
      </c>
    </row>
    <row r="22" spans="1:8" s="3" customFormat="1" ht="15.75">
      <c r="A22" s="210">
        <v>5.3</v>
      </c>
      <c r="B22" s="212" t="s">
        <v>297</v>
      </c>
      <c r="C22" s="388">
        <v>3437242837.6099997</v>
      </c>
      <c r="D22" s="388">
        <v>6306213959.4899998</v>
      </c>
      <c r="E22" s="255">
        <f t="shared" si="1"/>
        <v>9743456797.0999985</v>
      </c>
      <c r="F22" s="232"/>
      <c r="G22" s="232"/>
      <c r="H22" s="233">
        <f t="shared" si="0"/>
        <v>0</v>
      </c>
    </row>
    <row r="23" spans="1:8" s="3" customFormat="1" ht="15.75">
      <c r="A23" s="210" t="s">
        <v>298</v>
      </c>
      <c r="B23" s="213" t="s">
        <v>299</v>
      </c>
      <c r="C23" s="388">
        <v>2427646919.6199999</v>
      </c>
      <c r="D23" s="388">
        <v>3279901472.0900002</v>
      </c>
      <c r="E23" s="255">
        <f t="shared" si="1"/>
        <v>5707548391.71</v>
      </c>
      <c r="F23" s="232"/>
      <c r="G23" s="232"/>
      <c r="H23" s="233">
        <f t="shared" si="0"/>
        <v>0</v>
      </c>
    </row>
    <row r="24" spans="1:8" s="3" customFormat="1" ht="15.75">
      <c r="A24" s="210" t="s">
        <v>300</v>
      </c>
      <c r="B24" s="213" t="s">
        <v>301</v>
      </c>
      <c r="C24" s="388">
        <v>715907009.35000002</v>
      </c>
      <c r="D24" s="388">
        <v>2355196194.6300001</v>
      </c>
      <c r="E24" s="255">
        <f t="shared" si="1"/>
        <v>3071103203.98</v>
      </c>
      <c r="F24" s="232"/>
      <c r="G24" s="232"/>
      <c r="H24" s="233">
        <f t="shared" si="0"/>
        <v>0</v>
      </c>
    </row>
    <row r="25" spans="1:8" s="3" customFormat="1" ht="15.75">
      <c r="A25" s="210" t="s">
        <v>302</v>
      </c>
      <c r="B25" s="214" t="s">
        <v>303</v>
      </c>
      <c r="C25" s="388">
        <v>0</v>
      </c>
      <c r="D25" s="388">
        <v>0</v>
      </c>
      <c r="E25" s="255">
        <f t="shared" si="1"/>
        <v>0</v>
      </c>
      <c r="F25" s="232"/>
      <c r="G25" s="232"/>
      <c r="H25" s="233">
        <f t="shared" si="0"/>
        <v>0</v>
      </c>
    </row>
    <row r="26" spans="1:8" s="3" customFormat="1" ht="15.75">
      <c r="A26" s="210" t="s">
        <v>304</v>
      </c>
      <c r="B26" s="213" t="s">
        <v>305</v>
      </c>
      <c r="C26" s="388">
        <v>292129529.76999998</v>
      </c>
      <c r="D26" s="388">
        <v>655612103.07000005</v>
      </c>
      <c r="E26" s="255">
        <f t="shared" si="1"/>
        <v>947741632.84000003</v>
      </c>
      <c r="F26" s="232"/>
      <c r="G26" s="232"/>
      <c r="H26" s="233">
        <f t="shared" si="0"/>
        <v>0</v>
      </c>
    </row>
    <row r="27" spans="1:8" s="3" customFormat="1" ht="15.75">
      <c r="A27" s="210" t="s">
        <v>306</v>
      </c>
      <c r="B27" s="213" t="s">
        <v>307</v>
      </c>
      <c r="C27" s="388">
        <v>1559378.87</v>
      </c>
      <c r="D27" s="388">
        <v>15504189.699999999</v>
      </c>
      <c r="E27" s="255">
        <f t="shared" si="1"/>
        <v>17063568.57</v>
      </c>
      <c r="F27" s="232"/>
      <c r="G27" s="232"/>
      <c r="H27" s="233">
        <f t="shared" si="0"/>
        <v>0</v>
      </c>
    </row>
    <row r="28" spans="1:8" s="3" customFormat="1" ht="15.75">
      <c r="A28" s="210">
        <v>5.4</v>
      </c>
      <c r="B28" s="212" t="s">
        <v>308</v>
      </c>
      <c r="C28" s="388">
        <v>331922292.5</v>
      </c>
      <c r="D28" s="388">
        <v>911476348.07000005</v>
      </c>
      <c r="E28" s="255">
        <f t="shared" si="1"/>
        <v>1243398640.5700002</v>
      </c>
      <c r="F28" s="232"/>
      <c r="G28" s="232"/>
      <c r="H28" s="233">
        <f t="shared" si="0"/>
        <v>0</v>
      </c>
    </row>
    <row r="29" spans="1:8" s="3" customFormat="1" ht="15.75">
      <c r="A29" s="210">
        <v>5.5</v>
      </c>
      <c r="B29" s="212" t="s">
        <v>309</v>
      </c>
      <c r="C29" s="388">
        <v>0</v>
      </c>
      <c r="D29" s="388">
        <v>0</v>
      </c>
      <c r="E29" s="255">
        <f t="shared" si="1"/>
        <v>0</v>
      </c>
      <c r="F29" s="232"/>
      <c r="G29" s="232"/>
      <c r="H29" s="233">
        <f t="shared" si="0"/>
        <v>0</v>
      </c>
    </row>
    <row r="30" spans="1:8" s="3" customFormat="1" ht="15.75">
      <c r="A30" s="210">
        <v>5.6</v>
      </c>
      <c r="B30" s="212" t="s">
        <v>310</v>
      </c>
      <c r="C30" s="388">
        <v>156652687.99000001</v>
      </c>
      <c r="D30" s="388">
        <v>713405594.14999998</v>
      </c>
      <c r="E30" s="255">
        <f t="shared" si="1"/>
        <v>870058282.13999999</v>
      </c>
      <c r="F30" s="232"/>
      <c r="G30" s="232"/>
      <c r="H30" s="233">
        <f t="shared" si="0"/>
        <v>0</v>
      </c>
    </row>
    <row r="31" spans="1:8" s="3" customFormat="1" ht="15.75">
      <c r="A31" s="210">
        <v>5.7</v>
      </c>
      <c r="B31" s="212" t="s">
        <v>311</v>
      </c>
      <c r="C31" s="388">
        <v>1308438805.6700001</v>
      </c>
      <c r="D31" s="388">
        <v>2363461649.5599999</v>
      </c>
      <c r="E31" s="255">
        <f t="shared" si="1"/>
        <v>3671900455.23</v>
      </c>
      <c r="F31" s="232"/>
      <c r="G31" s="232"/>
      <c r="H31" s="233">
        <f t="shared" si="0"/>
        <v>0</v>
      </c>
    </row>
    <row r="32" spans="1:8" s="3" customFormat="1" ht="15.75">
      <c r="A32" s="210">
        <v>6</v>
      </c>
      <c r="B32" s="211" t="s">
        <v>312</v>
      </c>
      <c r="C32" s="388"/>
      <c r="D32" s="388"/>
      <c r="E32" s="255">
        <f t="shared" si="1"/>
        <v>0</v>
      </c>
      <c r="F32" s="232"/>
      <c r="G32" s="232"/>
      <c r="H32" s="233">
        <f t="shared" si="0"/>
        <v>0</v>
      </c>
    </row>
    <row r="33" spans="1:10" s="3" customFormat="1" ht="25.5">
      <c r="A33" s="210">
        <v>6.1</v>
      </c>
      <c r="B33" s="212" t="s">
        <v>376</v>
      </c>
      <c r="C33" s="388">
        <v>120288298.39</v>
      </c>
      <c r="D33" s="388">
        <v>119993095.10179999</v>
      </c>
      <c r="E33" s="255">
        <f t="shared" si="1"/>
        <v>240281393.49180001</v>
      </c>
      <c r="F33" s="232"/>
      <c r="G33" s="232"/>
      <c r="H33" s="233">
        <f t="shared" si="0"/>
        <v>0</v>
      </c>
    </row>
    <row r="34" spans="1:10" s="3" customFormat="1" ht="25.5">
      <c r="A34" s="210">
        <v>6.2</v>
      </c>
      <c r="B34" s="212" t="s">
        <v>313</v>
      </c>
      <c r="C34" s="388">
        <v>68822468.659999996</v>
      </c>
      <c r="D34" s="388">
        <v>166399018.86759999</v>
      </c>
      <c r="E34" s="255">
        <f t="shared" si="1"/>
        <v>235221487.52759999</v>
      </c>
      <c r="F34" s="232"/>
      <c r="G34" s="232"/>
      <c r="H34" s="233">
        <f t="shared" si="0"/>
        <v>0</v>
      </c>
    </row>
    <row r="35" spans="1:10" s="3" customFormat="1" ht="25.5">
      <c r="A35" s="210">
        <v>6.3</v>
      </c>
      <c r="B35" s="212" t="s">
        <v>314</v>
      </c>
      <c r="C35" s="388"/>
      <c r="D35" s="388"/>
      <c r="E35" s="255">
        <f t="shared" si="1"/>
        <v>0</v>
      </c>
      <c r="F35" s="232"/>
      <c r="G35" s="232"/>
      <c r="H35" s="233">
        <f t="shared" si="0"/>
        <v>0</v>
      </c>
      <c r="J35"/>
    </row>
    <row r="36" spans="1:10" s="3" customFormat="1" ht="15.75">
      <c r="A36" s="210">
        <v>6.4</v>
      </c>
      <c r="B36" s="212" t="s">
        <v>315</v>
      </c>
      <c r="C36" s="388"/>
      <c r="D36" s="388"/>
      <c r="E36" s="255">
        <f t="shared" si="1"/>
        <v>0</v>
      </c>
      <c r="F36" s="232"/>
      <c r="G36" s="232"/>
      <c r="H36" s="233">
        <f t="shared" si="0"/>
        <v>0</v>
      </c>
      <c r="J36"/>
    </row>
    <row r="37" spans="1:10" s="3" customFormat="1" ht="15.75">
      <c r="A37" s="210">
        <v>6.5</v>
      </c>
      <c r="B37" s="212" t="s">
        <v>316</v>
      </c>
      <c r="C37" s="388"/>
      <c r="D37" s="388"/>
      <c r="E37" s="255">
        <f t="shared" si="1"/>
        <v>0</v>
      </c>
      <c r="F37" s="232"/>
      <c r="G37" s="232"/>
      <c r="H37" s="233">
        <f t="shared" si="0"/>
        <v>0</v>
      </c>
      <c r="J37"/>
    </row>
    <row r="38" spans="1:10" s="3" customFormat="1" ht="25.5">
      <c r="A38" s="210">
        <v>6.6</v>
      </c>
      <c r="B38" s="212" t="s">
        <v>317</v>
      </c>
      <c r="C38" s="388"/>
      <c r="D38" s="388"/>
      <c r="E38" s="255">
        <f t="shared" si="1"/>
        <v>0</v>
      </c>
      <c r="F38" s="232"/>
      <c r="G38" s="232"/>
      <c r="H38" s="233">
        <f t="shared" si="0"/>
        <v>0</v>
      </c>
      <c r="J38"/>
    </row>
    <row r="39" spans="1:10" s="3" customFormat="1" ht="25.5">
      <c r="A39" s="210">
        <v>6.7</v>
      </c>
      <c r="B39" s="212" t="s">
        <v>318</v>
      </c>
      <c r="C39" s="388"/>
      <c r="D39" s="388"/>
      <c r="E39" s="255">
        <f t="shared" si="1"/>
        <v>0</v>
      </c>
      <c r="F39" s="232"/>
      <c r="G39" s="232"/>
      <c r="H39" s="233">
        <f t="shared" si="0"/>
        <v>0</v>
      </c>
      <c r="J39"/>
    </row>
    <row r="40" spans="1:10" s="3" customFormat="1" ht="15.75">
      <c r="A40" s="210">
        <v>7</v>
      </c>
      <c r="B40" s="211" t="s">
        <v>319</v>
      </c>
      <c r="C40" s="388"/>
      <c r="D40" s="388"/>
      <c r="E40" s="255">
        <f t="shared" si="1"/>
        <v>0</v>
      </c>
      <c r="F40" s="232"/>
      <c r="G40" s="232"/>
      <c r="H40" s="233">
        <f t="shared" si="0"/>
        <v>0</v>
      </c>
      <c r="J40"/>
    </row>
    <row r="41" spans="1:10" s="3" customFormat="1" ht="25.5">
      <c r="A41" s="210">
        <v>7.1</v>
      </c>
      <c r="B41" s="212" t="s">
        <v>320</v>
      </c>
      <c r="C41" s="388">
        <v>21462152.140000001</v>
      </c>
      <c r="D41" s="388">
        <v>50367801.020000003</v>
      </c>
      <c r="E41" s="255">
        <f t="shared" si="1"/>
        <v>71829953.159999996</v>
      </c>
      <c r="F41" s="232"/>
      <c r="G41" s="232"/>
      <c r="H41" s="233">
        <f t="shared" si="0"/>
        <v>0</v>
      </c>
      <c r="J41"/>
    </row>
    <row r="42" spans="1:10" s="3" customFormat="1" ht="25.5">
      <c r="A42" s="210">
        <v>7.2</v>
      </c>
      <c r="B42" s="212" t="s">
        <v>321</v>
      </c>
      <c r="C42" s="388">
        <v>1622408.13</v>
      </c>
      <c r="D42" s="388">
        <v>541822.99724199995</v>
      </c>
      <c r="E42" s="255">
        <f t="shared" si="1"/>
        <v>2164231.1272419998</v>
      </c>
      <c r="F42" s="232"/>
      <c r="G42" s="232"/>
      <c r="H42" s="233">
        <f t="shared" si="0"/>
        <v>0</v>
      </c>
      <c r="J42"/>
    </row>
    <row r="43" spans="1:10" s="3" customFormat="1" ht="25.5">
      <c r="A43" s="210">
        <v>7.3</v>
      </c>
      <c r="B43" s="212" t="s">
        <v>322</v>
      </c>
      <c r="C43" s="416">
        <v>292481639.44999999</v>
      </c>
      <c r="D43" s="416">
        <v>172120867.67000002</v>
      </c>
      <c r="E43" s="255">
        <f t="shared" si="1"/>
        <v>464602507.12</v>
      </c>
      <c r="F43" s="232"/>
      <c r="G43" s="232"/>
      <c r="H43" s="233">
        <f t="shared" si="0"/>
        <v>0</v>
      </c>
      <c r="J43"/>
    </row>
    <row r="44" spans="1:10" s="3" customFormat="1" ht="25.5">
      <c r="A44" s="210">
        <v>7.4</v>
      </c>
      <c r="B44" s="212" t="s">
        <v>323</v>
      </c>
      <c r="C44" s="416">
        <v>138837216.81</v>
      </c>
      <c r="D44" s="416">
        <v>60133940.956297994</v>
      </c>
      <c r="E44" s="255">
        <f t="shared" si="1"/>
        <v>198971157.766298</v>
      </c>
      <c r="F44" s="232"/>
      <c r="G44" s="232"/>
      <c r="H44" s="233">
        <f t="shared" si="0"/>
        <v>0</v>
      </c>
      <c r="J44"/>
    </row>
    <row r="45" spans="1:10" s="3" customFormat="1" ht="15.75">
      <c r="A45" s="210">
        <v>8</v>
      </c>
      <c r="B45" s="211" t="s">
        <v>324</v>
      </c>
      <c r="C45" s="388"/>
      <c r="D45" s="388"/>
      <c r="E45" s="255">
        <f t="shared" si="1"/>
        <v>0</v>
      </c>
      <c r="F45" s="232"/>
      <c r="G45" s="232"/>
      <c r="H45" s="233">
        <f t="shared" si="0"/>
        <v>0</v>
      </c>
      <c r="J45"/>
    </row>
    <row r="46" spans="1:10" s="3" customFormat="1" ht="15.75">
      <c r="A46" s="210">
        <v>8.1</v>
      </c>
      <c r="B46" s="212" t="s">
        <v>325</v>
      </c>
      <c r="C46" s="388"/>
      <c r="D46" s="388"/>
      <c r="E46" s="255">
        <f t="shared" si="1"/>
        <v>0</v>
      </c>
      <c r="F46" s="232"/>
      <c r="G46" s="232"/>
      <c r="H46" s="233">
        <f t="shared" si="0"/>
        <v>0</v>
      </c>
      <c r="J46"/>
    </row>
    <row r="47" spans="1:10" s="3" customFormat="1" ht="15.75">
      <c r="A47" s="210">
        <v>8.1999999999999993</v>
      </c>
      <c r="B47" s="212" t="s">
        <v>326</v>
      </c>
      <c r="C47" s="388"/>
      <c r="D47" s="388"/>
      <c r="E47" s="255">
        <f t="shared" si="1"/>
        <v>0</v>
      </c>
      <c r="F47" s="232"/>
      <c r="G47" s="232"/>
      <c r="H47" s="233">
        <f t="shared" si="0"/>
        <v>0</v>
      </c>
      <c r="J47"/>
    </row>
    <row r="48" spans="1:10" s="3" customFormat="1" ht="15.75">
      <c r="A48" s="210">
        <v>8.3000000000000007</v>
      </c>
      <c r="B48" s="212" t="s">
        <v>327</v>
      </c>
      <c r="C48" s="388"/>
      <c r="D48" s="388"/>
      <c r="E48" s="255">
        <f t="shared" si="1"/>
        <v>0</v>
      </c>
      <c r="F48" s="232"/>
      <c r="G48" s="232"/>
      <c r="H48" s="233">
        <f t="shared" si="0"/>
        <v>0</v>
      </c>
      <c r="J48"/>
    </row>
    <row r="49" spans="1:10" s="3" customFormat="1" ht="15.75">
      <c r="A49" s="210">
        <v>8.4</v>
      </c>
      <c r="B49" s="212" t="s">
        <v>328</v>
      </c>
      <c r="C49" s="388"/>
      <c r="D49" s="388"/>
      <c r="E49" s="255">
        <f t="shared" si="1"/>
        <v>0</v>
      </c>
      <c r="F49" s="232"/>
      <c r="G49" s="232"/>
      <c r="H49" s="233">
        <f t="shared" si="0"/>
        <v>0</v>
      </c>
      <c r="J49"/>
    </row>
    <row r="50" spans="1:10" s="3" customFormat="1" ht="15.75">
      <c r="A50" s="210">
        <v>8.5</v>
      </c>
      <c r="B50" s="212" t="s">
        <v>329</v>
      </c>
      <c r="C50" s="388"/>
      <c r="D50" s="388"/>
      <c r="E50" s="255">
        <f t="shared" si="1"/>
        <v>0</v>
      </c>
      <c r="F50" s="232"/>
      <c r="G50" s="232"/>
      <c r="H50" s="233">
        <f t="shared" si="0"/>
        <v>0</v>
      </c>
      <c r="J50"/>
    </row>
    <row r="51" spans="1:10" s="3" customFormat="1" ht="15.75">
      <c r="A51" s="210">
        <v>8.6</v>
      </c>
      <c r="B51" s="212" t="s">
        <v>330</v>
      </c>
      <c r="C51" s="388"/>
      <c r="D51" s="388"/>
      <c r="E51" s="255">
        <f t="shared" si="1"/>
        <v>0</v>
      </c>
      <c r="F51" s="232"/>
      <c r="G51" s="232"/>
      <c r="H51" s="233">
        <f t="shared" si="0"/>
        <v>0</v>
      </c>
      <c r="J51"/>
    </row>
    <row r="52" spans="1:10" s="3" customFormat="1" ht="15.75">
      <c r="A52" s="210">
        <v>8.6999999999999993</v>
      </c>
      <c r="B52" s="212" t="s">
        <v>331</v>
      </c>
      <c r="C52" s="388"/>
      <c r="D52" s="388"/>
      <c r="E52" s="255">
        <f t="shared" si="1"/>
        <v>0</v>
      </c>
      <c r="F52" s="232"/>
      <c r="G52" s="232"/>
      <c r="H52" s="233">
        <f t="shared" si="0"/>
        <v>0</v>
      </c>
      <c r="J52"/>
    </row>
    <row r="53" spans="1:10" s="3" customFormat="1" ht="26.25" thickBot="1">
      <c r="A53" s="215">
        <v>9</v>
      </c>
      <c r="B53" s="216" t="s">
        <v>332</v>
      </c>
      <c r="C53" s="256"/>
      <c r="D53" s="256"/>
      <c r="E53" s="257">
        <f t="shared" si="1"/>
        <v>0</v>
      </c>
      <c r="F53" s="256"/>
      <c r="G53" s="256"/>
      <c r="H53" s="239">
        <f t="shared" si="0"/>
        <v>0</v>
      </c>
      <c r="J53"/>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sheetPr>
  <dimension ref="A1:E19"/>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21" sqref="C21"/>
    </sheetView>
  </sheetViews>
  <sheetFormatPr defaultColWidth="9.140625" defaultRowHeight="12.75"/>
  <cols>
    <col min="1" max="1" width="9.5703125" style="2" bestFit="1" customWidth="1"/>
    <col min="2" max="2" width="93.5703125" style="2" customWidth="1"/>
    <col min="3" max="4" width="12.7109375" style="2" customWidth="1"/>
    <col min="5" max="7" width="9.7109375" style="11" customWidth="1"/>
    <col min="8" max="16384" width="9.140625" style="11"/>
  </cols>
  <sheetData>
    <row r="1" spans="1:5" ht="15">
      <c r="A1" s="13" t="s">
        <v>195</v>
      </c>
      <c r="B1" s="403" t="str">
        <f>'1. key ratios'!B1</f>
        <v>სს ”საქართველოს ბანკი”</v>
      </c>
      <c r="C1" s="12"/>
      <c r="D1" s="324"/>
    </row>
    <row r="2" spans="1:5" ht="15">
      <c r="A2" s="13" t="s">
        <v>196</v>
      </c>
      <c r="B2" s="404">
        <f>'1. key ratios'!B2</f>
        <v>43190</v>
      </c>
      <c r="C2" s="23"/>
      <c r="D2" s="14"/>
      <c r="E2" s="10"/>
    </row>
    <row r="3" spans="1:5" ht="15">
      <c r="A3" s="13"/>
      <c r="B3" s="12"/>
      <c r="C3" s="23"/>
      <c r="D3" s="14"/>
      <c r="E3" s="10"/>
    </row>
    <row r="4" spans="1:5" ht="15" customHeight="1" thickBot="1">
      <c r="A4" s="204" t="s">
        <v>339</v>
      </c>
      <c r="B4" s="205" t="s">
        <v>194</v>
      </c>
      <c r="C4" s="204"/>
      <c r="D4" s="206" t="s">
        <v>99</v>
      </c>
    </row>
    <row r="5" spans="1:5" ht="15" customHeight="1">
      <c r="A5" s="200" t="s">
        <v>31</v>
      </c>
      <c r="B5" s="201"/>
      <c r="C5" s="202" t="s">
        <v>5</v>
      </c>
      <c r="D5" s="203" t="s">
        <v>6</v>
      </c>
    </row>
    <row r="6" spans="1:5" ht="15" customHeight="1">
      <c r="A6" s="367">
        <v>1</v>
      </c>
      <c r="B6" s="368" t="s">
        <v>199</v>
      </c>
      <c r="C6" s="459">
        <f>C7+C9+C10</f>
        <v>8322367897.5827579</v>
      </c>
      <c r="D6" s="460">
        <f>D7+D9+D10</f>
        <v>7991821960</v>
      </c>
    </row>
    <row r="7" spans="1:5" ht="15" customHeight="1">
      <c r="A7" s="367">
        <v>1.1000000000000001</v>
      </c>
      <c r="B7" s="369" t="s">
        <v>26</v>
      </c>
      <c r="C7" s="370">
        <v>7961667442.4798145</v>
      </c>
      <c r="D7" s="445">
        <v>7613038322</v>
      </c>
    </row>
    <row r="8" spans="1:5" ht="25.5">
      <c r="A8" s="367" t="s">
        <v>259</v>
      </c>
      <c r="B8" s="371" t="s">
        <v>333</v>
      </c>
      <c r="C8" s="370">
        <v>275229854.22499996</v>
      </c>
      <c r="D8" s="446">
        <v>262728169</v>
      </c>
    </row>
    <row r="9" spans="1:5" ht="15" customHeight="1">
      <c r="A9" s="367">
        <v>1.2</v>
      </c>
      <c r="B9" s="369" t="s">
        <v>27</v>
      </c>
      <c r="C9" s="370">
        <v>357720966.75740498</v>
      </c>
      <c r="D9" s="446">
        <v>374972776</v>
      </c>
    </row>
    <row r="10" spans="1:5" ht="15" customHeight="1">
      <c r="A10" s="367">
        <v>1.3</v>
      </c>
      <c r="B10" s="373" t="s">
        <v>82</v>
      </c>
      <c r="C10" s="370">
        <v>2979488.3455380001</v>
      </c>
      <c r="D10" s="446">
        <v>3810862</v>
      </c>
    </row>
    <row r="11" spans="1:5" ht="15" customHeight="1">
      <c r="A11" s="367">
        <v>2</v>
      </c>
      <c r="B11" s="368" t="s">
        <v>200</v>
      </c>
      <c r="C11" s="372">
        <v>4767160.1299219495</v>
      </c>
      <c r="D11" s="446">
        <v>65676261</v>
      </c>
    </row>
    <row r="12" spans="1:5" ht="15" customHeight="1">
      <c r="A12" s="461">
        <v>3</v>
      </c>
      <c r="B12" s="368" t="s">
        <v>198</v>
      </c>
      <c r="C12" s="372">
        <v>1342601256.25</v>
      </c>
      <c r="D12" s="446">
        <v>1134579506</v>
      </c>
    </row>
    <row r="13" spans="1:5" ht="15" customHeight="1" thickBot="1">
      <c r="A13" s="125">
        <v>4</v>
      </c>
      <c r="B13" s="126" t="s">
        <v>260</v>
      </c>
      <c r="C13" s="258">
        <f>C6+C11+C12</f>
        <v>9669736313.9626808</v>
      </c>
      <c r="D13" s="259">
        <f>D6+D11+D12</f>
        <v>9192077727</v>
      </c>
    </row>
    <row r="14" spans="1:5">
      <c r="B14" s="19"/>
    </row>
    <row r="15" spans="1:5">
      <c r="B15" s="97"/>
    </row>
    <row r="16" spans="1:5">
      <c r="B16" s="97"/>
    </row>
    <row r="17" spans="2:2">
      <c r="B17" s="97"/>
    </row>
    <row r="18" spans="2:2">
      <c r="B18" s="97"/>
    </row>
    <row r="19" spans="2:2">
      <c r="B19" s="97"/>
    </row>
  </sheetData>
  <pageMargins left="0.7" right="0.7" top="0.75" bottom="0.75" header="0.3" footer="0.3"/>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H35"/>
  <sheetViews>
    <sheetView zoomScaleNormal="100" workbookViewId="0">
      <pane xSplit="1" ySplit="4" topLeftCell="B5" activePane="bottomRight" state="frozen"/>
      <selection pane="topRight" activeCell="B1" sqref="B1"/>
      <selection pane="bottomLeft" activeCell="A4" sqref="A4"/>
      <selection pane="bottomRight" activeCell="E30" sqref="E30"/>
    </sheetView>
  </sheetViews>
  <sheetFormatPr defaultRowHeight="15"/>
  <cols>
    <col min="1" max="1" width="9.5703125" style="2" bestFit="1" customWidth="1"/>
    <col min="2" max="2" width="90.42578125" style="2" bestFit="1" customWidth="1"/>
    <col min="3" max="3" width="9.140625" style="462"/>
    <col min="5" max="5" width="25.7109375" bestFit="1" customWidth="1"/>
  </cols>
  <sheetData>
    <row r="1" spans="1:8">
      <c r="A1" s="465" t="s">
        <v>195</v>
      </c>
      <c r="B1" s="466" t="str">
        <f>'1. key ratios'!B1</f>
        <v>სს ”საქართველოს ბანკი”</v>
      </c>
      <c r="C1" s="465"/>
      <c r="D1" s="1"/>
    </row>
    <row r="2" spans="1:8">
      <c r="A2" s="465" t="s">
        <v>196</v>
      </c>
      <c r="B2" s="467">
        <f>'1. key ratios'!B2</f>
        <v>43190</v>
      </c>
      <c r="C2" s="465"/>
      <c r="D2" s="1"/>
    </row>
    <row r="3" spans="1:8">
      <c r="A3" s="465"/>
      <c r="B3" s="465"/>
      <c r="C3" s="465"/>
      <c r="D3" s="1"/>
    </row>
    <row r="4" spans="1:8" ht="16.5" customHeight="1">
      <c r="A4" s="468" t="s">
        <v>340</v>
      </c>
      <c r="B4" s="469" t="s">
        <v>155</v>
      </c>
      <c r="C4" s="470"/>
      <c r="D4" s="1"/>
    </row>
    <row r="5" spans="1:8" ht="15" customHeight="1">
      <c r="A5" s="447"/>
      <c r="B5" s="500" t="s">
        <v>156</v>
      </c>
      <c r="C5" s="501"/>
      <c r="D5" s="1"/>
      <c r="E5" s="415"/>
    </row>
    <row r="6" spans="1:8" ht="15.75">
      <c r="A6" s="448">
        <v>1</v>
      </c>
      <c r="B6" s="505" t="s">
        <v>461</v>
      </c>
      <c r="C6" s="505"/>
      <c r="D6" s="1"/>
    </row>
    <row r="7" spans="1:8" ht="15.75">
      <c r="A7" s="448">
        <v>2</v>
      </c>
      <c r="B7" s="505" t="s">
        <v>462</v>
      </c>
      <c r="C7" s="505"/>
      <c r="D7" s="1"/>
    </row>
    <row r="8" spans="1:8" ht="15.75">
      <c r="A8" s="448">
        <v>3</v>
      </c>
      <c r="B8" s="505" t="s">
        <v>463</v>
      </c>
      <c r="C8" s="505"/>
      <c r="D8" s="1"/>
    </row>
    <row r="9" spans="1:8" ht="15.75">
      <c r="A9" s="448">
        <v>4</v>
      </c>
      <c r="B9" s="505" t="s">
        <v>464</v>
      </c>
      <c r="C9" s="505"/>
      <c r="D9" s="1"/>
    </row>
    <row r="10" spans="1:8" ht="15.75">
      <c r="A10" s="448">
        <v>5</v>
      </c>
      <c r="B10" s="505" t="s">
        <v>465</v>
      </c>
      <c r="C10" s="505"/>
      <c r="D10" s="1"/>
      <c r="E10" s="415"/>
      <c r="F10" s="415"/>
      <c r="G10" s="415"/>
    </row>
    <row r="11" spans="1:8" ht="15.75">
      <c r="A11" s="448">
        <v>6</v>
      </c>
      <c r="B11" s="505" t="s">
        <v>466</v>
      </c>
      <c r="C11" s="505"/>
      <c r="D11" s="1"/>
      <c r="H11" s="4"/>
    </row>
    <row r="12" spans="1:8" ht="20.25" customHeight="1">
      <c r="A12" s="448">
        <v>7</v>
      </c>
      <c r="B12" s="449" t="s">
        <v>467</v>
      </c>
      <c r="C12" s="449"/>
      <c r="D12" s="1"/>
    </row>
    <row r="13" spans="1:8">
      <c r="A13" s="448"/>
      <c r="B13" s="502"/>
      <c r="C13" s="503"/>
      <c r="D13" s="1"/>
    </row>
    <row r="14" spans="1:8" ht="15.75">
      <c r="A14" s="448"/>
      <c r="B14" s="500" t="s">
        <v>157</v>
      </c>
      <c r="C14" s="501"/>
      <c r="D14" s="1"/>
    </row>
    <row r="15" spans="1:8" ht="15.75">
      <c r="A15" s="448">
        <v>1</v>
      </c>
      <c r="B15" s="506" t="s">
        <v>468</v>
      </c>
      <c r="C15" s="506"/>
      <c r="D15" s="1"/>
    </row>
    <row r="16" spans="1:8" ht="15.75">
      <c r="A16" s="448">
        <v>2</v>
      </c>
      <c r="B16" s="450" t="s">
        <v>469</v>
      </c>
      <c r="C16" s="450"/>
      <c r="D16" s="1"/>
    </row>
    <row r="17" spans="1:4" ht="15.75">
      <c r="A17" s="448">
        <v>3</v>
      </c>
      <c r="B17" s="506" t="s">
        <v>470</v>
      </c>
      <c r="C17" s="506"/>
      <c r="D17" s="1"/>
    </row>
    <row r="18" spans="1:4" ht="15.75">
      <c r="A18" s="448">
        <v>4</v>
      </c>
      <c r="B18" s="506" t="s">
        <v>471</v>
      </c>
      <c r="C18" s="506"/>
      <c r="D18" s="1"/>
    </row>
    <row r="19" spans="1:4" ht="15.75">
      <c r="A19" s="448">
        <v>5</v>
      </c>
      <c r="B19" s="506" t="s">
        <v>472</v>
      </c>
      <c r="C19" s="506"/>
      <c r="D19" s="1"/>
    </row>
    <row r="20" spans="1:4" ht="15.75">
      <c r="A20" s="448">
        <v>6</v>
      </c>
      <c r="B20" s="506" t="s">
        <v>473</v>
      </c>
      <c r="C20" s="506"/>
      <c r="D20" s="1"/>
    </row>
    <row r="21" spans="1:4" ht="15.75">
      <c r="A21" s="448">
        <v>7</v>
      </c>
      <c r="B21" s="451" t="s">
        <v>477</v>
      </c>
      <c r="C21" s="452"/>
      <c r="D21" s="1"/>
    </row>
    <row r="22" spans="1:4" ht="15.75">
      <c r="A22" s="448">
        <v>8</v>
      </c>
      <c r="B22" s="451" t="s">
        <v>479</v>
      </c>
      <c r="C22" s="452"/>
      <c r="D22" s="1"/>
    </row>
    <row r="23" spans="1:4" ht="15.75" customHeight="1">
      <c r="A23" s="448"/>
      <c r="B23" s="451"/>
      <c r="C23" s="451"/>
      <c r="D23" s="1"/>
    </row>
    <row r="24" spans="1:4" ht="15.75" customHeight="1">
      <c r="A24" s="448"/>
      <c r="B24" s="451"/>
      <c r="C24" s="451"/>
      <c r="D24" s="1"/>
    </row>
    <row r="25" spans="1:4" ht="30" customHeight="1">
      <c r="A25" s="448"/>
      <c r="B25" s="504" t="s">
        <v>158</v>
      </c>
      <c r="C25" s="504"/>
      <c r="D25" s="1"/>
    </row>
    <row r="26" spans="1:4" ht="15.75">
      <c r="A26" s="448">
        <v>1</v>
      </c>
      <c r="B26" s="417" t="s">
        <v>474</v>
      </c>
      <c r="C26" s="453">
        <v>0.79621004164098175</v>
      </c>
      <c r="D26" s="1"/>
    </row>
    <row r="27" spans="1:4" ht="15.75">
      <c r="A27" s="448">
        <v>2</v>
      </c>
      <c r="B27" s="454" t="s">
        <v>480</v>
      </c>
      <c r="C27" s="453">
        <v>0.1989356658513397</v>
      </c>
      <c r="D27" s="1"/>
    </row>
    <row r="28" spans="1:4" ht="15.75" customHeight="1">
      <c r="A28" s="448"/>
      <c r="B28" s="455"/>
      <c r="C28" s="456"/>
      <c r="D28" s="1"/>
    </row>
    <row r="29" spans="1:4" ht="29.25" customHeight="1">
      <c r="A29" s="448"/>
      <c r="B29" s="504" t="s">
        <v>280</v>
      </c>
      <c r="C29" s="504"/>
      <c r="D29" s="1"/>
    </row>
    <row r="30" spans="1:4" ht="15.75">
      <c r="A30" s="448">
        <v>1</v>
      </c>
      <c r="B30" s="417" t="s">
        <v>475</v>
      </c>
      <c r="C30" s="453">
        <v>8.3791268570853464E-2</v>
      </c>
      <c r="D30" s="1"/>
    </row>
    <row r="31" spans="1:4" ht="15.75">
      <c r="A31" s="463"/>
      <c r="B31" s="464"/>
      <c r="C31" s="471"/>
      <c r="D31" s="1"/>
    </row>
    <row r="32" spans="1:4">
      <c r="A32" s="14"/>
      <c r="B32" s="14"/>
      <c r="D32" s="1"/>
    </row>
    <row r="33" spans="1:4">
      <c r="A33" s="14"/>
      <c r="B33" s="14"/>
      <c r="D33" s="1"/>
    </row>
    <row r="34" spans="1:4">
      <c r="A34" s="14"/>
      <c r="B34" s="14"/>
      <c r="D34" s="1"/>
    </row>
    <row r="35" spans="1:4">
      <c r="A35" s="14"/>
      <c r="B35" s="14"/>
      <c r="D35" s="1"/>
    </row>
  </sheetData>
  <mergeCells count="16">
    <mergeCell ref="B5:C5"/>
    <mergeCell ref="B13:C13"/>
    <mergeCell ref="B14:C14"/>
    <mergeCell ref="B29:C29"/>
    <mergeCell ref="B25:C25"/>
    <mergeCell ref="B6:C6"/>
    <mergeCell ref="B7:C7"/>
    <mergeCell ref="B8:C8"/>
    <mergeCell ref="B9:C9"/>
    <mergeCell ref="B10:C10"/>
    <mergeCell ref="B11:C11"/>
    <mergeCell ref="B15:C15"/>
    <mergeCell ref="B17:C17"/>
    <mergeCell ref="B18:C18"/>
    <mergeCell ref="B19:C19"/>
    <mergeCell ref="B20:C20"/>
  </mergeCells>
  <pageMargins left="0.7" right="0.7" top="0.75" bottom="0.75" header="0.3" footer="0.3"/>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D23" sqref="D23"/>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3" t="s">
        <v>195</v>
      </c>
      <c r="B1" s="403" t="str">
        <f>'1. key ratios'!B1</f>
        <v>სს ”საქართველოს ბანკი”</v>
      </c>
    </row>
    <row r="2" spans="1:7" s="17" customFormat="1" ht="15.75" customHeight="1">
      <c r="A2" s="17" t="s">
        <v>196</v>
      </c>
      <c r="B2" s="404">
        <f>'1. key ratios'!B2</f>
        <v>43190</v>
      </c>
    </row>
    <row r="3" spans="1:7" s="17" customFormat="1" ht="15.75" customHeight="1"/>
    <row r="4" spans="1:7" s="17" customFormat="1" ht="15.75" customHeight="1" thickBot="1">
      <c r="A4" s="217" t="s">
        <v>341</v>
      </c>
      <c r="B4" s="218" t="s">
        <v>269</v>
      </c>
      <c r="C4" s="179"/>
      <c r="D4" s="179"/>
      <c r="E4" s="180" t="s">
        <v>99</v>
      </c>
    </row>
    <row r="5" spans="1:7" s="111" customFormat="1" ht="17.45" customHeight="1">
      <c r="A5" s="331"/>
      <c r="B5" s="332"/>
      <c r="C5" s="178" t="s">
        <v>0</v>
      </c>
      <c r="D5" s="178" t="s">
        <v>1</v>
      </c>
      <c r="E5" s="333" t="s">
        <v>2</v>
      </c>
    </row>
    <row r="6" spans="1:7" s="149" customFormat="1" ht="14.45" customHeight="1">
      <c r="A6" s="334"/>
      <c r="B6" s="507" t="s">
        <v>238</v>
      </c>
      <c r="C6" s="507" t="s">
        <v>237</v>
      </c>
      <c r="D6" s="508" t="s">
        <v>236</v>
      </c>
      <c r="E6" s="509"/>
      <c r="G6"/>
    </row>
    <row r="7" spans="1:7" s="149" customFormat="1" ht="99.6" customHeight="1">
      <c r="A7" s="334"/>
      <c r="B7" s="507"/>
      <c r="C7" s="507"/>
      <c r="D7" s="329" t="s">
        <v>235</v>
      </c>
      <c r="E7" s="330" t="s">
        <v>404</v>
      </c>
      <c r="G7"/>
    </row>
    <row r="8" spans="1:7">
      <c r="A8" s="335">
        <v>1</v>
      </c>
      <c r="B8" s="336" t="s">
        <v>160</v>
      </c>
      <c r="C8" s="389">
        <f>'2. RC'!E7</f>
        <v>420057758.84500003</v>
      </c>
      <c r="D8" s="389"/>
      <c r="E8" s="389">
        <f t="shared" ref="E8:E14" si="0">C8-D8</f>
        <v>420057758.84500003</v>
      </c>
    </row>
    <row r="9" spans="1:7">
      <c r="A9" s="335">
        <v>2</v>
      </c>
      <c r="B9" s="336" t="s">
        <v>161</v>
      </c>
      <c r="C9" s="389">
        <f>'2. RC'!E8</f>
        <v>1039477982.4915</v>
      </c>
      <c r="D9" s="389"/>
      <c r="E9" s="389">
        <f t="shared" si="0"/>
        <v>1039477982.4915</v>
      </c>
    </row>
    <row r="10" spans="1:7">
      <c r="A10" s="335">
        <v>3</v>
      </c>
      <c r="B10" s="336" t="s">
        <v>234</v>
      </c>
      <c r="C10" s="389">
        <f>'2. RC'!E9</f>
        <v>1201978991.0899999</v>
      </c>
      <c r="D10" s="389"/>
      <c r="E10" s="389">
        <f t="shared" si="0"/>
        <v>1201978991.0899999</v>
      </c>
    </row>
    <row r="11" spans="1:7" ht="25.5">
      <c r="A11" s="335">
        <v>4</v>
      </c>
      <c r="B11" s="336" t="s">
        <v>191</v>
      </c>
      <c r="C11" s="389">
        <f>'2. RC'!E10</f>
        <v>303.24</v>
      </c>
      <c r="D11" s="389"/>
      <c r="E11" s="389">
        <f t="shared" si="0"/>
        <v>303.24</v>
      </c>
      <c r="G11" s="438"/>
    </row>
    <row r="12" spans="1:7">
      <c r="A12" s="335">
        <v>5</v>
      </c>
      <c r="B12" s="336" t="s">
        <v>163</v>
      </c>
      <c r="C12" s="389">
        <f>'2. RC'!E11</f>
        <v>1735336071.4218407</v>
      </c>
      <c r="D12" s="389"/>
      <c r="E12" s="389">
        <f t="shared" si="0"/>
        <v>1735336071.4218407</v>
      </c>
    </row>
    <row r="13" spans="1:7">
      <c r="A13" s="335">
        <v>6.1</v>
      </c>
      <c r="B13" s="336" t="s">
        <v>164</v>
      </c>
      <c r="C13" s="389">
        <f>'2. RC'!E12</f>
        <v>7402455267.4399996</v>
      </c>
      <c r="D13" s="389">
        <v>0</v>
      </c>
      <c r="E13" s="389">
        <f>C13-D13</f>
        <v>7402455267.4399996</v>
      </c>
    </row>
    <row r="14" spans="1:7">
      <c r="A14" s="335">
        <v>6.2</v>
      </c>
      <c r="B14" s="337" t="s">
        <v>165</v>
      </c>
      <c r="C14" s="389">
        <f>'2. RC'!E13</f>
        <v>-341367075.99259996</v>
      </c>
      <c r="D14" s="389"/>
      <c r="E14" s="389">
        <f t="shared" si="0"/>
        <v>-341367075.99259996</v>
      </c>
    </row>
    <row r="15" spans="1:7">
      <c r="A15" s="335">
        <v>6</v>
      </c>
      <c r="B15" s="336" t="s">
        <v>233</v>
      </c>
      <c r="C15" s="389">
        <f>SUM(C13:C14)</f>
        <v>7061088191.4473991</v>
      </c>
      <c r="D15" s="389">
        <f>SUM(D13:D14)</f>
        <v>0</v>
      </c>
      <c r="E15" s="389">
        <f>SUM(E13:E14)</f>
        <v>7061088191.4473991</v>
      </c>
    </row>
    <row r="16" spans="1:7" ht="25.5">
      <c r="A16" s="335">
        <v>7</v>
      </c>
      <c r="B16" s="336" t="s">
        <v>167</v>
      </c>
      <c r="C16" s="389">
        <v>81552941.1241</v>
      </c>
      <c r="D16" s="389"/>
      <c r="E16" s="389">
        <f>C16-D16</f>
        <v>81552941.1241</v>
      </c>
    </row>
    <row r="17" spans="1:7">
      <c r="A17" s="335">
        <v>8</v>
      </c>
      <c r="B17" s="336" t="s">
        <v>168</v>
      </c>
      <c r="C17" s="389">
        <v>102988868.09400001</v>
      </c>
      <c r="D17" s="389"/>
      <c r="E17" s="389">
        <f>C17-D17</f>
        <v>102988868.09400001</v>
      </c>
      <c r="F17" s="6"/>
      <c r="G17" s="6"/>
    </row>
    <row r="18" spans="1:7">
      <c r="A18" s="335">
        <v>9</v>
      </c>
      <c r="B18" s="336" t="s">
        <v>169</v>
      </c>
      <c r="C18" s="389">
        <v>124550555.72</v>
      </c>
      <c r="D18" s="389">
        <v>14366364.18</v>
      </c>
      <c r="E18" s="389">
        <f>C18-D18</f>
        <v>110184191.53999999</v>
      </c>
      <c r="G18" s="6"/>
    </row>
    <row r="19" spans="1:7" ht="25.5">
      <c r="A19" s="335">
        <v>10</v>
      </c>
      <c r="B19" s="336" t="s">
        <v>170</v>
      </c>
      <c r="C19" s="389">
        <v>358926639.73469996</v>
      </c>
      <c r="D19" s="389">
        <v>80357538.030000001</v>
      </c>
      <c r="E19" s="389">
        <f>C19-D19</f>
        <v>278569101.70469999</v>
      </c>
      <c r="G19" s="6"/>
    </row>
    <row r="20" spans="1:7">
      <c r="A20" s="335">
        <v>11</v>
      </c>
      <c r="B20" s="336" t="s">
        <v>171</v>
      </c>
      <c r="C20" s="389">
        <v>265899369.88039997</v>
      </c>
      <c r="D20" s="389"/>
      <c r="E20" s="389">
        <f>C20-D20</f>
        <v>265899369.88039997</v>
      </c>
    </row>
    <row r="21" spans="1:7" ht="51.75" thickBot="1">
      <c r="A21" s="338"/>
      <c r="B21" s="339" t="s">
        <v>377</v>
      </c>
      <c r="C21" s="299">
        <f>SUM(C8:C12, C15:C20)</f>
        <v>12391857673.088938</v>
      </c>
      <c r="D21" s="299">
        <f>SUM(D8:D12, D15:D20)</f>
        <v>94723902.210000008</v>
      </c>
      <c r="E21" s="340">
        <f>SUM(E8:E12, E15:E20)</f>
        <v>12297133770.878941</v>
      </c>
    </row>
    <row r="22" spans="1:7">
      <c r="A22"/>
      <c r="B22"/>
      <c r="C22"/>
      <c r="D22"/>
      <c r="E22"/>
    </row>
    <row r="23" spans="1:7">
      <c r="A23"/>
      <c r="B23"/>
      <c r="C23"/>
      <c r="D23"/>
      <c r="E23"/>
    </row>
    <row r="25" spans="1:7" s="2" customFormat="1">
      <c r="B25" s="59"/>
      <c r="F25"/>
      <c r="G25"/>
    </row>
    <row r="26" spans="1:7" s="2" customFormat="1">
      <c r="B26" s="60"/>
      <c r="F26"/>
      <c r="G26"/>
    </row>
    <row r="27" spans="1:7" s="2" customFormat="1">
      <c r="B27" s="59"/>
      <c r="F27"/>
      <c r="G27"/>
    </row>
    <row r="28" spans="1:7" s="2" customFormat="1">
      <c r="B28" s="59"/>
      <c r="F28"/>
      <c r="G28"/>
    </row>
    <row r="29" spans="1:7" s="2" customFormat="1">
      <c r="B29" s="59"/>
      <c r="F29"/>
      <c r="G29"/>
    </row>
    <row r="30" spans="1:7" s="2" customFormat="1">
      <c r="B30" s="59"/>
      <c r="F30"/>
      <c r="G30"/>
    </row>
    <row r="31" spans="1:7" s="2" customFormat="1">
      <c r="B31" s="59"/>
      <c r="F31"/>
      <c r="G31"/>
    </row>
    <row r="32" spans="1:7" s="2" customFormat="1">
      <c r="B32" s="60"/>
      <c r="F32"/>
      <c r="G32"/>
    </row>
    <row r="33" spans="2:7" s="2" customFormat="1">
      <c r="B33" s="60"/>
      <c r="F33"/>
      <c r="G33"/>
    </row>
    <row r="34" spans="2:7" s="2" customFormat="1">
      <c r="B34" s="60"/>
      <c r="F34"/>
      <c r="G34"/>
    </row>
    <row r="35" spans="2:7" s="2" customFormat="1">
      <c r="B35" s="60"/>
      <c r="F35"/>
      <c r="G35"/>
    </row>
    <row r="36" spans="2:7" s="2" customFormat="1">
      <c r="B36" s="60"/>
      <c r="F36"/>
      <c r="G36"/>
    </row>
    <row r="37" spans="2:7" s="2" customFormat="1">
      <c r="B37" s="60"/>
      <c r="F37"/>
      <c r="G37"/>
    </row>
  </sheetData>
  <mergeCells count="3">
    <mergeCell ref="B6:B7"/>
    <mergeCell ref="C6:C7"/>
    <mergeCell ref="D6:E6"/>
  </mergeCells>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19" sqref="B19"/>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3" t="s">
        <v>195</v>
      </c>
      <c r="B1" s="403" t="str">
        <f>'1. key ratios'!B1</f>
        <v>სს ”საქართველოს ბანკი”</v>
      </c>
    </row>
    <row r="2" spans="1:6" s="17" customFormat="1" ht="15.75" customHeight="1">
      <c r="A2" s="17" t="s">
        <v>196</v>
      </c>
      <c r="B2" s="404">
        <f>'1. key ratios'!B2</f>
        <v>43190</v>
      </c>
      <c r="C2"/>
      <c r="D2"/>
      <c r="E2"/>
      <c r="F2"/>
    </row>
    <row r="3" spans="1:6" s="17" customFormat="1" ht="15.75" customHeight="1">
      <c r="C3"/>
      <c r="D3"/>
      <c r="E3"/>
      <c r="F3"/>
    </row>
    <row r="4" spans="1:6" s="17" customFormat="1" ht="26.25" thickBot="1">
      <c r="A4" s="17" t="s">
        <v>342</v>
      </c>
      <c r="B4" s="186" t="s">
        <v>273</v>
      </c>
      <c r="C4" s="180" t="s">
        <v>99</v>
      </c>
      <c r="D4"/>
      <c r="E4"/>
      <c r="F4"/>
    </row>
    <row r="5" spans="1:6" ht="26.25">
      <c r="A5" s="181">
        <v>1</v>
      </c>
      <c r="B5" s="182" t="s">
        <v>350</v>
      </c>
      <c r="C5" s="260">
        <f>'7. LI1'!E21</f>
        <v>12297133770.878941</v>
      </c>
    </row>
    <row r="6" spans="1:6" s="175" customFormat="1">
      <c r="A6" s="110">
        <v>2.1</v>
      </c>
      <c r="B6" s="188" t="s">
        <v>274</v>
      </c>
      <c r="C6" s="390">
        <v>1040638661.6267</v>
      </c>
    </row>
    <row r="7" spans="1:6" s="4" customFormat="1" ht="25.5" outlineLevel="1">
      <c r="A7" s="187">
        <v>2.2000000000000002</v>
      </c>
      <c r="B7" s="183" t="s">
        <v>275</v>
      </c>
      <c r="C7" s="391">
        <v>148974417.27689999</v>
      </c>
    </row>
    <row r="8" spans="1:6" s="4" customFormat="1" ht="26.25">
      <c r="A8" s="187">
        <v>3</v>
      </c>
      <c r="B8" s="184" t="s">
        <v>351</v>
      </c>
      <c r="C8" s="261">
        <f>SUM(C5:C7)</f>
        <v>13486746849.782539</v>
      </c>
    </row>
    <row r="9" spans="1:6" s="175" customFormat="1">
      <c r="A9" s="110">
        <v>4</v>
      </c>
      <c r="B9" s="191" t="s">
        <v>270</v>
      </c>
      <c r="C9" s="391">
        <v>137744211.07247847</v>
      </c>
    </row>
    <row r="10" spans="1:6" s="4" customFormat="1" ht="25.5" outlineLevel="1">
      <c r="A10" s="187">
        <v>5.0999999999999996</v>
      </c>
      <c r="B10" s="183" t="s">
        <v>281</v>
      </c>
      <c r="C10" s="391">
        <v>-595261755.83982015</v>
      </c>
    </row>
    <row r="11" spans="1:6" s="4" customFormat="1" ht="25.5" outlineLevel="1">
      <c r="A11" s="187">
        <v>5.2</v>
      </c>
      <c r="B11" s="183" t="s">
        <v>282</v>
      </c>
      <c r="C11" s="391">
        <v>-145994928.931362</v>
      </c>
    </row>
    <row r="12" spans="1:6" s="4" customFormat="1">
      <c r="A12" s="187">
        <v>6</v>
      </c>
      <c r="B12" s="189" t="s">
        <v>271</v>
      </c>
      <c r="C12" s="391">
        <v>0</v>
      </c>
    </row>
    <row r="13" spans="1:6" s="4" customFormat="1" ht="15.75" thickBot="1">
      <c r="A13" s="190">
        <v>7</v>
      </c>
      <c r="B13" s="185" t="s">
        <v>272</v>
      </c>
      <c r="C13" s="262">
        <f>SUM(C8:C12)</f>
        <v>12883234376.083836</v>
      </c>
    </row>
    <row r="16" spans="1:6">
      <c r="C16" s="400"/>
    </row>
    <row r="17" spans="2:9" s="2" customFormat="1">
      <c r="B17" s="61"/>
      <c r="C17"/>
      <c r="D17"/>
      <c r="E17"/>
      <c r="F17"/>
      <c r="G17"/>
      <c r="H17"/>
      <c r="I17"/>
    </row>
    <row r="18" spans="2:9" s="2" customFormat="1">
      <c r="B18" s="58"/>
      <c r="C18" s="400"/>
      <c r="D18"/>
      <c r="E18"/>
      <c r="F18"/>
      <c r="G18"/>
      <c r="H18"/>
      <c r="I18"/>
    </row>
    <row r="19" spans="2:9" s="2" customFormat="1">
      <c r="B19" s="58"/>
      <c r="C19"/>
      <c r="D19"/>
      <c r="E19"/>
      <c r="F19"/>
      <c r="G19"/>
      <c r="H19"/>
      <c r="I19"/>
    </row>
    <row r="20" spans="2:9" s="2" customFormat="1">
      <c r="B20" s="60"/>
      <c r="C20"/>
      <c r="D20"/>
      <c r="E20"/>
      <c r="F20"/>
      <c r="G20"/>
      <c r="H20"/>
      <c r="I20"/>
    </row>
    <row r="21" spans="2:9" s="2" customFormat="1">
      <c r="B21" s="59"/>
      <c r="C21"/>
      <c r="D21"/>
      <c r="E21"/>
      <c r="F21"/>
      <c r="G21"/>
      <c r="H21"/>
      <c r="I21"/>
    </row>
    <row r="22" spans="2:9" s="2" customFormat="1">
      <c r="B22" s="60"/>
      <c r="C22"/>
      <c r="D22"/>
      <c r="E22"/>
      <c r="F22"/>
      <c r="G22"/>
      <c r="H22"/>
      <c r="I22"/>
    </row>
    <row r="23" spans="2:9" s="2" customFormat="1">
      <c r="B23" s="59"/>
      <c r="C23"/>
      <c r="D23"/>
      <c r="E23"/>
      <c r="F23"/>
      <c r="G23"/>
      <c r="H23"/>
      <c r="I23"/>
    </row>
    <row r="24" spans="2:9" s="2" customFormat="1">
      <c r="B24" s="59"/>
      <c r="C24"/>
      <c r="D24"/>
      <c r="E24"/>
      <c r="F24"/>
      <c r="G24"/>
      <c r="H24"/>
      <c r="I24"/>
    </row>
    <row r="25" spans="2:9" s="2" customFormat="1">
      <c r="B25" s="59"/>
      <c r="C25"/>
      <c r="D25"/>
      <c r="E25"/>
      <c r="F25"/>
      <c r="G25"/>
      <c r="H25"/>
      <c r="I25"/>
    </row>
    <row r="26" spans="2:9" s="2" customFormat="1">
      <c r="B26" s="59"/>
      <c r="C26"/>
      <c r="D26"/>
      <c r="E26"/>
      <c r="F26"/>
      <c r="G26"/>
      <c r="H26"/>
      <c r="I26"/>
    </row>
    <row r="27" spans="2:9" s="2" customFormat="1">
      <c r="B27" s="59"/>
      <c r="C27"/>
      <c r="D27"/>
      <c r="E27"/>
      <c r="F27"/>
      <c r="G27"/>
      <c r="H27"/>
      <c r="I27"/>
    </row>
    <row r="28" spans="2:9" s="2" customFormat="1">
      <c r="B28" s="60"/>
      <c r="C28"/>
      <c r="D28"/>
      <c r="E28"/>
      <c r="F28"/>
      <c r="G28"/>
      <c r="H28"/>
      <c r="I28"/>
    </row>
    <row r="29" spans="2:9" s="2" customFormat="1">
      <c r="B29" s="60"/>
      <c r="C29"/>
      <c r="D29"/>
      <c r="E29"/>
      <c r="F29"/>
      <c r="G29"/>
      <c r="H29"/>
      <c r="I29"/>
    </row>
    <row r="30" spans="2:9" s="2" customFormat="1">
      <c r="B30" s="60"/>
      <c r="C30"/>
      <c r="D30"/>
      <c r="E30"/>
      <c r="F30"/>
      <c r="G30"/>
      <c r="H30"/>
      <c r="I30"/>
    </row>
    <row r="31" spans="2:9" s="2" customFormat="1">
      <c r="B31" s="60"/>
      <c r="C31"/>
      <c r="D31"/>
      <c r="E31"/>
      <c r="F31"/>
      <c r="G31"/>
      <c r="H31"/>
      <c r="I31"/>
    </row>
    <row r="32" spans="2:9" s="2" customFormat="1">
      <c r="B32" s="60"/>
      <c r="C32"/>
      <c r="D32"/>
      <c r="E32"/>
      <c r="F32"/>
      <c r="G32"/>
      <c r="H32"/>
      <c r="I32"/>
    </row>
    <row r="33" spans="2:9" s="2" customFormat="1">
      <c r="B33" s="60"/>
      <c r="C33"/>
      <c r="D33"/>
      <c r="E33"/>
      <c r="F33"/>
      <c r="G33"/>
      <c r="H33"/>
      <c r="I33"/>
    </row>
  </sheetData>
  <pageMargins left="0.7" right="0.7" top="0.75" bottom="0.75" header="0.3" footer="0.3"/>
  <pageSetup paperSize="9" scale="6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1.xml"/><Relationship Id="rId1" Type="http://schemas.openxmlformats.org/package/2006/relationships/digital-signature/signature" Target="sig2.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aRDeN69Dm+m1I56kgg3qKIPOBQM=</DigestValue>
    </Reference>
    <Reference URI="#idOfficeObject" Type="http://www.w3.org/2000/09/xmldsig#Object">
      <DigestMethod Algorithm="http://www.w3.org/2000/09/xmldsig#sha1"/>
      <DigestValue>D/5Ya7jQ3qn7uHxne/KJYaki0Jk=</DigestValue>
    </Reference>
    <Reference URI="#idSignedProperties" Type="http://uri.etsi.org/01903#SignedProperties">
      <Transforms>
        <Transform Algorithm="http://www.w3.org/TR/2001/REC-xml-c14n-20010315"/>
      </Transforms>
      <DigestMethod Algorithm="http://www.w3.org/2000/09/xmldsig#sha1"/>
      <DigestValue>eupkOPh8iE1UJo5q13mfv7Kv6/0=</DigestValue>
    </Reference>
  </SignedInfo>
  <SignatureValue>PqnDYC1Py3YyaBdkwTNoys9znwjS0XqSSuv4oUCsViT6krG2x4e4TMq3koKXKGDfYFkjdAp3oSB4
dR0us3ePWS/sJCzQ6D3305aRp/Y4ipV9OQx/KtvcLp7Jz5Vln1YWMdvlfsCsBdqSimVwbKD5LnJH
g3qsMJSwDJyUdzpUWfPwEfc76rg29QhDVyfHV7AAjg+Q0SorCef9LNY7M97kE+OATAz5reQCmHSI
m/iGmQH8fLsePEKpqbJRpy+PIQYf73Cs0PpuGEp6/BmP4PywwVf5PGN/DGPIvtrAbv8z09VgmH1+
i2hlIcowuejyAbS7hW5SZR8UAWrcsW4QKm1RDQ==</SignatureValue>
  <KeyInfo>
    <X509Data>
      <X509Certificate>MIIGQDCCBSigAwIBAgIKe1tkvQACAAAc2jANBgkqhkiG9w0BAQsFADBKMRIwEAYKCZImiZPyLGQB
GRYCZ2UxEzARBgoJkiaJk/IsZAEZFgNuYmcxHzAdBgNVBAMTFk5CRyBDbGFzcyAyIElOVCBTdWIg
Q0EwHhcNMTcwMjE1MTAwMTU2WhcNMTkwMjE1MTAwMTU2WjA+MRwwGgYDVQQKExNKU0MgQmFuayBP
ZiBHZW9yZ2lhMR4wHAYDVQQDExVCQkcgLSBUYXRvIFRvbWFzaHZpbGkwggEiMA0GCSqGSIb3DQEB
AQUAA4IBDwAwggEKAoIBAQDprCJK8ja94EJpYJ08M2LfcWia1z1RA0mGsRTQddTUQL3sjRZmPFEp
eR7BYC0qlrVMl/kwYdN4vLWju3KULIoi8WSXK0eg52SC3kFNCHW2ePDNJMY+GO3XkfkHBcCyqSUf
e3l1gw8CsxqjjVPEICk2HC60UW59udxoNtnJ6Jg6Q0qJPEVTJaIQdxmTNZgEw7TMtr4LfxE//JDk
LtHoD64mCgsPlhsbm3hTvRdUW8ra5i5hipytHYBAkSRt+Jf++xFfgCrHbkm54W/XCkorFRIMSyQj
+chQgOrAeyDPCGP91+9gQdgnbis5bRzzk8VHoET2V5tvdSuZmE5Vvxthz/5XAgMBAAGjggMyMIID
LjA8BgkrBgEEAYI3FQcELzAtBiUrBgEEAYI3FQjmsmCDjfVEhoGZCYO4oUqDvoRxBIPEkTOEg4hd
AgFkAgEdMB0GA1UdJQQWMBQGCCsGAQUFBwMCBggrBgEFBQcDBDALBgNVHQ8EBAMCB4AwJwYJKwYB
BAGCNxUKBBowGDAKBggrBgEFBQcDAjAKBggrBgEFBQcDBDAdBgNVHQ4EFgQUU8Fk2vOfyl3iQ9Xp
M9YAE3PPag8wHwYDVR0jBBgwFoAUwy7SL/BMLxnCJ4L89i6sarBJz8EwggElBgNVHR8EggEcMIIB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MjBTdWIlMjBDQSgyKS5jcnQwDQYJKoZIhvcNAQELBQADggEBAFm77Lj2mp4JjnPOqSCwPyjDt2p1
FD0W5LGcjnJeQ1PS/gtY7oXEsnxkCiclElD29PdQ6TFCnfPovNpsMmiXTdAFFQkh6yJ5dz8XwN9n
qSLoXiZAuTnszfisFe4iqSYkq2laVUDsXZDqB0spavbWfUDvsqWs53j1XzurG56Y1+obNKzKaZmi
zmKEC3XXxlECzDk1tTnSshCJrlyvqw8AJpbtZrBTupC/cMiHBuxzQWLA62A/zuSmA8qxb6687aU7
KPk3QX1bbWu2hxB/RTiXQhjVVMktu8PiAcQRjOQKlFuGYy1ibSTe7rJTP2kQfe0Obuo+y2T2A1HS
1v82n0qlEjM=</X509Certificate>
    </X509Data>
  </KeyInfo>
  <Object xmlns:mdssi="http://schemas.openxmlformats.org/package/2006/digital-signature" Id="idPackageObject">
    <Manifest>
      <Reference URI="/xl/printerSettings/printerSettings2.bin?ContentType=application/vnd.openxmlformats-officedocument.spreadsheetml.printerSettings">
        <DigestMethod Algorithm="http://www.w3.org/2000/09/xmldsig#sha1"/>
        <DigestValue>Lr3oPcOZxkvCGrolT7ZAojBVR9s=</DigestValue>
      </Reference>
      <Reference URI="/xl/printerSettings/printerSettings7.bin?ContentType=application/vnd.openxmlformats-officedocument.spreadsheetml.printerSettings">
        <DigestMethod Algorithm="http://www.w3.org/2000/09/xmldsig#sha1"/>
        <DigestValue>Lr3oPcOZxkvCGrolT7ZAojBVR9s=</DigestValue>
      </Reference>
      <Reference URI="/xl/worksheets/sheet9.xml?ContentType=application/vnd.openxmlformats-officedocument.spreadsheetml.worksheet+xml">
        <DigestMethod Algorithm="http://www.w3.org/2000/09/xmldsig#sha1"/>
        <DigestValue>cjTxy2e0mtxXNKjCXp/Ak+IHMfk=</DigestValue>
      </Reference>
      <Reference URI="/xl/printerSettings/printerSettings6.bin?ContentType=application/vnd.openxmlformats-officedocument.spreadsheetml.printerSettings">
        <DigestMethod Algorithm="http://www.w3.org/2000/09/xmldsig#sha1"/>
        <DigestValue>Lr3oPcOZxkvCGrolT7ZAojBVR9s=</DigestValue>
      </Reference>
      <Reference URI="/xl/worksheets/sheet10.xml?ContentType=application/vnd.openxmlformats-officedocument.spreadsheetml.worksheet+xml">
        <DigestMethod Algorithm="http://www.w3.org/2000/09/xmldsig#sha1"/>
        <DigestValue>eI8G4voXZkM8yDIfY1cv8t+S9YU=</DigestValue>
      </Reference>
      <Reference URI="/xl/printerSettings/printerSettings5.bin?ContentType=application/vnd.openxmlformats-officedocument.spreadsheetml.printerSettings">
        <DigestMethod Algorithm="http://www.w3.org/2000/09/xmldsig#sha1"/>
        <DigestValue>VXkzX5QWPy8K6b3Tkk1qfye+sKg=</DigestValue>
      </Reference>
      <Reference URI="/xl/worksheets/sheet11.xml?ContentType=application/vnd.openxmlformats-officedocument.spreadsheetml.worksheet+xml">
        <DigestMethod Algorithm="http://www.w3.org/2000/09/xmldsig#sha1"/>
        <DigestValue>1rLucH83+F3JZDCbJ3kioGprm4Y=</DigestValue>
      </Reference>
      <Reference URI="/xl/printerSettings/printerSettings4.bin?ContentType=application/vnd.openxmlformats-officedocument.spreadsheetml.printerSettings">
        <DigestMethod Algorithm="http://www.w3.org/2000/09/xmldsig#sha1"/>
        <DigestValue>Lr3oPcOZxkvCGrolT7ZAojBVR9s=</DigestValue>
      </Reference>
      <Reference URI="/xl/worksheets/sheet17.xml?ContentType=application/vnd.openxmlformats-officedocument.spreadsheetml.worksheet+xml">
        <DigestMethod Algorithm="http://www.w3.org/2000/09/xmldsig#sha1"/>
        <DigestValue>5T/tQ4Y2TBa+RvwbZG9CXfc6Fys=</DigestValue>
      </Reference>
      <Reference URI="/xl/printerSettings/printerSettings3.bin?ContentType=application/vnd.openxmlformats-officedocument.spreadsheetml.printerSettings">
        <DigestMethod Algorithm="http://www.w3.org/2000/09/xmldsig#sha1"/>
        <DigestValue>Lr3oPcOZxkvCGrolT7ZAojBVR9s=</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NJwAER1Jh38WVV5K/c9ytG/Rb78=</DigestValue>
      </Reference>
      <Reference URI="/xl/worksheets/sheet19.xml?ContentType=application/vnd.openxmlformats-officedocument.spreadsheetml.worksheet+xml">
        <DigestMethod Algorithm="http://www.w3.org/2000/09/xmldsig#sha1"/>
        <DigestValue>cOPmxvtaqI0KZvVTu+RWxmY98cI=</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1.bin?ContentType=application/vnd.openxmlformats-officedocument.spreadsheetml.printerSettings">
        <DigestMethod Algorithm="http://www.w3.org/2000/09/xmldsig#sha1"/>
        <DigestValue>iOUdri0DrHYIo5Tw3Wqktoik9TI=</DigestValue>
      </Reference>
      <Reference URI="/xl/worksheets/sheet6.xml?ContentType=application/vnd.openxmlformats-officedocument.spreadsheetml.worksheet+xml">
        <DigestMethod Algorithm="http://www.w3.org/2000/09/xmldsig#sha1"/>
        <DigestValue>RJ4QDrqlKWPsCtF5SUjjGThk2Bs=</DigestValue>
      </Reference>
      <Reference URI="/xl/printerSettings/printerSettings10.bin?ContentType=application/vnd.openxmlformats-officedocument.spreadsheetml.printerSettings">
        <DigestMethod Algorithm="http://www.w3.org/2000/09/xmldsig#sha1"/>
        <DigestValue>Lr3oPcOZxkvCGrolT7ZAojBVR9s=</DigestValue>
      </Reference>
      <Reference URI="/xl/worksheets/sheet8.xml?ContentType=application/vnd.openxmlformats-officedocument.spreadsheetml.worksheet+xml">
        <DigestMethod Algorithm="http://www.w3.org/2000/09/xmldsig#sha1"/>
        <DigestValue>DbwuxOLbK8bI+r8eo1YTutAMHS8=</DigestValue>
      </Reference>
      <Reference URI="/xl/printerSettings/printerSettings9.bin?ContentType=application/vnd.openxmlformats-officedocument.spreadsheetml.printerSettings">
        <DigestMethod Algorithm="http://www.w3.org/2000/09/xmldsig#sha1"/>
        <DigestValue>Lr3oPcOZxkvCGrolT7ZAojBVR9s=</DigestValue>
      </Reference>
      <Reference URI="/xl/worksheets/sheet7.xml?ContentType=application/vnd.openxmlformats-officedocument.spreadsheetml.worksheet+xml">
        <DigestMethod Algorithm="http://www.w3.org/2000/09/xmldsig#sha1"/>
        <DigestValue>dM2e6T1OXmlncBplKklhAbDqPfI=</DigestValue>
      </Reference>
      <Reference URI="/xl/printerSettings/printerSettings8.bin?ContentType=application/vnd.openxmlformats-officedocument.spreadsheetml.printerSettings">
        <DigestMethod Algorithm="http://www.w3.org/2000/09/xmldsig#sha1"/>
        <DigestValue>Lr3oPcOZxkvCGrolT7ZAojBVR9s=</DigestValue>
      </Reference>
      <Reference URI="/xl/worksheets/sheet5.xml?ContentType=application/vnd.openxmlformats-officedocument.spreadsheetml.worksheet+xml">
        <DigestMethod Algorithm="http://www.w3.org/2000/09/xmldsig#sha1"/>
        <DigestValue>uw+T3H4W9o6plhsFmPmQ3TJiv0w=</DigestValue>
      </Reference>
      <Reference URI="/xl/externalLinks/externalLink2.xml?ContentType=application/vnd.openxmlformats-officedocument.spreadsheetml.externalLink+xml">
        <DigestMethod Algorithm="http://www.w3.org/2000/09/xmldsig#sha1"/>
        <DigestValue>e4tpTd2JEeHxDbOXHYPqIzXdeNs=</DigestValue>
      </Reference>
      <Reference URI="/xl/worksheets/sheet16.xml?ContentType=application/vnd.openxmlformats-officedocument.spreadsheetml.worksheet+xml">
        <DigestMethod Algorithm="http://www.w3.org/2000/09/xmldsig#sha1"/>
        <DigestValue>0GnJ20dsqyyReqpUBJtuZfAuQJA=</DigestValue>
      </Reference>
      <Reference URI="/xl/worksheets/sheet15.xml?ContentType=application/vnd.openxmlformats-officedocument.spreadsheetml.worksheet+xml">
        <DigestMethod Algorithm="http://www.w3.org/2000/09/xmldsig#sha1"/>
        <DigestValue>LCvsrHj2TdRnjGFqYra3NhpoSfE=</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Lr3oPcOZxkvCGrolT7ZAojBVR9s=</DigestValue>
      </Reference>
      <Reference URI="/xl/worksheets/sheet3.xml?ContentType=application/vnd.openxmlformats-officedocument.spreadsheetml.worksheet+xml">
        <DigestMethod Algorithm="http://www.w3.org/2000/09/xmldsig#sha1"/>
        <DigestValue>WsFuj94kJcUTVX1RLiUn9WR/Eu4=</DigestValue>
      </Reference>
      <Reference URI="/xl/printerSettings/printerSettings15.bin?ContentType=application/vnd.openxmlformats-officedocument.spreadsheetml.printerSettings">
        <DigestMethod Algorithm="http://www.w3.org/2000/09/xmldsig#sha1"/>
        <DigestValue>Lr3oPcOZxkvCGrolT7ZAojBVR9s=</DigestValue>
      </Reference>
      <Reference URI="/xl/worksheets/sheet2.xml?ContentType=application/vnd.openxmlformats-officedocument.spreadsheetml.worksheet+xml">
        <DigestMethod Algorithm="http://www.w3.org/2000/09/xmldsig#sha1"/>
        <DigestValue>0nezO/Dr2+bNMk5gaZo+si4mFvk=</DigestValue>
      </Reference>
      <Reference URI="/xl/printerSettings/printerSettings14.bin?ContentType=application/vnd.openxmlformats-officedocument.spreadsheetml.printerSettings">
        <DigestMethod Algorithm="http://www.w3.org/2000/09/xmldsig#sha1"/>
        <DigestValue>Lr3oPcOZxkvCGrolT7ZAojBVR9s=</DigestValue>
      </Reference>
      <Reference URI="/xl/worksheets/sheet4.xml?ContentType=application/vnd.openxmlformats-officedocument.spreadsheetml.worksheet+xml">
        <DigestMethod Algorithm="http://www.w3.org/2000/09/xmldsig#sha1"/>
        <DigestValue>ziiwhuIS+/EcXU1vcvgymLJjFmo=</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izvoo1enl74/XezCwgTu28N+wNI=</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1.xml?ContentType=application/vnd.openxmlformats-officedocument.spreadsheetml.worksheet+xml">
        <DigestMethod Algorithm="http://www.w3.org/2000/09/xmldsig#sha1"/>
        <DigestValue>XiqiJuD69nsQoYqThWGFPqOhM40=</DigestValue>
      </Reference>
      <Reference URI="/xl/worksheets/sheet18.xml?ContentType=application/vnd.openxmlformats-officedocument.spreadsheetml.worksheet+xml">
        <DigestMethod Algorithm="http://www.w3.org/2000/09/xmldsig#sha1"/>
        <DigestValue>9+xBGXQPNmTfRaUuJfzaE/R5NAQ=</DigestValue>
      </Reference>
      <Reference URI="/xl/printerSettings/printerSettings12.bin?ContentType=application/vnd.openxmlformats-officedocument.spreadsheetml.printerSettings">
        <DigestMethod Algorithm="http://www.w3.org/2000/09/xmldsig#sha1"/>
        <DigestValue>Lr3oPcOZxkvCGrolT7ZAojBVR9s=</DigestValue>
      </Reference>
      <Reference URI="/xl/worksheets/sheet14.xml?ContentType=application/vnd.openxmlformats-officedocument.spreadsheetml.worksheet+xml">
        <DigestMethod Algorithm="http://www.w3.org/2000/09/xmldsig#sha1"/>
        <DigestValue>phAQZnTBXzE8Zp5jr1xue6Fwitc=</DigestValue>
      </Reference>
      <Reference URI="/xl/printerSettings/printerSettings13.bin?ContentType=application/vnd.openxmlformats-officedocument.spreadsheetml.printerSettings">
        <DigestMethod Algorithm="http://www.w3.org/2000/09/xmldsig#sha1"/>
        <DigestValue>Lr3oPcOZxkvCGrolT7ZAojBVR9s=</DigestValue>
      </Reference>
      <Reference URI="/xl/printerSettings/printerSettings17.bin?ContentType=application/vnd.openxmlformats-officedocument.spreadsheetml.printerSettings">
        <DigestMethod Algorithm="http://www.w3.org/2000/09/xmldsig#sha1"/>
        <DigestValue>Lr3oPcOZxkvCGrolT7ZAojBVR9s=</DigestValue>
      </Reference>
      <Reference URI="/xl/worksheets/sheet13.xml?ContentType=application/vnd.openxmlformats-officedocument.spreadsheetml.worksheet+xml">
        <DigestMethod Algorithm="http://www.w3.org/2000/09/xmldsig#sha1"/>
        <DigestValue>RN+7C7q0kAfB6ue2krT3+Mx6dvI=</DigestValue>
      </Reference>
      <Reference URI="/xl/calcChain.xml?ContentType=application/vnd.openxmlformats-officedocument.spreadsheetml.calcChain+xml">
        <DigestMethod Algorithm="http://www.w3.org/2000/09/xmldsig#sha1"/>
        <DigestValue>b1MWL+QnYTaSYbWzaAbe+VidciU=</DigestValue>
      </Reference>
      <Reference URI="/xl/sharedStrings.xml?ContentType=application/vnd.openxmlformats-officedocument.spreadsheetml.sharedStrings+xml">
        <DigestMethod Algorithm="http://www.w3.org/2000/09/xmldsig#sha1"/>
        <DigestValue>2Spmu4ygq7m5IVhXC3GY9GvF5eg=</DigestValue>
      </Reference>
      <Reference URI="/xl/printerSettings/printerSettings18.bin?ContentType=application/vnd.openxmlformats-officedocument.spreadsheetml.printerSettings">
        <DigestMethod Algorithm="http://www.w3.org/2000/09/xmldsig#sha1"/>
        <DigestValue>h1cfDX90fneGw34KtpcfAlbbCy0=</DigestValue>
      </Reference>
      <Reference URI="/xl/worksheets/sheet12.xml?ContentType=application/vnd.openxmlformats-officedocument.spreadsheetml.worksheet+xml">
        <DigestMethod Algorithm="http://www.w3.org/2000/09/xmldsig#sha1"/>
        <DigestValue>qSszq9M94Fe5oXq/v/pSQ0J9yJs=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Z0VZUmijP5aZMIY9SrfoO1lftec=</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2018-05-01T15:41:40Z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2018-05-01T15:41:40Z</xd:SigningTime>
          <xd:SigningCertificate>
            <xd:Cert>
              <xd:CertDigest>
                <DigestMethod Algorithm="http://www.w3.org/2000/09/xmldsig#sha1"/>
                <DigestValue>Mi+dhQHLtPpT+In/5RJDoCiqoRo=</DigestValue>
              </xd:CertDigest>
              <xd:IssuerSerial>
                <X509IssuerName>CN=NBG Class 2 INT Sub CA, DC=nbg, DC=ge</X509IssuerName>
                <X509SerialNumber>582536990061856911531226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V+3duC2CzxAefX/pdY+eH6cek2A=</DigestValue>
    </Reference>
    <Reference URI="#idOfficeObject" Type="http://www.w3.org/2000/09/xmldsig#Object">
      <DigestMethod Algorithm="http://www.w3.org/2000/09/xmldsig#sha1"/>
      <DigestValue>Vk4Y5DRfnzeluMmZsRcQ26jlpz8=</DigestValue>
    </Reference>
    <Reference URI="#idSignedProperties" Type="http://uri.etsi.org/01903#SignedProperties">
      <Transforms>
        <Transform Algorithm="http://www.w3.org/TR/2001/REC-xml-c14n-20010315"/>
      </Transforms>
      <DigestMethod Algorithm="http://www.w3.org/2000/09/xmldsig#sha1"/>
      <DigestValue>SYiFgpq7FQThFJ2wG4cz3BOSWFY=</DigestValue>
    </Reference>
  </SignedInfo>
  <SignatureValue>PR6OYZIvVSpNNmvEC/iyGCVBOWKDd3gfcOERcLbejOoYK6e2y9ty+4rjQZf1467B/pbQrO5aBYR+
pftn2JVi3ihTQII+PviyY7xlwjhi2o8spsjrexBiZPoxJvS6u9z7hTzhZrOH/hi001974CU0wZQx
Sgt2/zIzG6XGizJ9DnzPJ9+qVCa78L+9UE2zCY2OlmJJSRp+wyB0WL9n3OEYAAjbo5s0x5XEYB3r
BmhpVtddotS8PzzLfiDehI08PNLCMf/y0r1TeHGjpZPThZNgoYMT03RHtGPhAH7vq2BM+OhnUwNj
yDDjy7TQ7PPR5+3ECyAf3vm97cUkt7Kz1D28eA==</SignatureValue>
  <KeyInfo>
    <X509Data>
      <X509Certificate>MIIGQDCCBSigAwIBAgIKe9Km9gACAABDWDANBgkqhkiG9w0BAQsFADBKMRIwEAYKCZImiZPyLGQB
GRYCZ2UxEzARBgoJkiaJk/IsZAEZFgNuYmcxHzAdBgNVBAMTFk5CRyBDbGFzcyAyIElOVCBTdWIg
Q0EwHhcNMTcxMDE4MDgzMTIxWhcNMTkxMDE4MDgzMTIxWjA+MRwwGgYDVQQKExNKU0MgQmFuayBP
ZiBHZW9yZ2lhMR4wHAYDVQQDExVCQkcgLSBEYXZpZCBUc2lrbGF1cmkwggEiMA0GCSqGSIb3DQEB
AQUAA4IBDwAwggEKAoIBAQDouGWMmJ7N7zbFPUSQEjQ1Nxm5R2SOfh/+P1T9vvYjms5zy92gBvO7
Rwxd1If4wmzBcM20TvYXo6hUUyVvYNLBxJ0fbJSz1TYXlrWcaKAt9NBSzLh6sw3CsOHGiQqDgmrD
xtvIpEVLxMXoFmY4/wZdSnMWu5hEXLByCAYjU6R9JkbqokS8gbT51SHi8a/ZdOx0Nxh86yQ7DArw
zcP3deF1yFwy7PNZ7+pckkHFe2lGELgpyOmTE3l548E8DVz4ZLjyLRqTY3VYu6JzvkrJM/vEvcbW
X/3y2UyYI6W3iXf2fcBXqF+faTteV70fAKSdBKYp8DMVylhyZ+yW4C45xS4fAgMBAAGjggMyMIID
LjA8BgkrBgEEAYI3FQcELzAtBiUrBgEEAYI3FQjmsmCDjfVEhoGZCYO4oUqDvoRxBIPEkTOEg4hd
AgFkAgEdMB0GA1UdJQQWMBQGCCsGAQUFBwMCBggrBgEFBQcDBDALBgNVHQ8EBAMCB4AwJwYJKwYB
BAGCNxUKBBowGDAKBggrBgEFBQcDAjAKBggrBgEFBQcDBDAdBgNVHQ4EFgQUOsjYtIWCH89hfC+x
oUGYoSIr/wgwHwYDVR0jBBgwFoAUwy7SL/BMLxnCJ4L89i6sarBJz8EwggElBgNVHR8EggEcMIIB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MjBTdWIlMjBDQSgyKS5jcnQwDQYJKoZIhvcNAQELBQADggEBALAQzNlrfI6omXrn5+UqBb6m3oSp
bUXpiOIt1hcaliedpFfzrJ4UfHkTd19DbNjKrvZ6NJpy6pqUoQLkIzbkCOxwwFs3TQhGWadANGi6
p2sb7NOasSgu1yx6pj2lyqPPZcZDViiFMqUSZ2ysyKYDdpxb3KBE3SKIlFJElL9WnTrPfeAF+A5b
JlltrOaXC1KIwuh6ARd2ZiMy26WsZ+AfnGkJ2IeK2dwhzLQogXFvWbiQWO0/KIZFHOLp7tsnm6jG
4r7DDJthMfPjQM39N/rgNe0L3NbnAZ15Uf3oRl/oPgHcGaf5FwSn0CQcPtFYWxSrBbirIpnVG2uQ
ScIRvNwaCc4=</X509Certificate>
    </X509Data>
  </KeyInfo>
  <Object xmlns:mdssi="http://schemas.openxmlformats.org/package/2006/digital-signature" Id="idPackageObject">
    <Manifest>
      <Reference URI="/xl/printerSettings/printerSettings2.bin?ContentType=application/vnd.openxmlformats-officedocument.spreadsheetml.printerSettings">
        <DigestMethod Algorithm="http://www.w3.org/2000/09/xmldsig#sha1"/>
        <DigestValue>Lr3oPcOZxkvCGrolT7ZAojBVR9s=</DigestValue>
      </Reference>
      <Reference URI="/xl/printerSettings/printerSettings7.bin?ContentType=application/vnd.openxmlformats-officedocument.spreadsheetml.printerSettings">
        <DigestMethod Algorithm="http://www.w3.org/2000/09/xmldsig#sha1"/>
        <DigestValue>Lr3oPcOZxkvCGrolT7ZAojBVR9s=</DigestValue>
      </Reference>
      <Reference URI="/xl/worksheets/sheet9.xml?ContentType=application/vnd.openxmlformats-officedocument.spreadsheetml.worksheet+xml">
        <DigestMethod Algorithm="http://www.w3.org/2000/09/xmldsig#sha1"/>
        <DigestValue>cjTxy2e0mtxXNKjCXp/Ak+IHMfk=</DigestValue>
      </Reference>
      <Reference URI="/xl/printerSettings/printerSettings6.bin?ContentType=application/vnd.openxmlformats-officedocument.spreadsheetml.printerSettings">
        <DigestMethod Algorithm="http://www.w3.org/2000/09/xmldsig#sha1"/>
        <DigestValue>Lr3oPcOZxkvCGrolT7ZAojBVR9s=</DigestValue>
      </Reference>
      <Reference URI="/xl/worksheets/sheet10.xml?ContentType=application/vnd.openxmlformats-officedocument.spreadsheetml.worksheet+xml">
        <DigestMethod Algorithm="http://www.w3.org/2000/09/xmldsig#sha1"/>
        <DigestValue>eI8G4voXZkM8yDIfY1cv8t+S9YU=</DigestValue>
      </Reference>
      <Reference URI="/xl/printerSettings/printerSettings5.bin?ContentType=application/vnd.openxmlformats-officedocument.spreadsheetml.printerSettings">
        <DigestMethod Algorithm="http://www.w3.org/2000/09/xmldsig#sha1"/>
        <DigestValue>VXkzX5QWPy8K6b3Tkk1qfye+sKg=</DigestValue>
      </Reference>
      <Reference URI="/xl/worksheets/sheet11.xml?ContentType=application/vnd.openxmlformats-officedocument.spreadsheetml.worksheet+xml">
        <DigestMethod Algorithm="http://www.w3.org/2000/09/xmldsig#sha1"/>
        <DigestValue>1rLucH83+F3JZDCbJ3kioGprm4Y=</DigestValue>
      </Reference>
      <Reference URI="/xl/printerSettings/printerSettings4.bin?ContentType=application/vnd.openxmlformats-officedocument.spreadsheetml.printerSettings">
        <DigestMethod Algorithm="http://www.w3.org/2000/09/xmldsig#sha1"/>
        <DigestValue>Lr3oPcOZxkvCGrolT7ZAojBVR9s=</DigestValue>
      </Reference>
      <Reference URI="/xl/worksheets/sheet17.xml?ContentType=application/vnd.openxmlformats-officedocument.spreadsheetml.worksheet+xml">
        <DigestMethod Algorithm="http://www.w3.org/2000/09/xmldsig#sha1"/>
        <DigestValue>5T/tQ4Y2TBa+RvwbZG9CXfc6Fys=</DigestValue>
      </Reference>
      <Reference URI="/xl/printerSettings/printerSettings3.bin?ContentType=application/vnd.openxmlformats-officedocument.spreadsheetml.printerSettings">
        <DigestMethod Algorithm="http://www.w3.org/2000/09/xmldsig#sha1"/>
        <DigestValue>Lr3oPcOZxkvCGrolT7ZAojBVR9s=</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NJwAER1Jh38WVV5K/c9ytG/Rb78=</DigestValue>
      </Reference>
      <Reference URI="/xl/worksheets/sheet19.xml?ContentType=application/vnd.openxmlformats-officedocument.spreadsheetml.worksheet+xml">
        <DigestMethod Algorithm="http://www.w3.org/2000/09/xmldsig#sha1"/>
        <DigestValue>cOPmxvtaqI0KZvVTu+RWxmY98cI=</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1.bin?ContentType=application/vnd.openxmlformats-officedocument.spreadsheetml.printerSettings">
        <DigestMethod Algorithm="http://www.w3.org/2000/09/xmldsig#sha1"/>
        <DigestValue>iOUdri0DrHYIo5Tw3Wqktoik9TI=</DigestValue>
      </Reference>
      <Reference URI="/xl/worksheets/sheet6.xml?ContentType=application/vnd.openxmlformats-officedocument.spreadsheetml.worksheet+xml">
        <DigestMethod Algorithm="http://www.w3.org/2000/09/xmldsig#sha1"/>
        <DigestValue>RJ4QDrqlKWPsCtF5SUjjGThk2Bs=</DigestValue>
      </Reference>
      <Reference URI="/xl/printerSettings/printerSettings10.bin?ContentType=application/vnd.openxmlformats-officedocument.spreadsheetml.printerSettings">
        <DigestMethod Algorithm="http://www.w3.org/2000/09/xmldsig#sha1"/>
        <DigestValue>Lr3oPcOZxkvCGrolT7ZAojBVR9s=</DigestValue>
      </Reference>
      <Reference URI="/xl/worksheets/sheet8.xml?ContentType=application/vnd.openxmlformats-officedocument.spreadsheetml.worksheet+xml">
        <DigestMethod Algorithm="http://www.w3.org/2000/09/xmldsig#sha1"/>
        <DigestValue>DbwuxOLbK8bI+r8eo1YTutAMHS8=</DigestValue>
      </Reference>
      <Reference URI="/xl/printerSettings/printerSettings9.bin?ContentType=application/vnd.openxmlformats-officedocument.spreadsheetml.printerSettings">
        <DigestMethod Algorithm="http://www.w3.org/2000/09/xmldsig#sha1"/>
        <DigestValue>Lr3oPcOZxkvCGrolT7ZAojBVR9s=</DigestValue>
      </Reference>
      <Reference URI="/xl/worksheets/sheet7.xml?ContentType=application/vnd.openxmlformats-officedocument.spreadsheetml.worksheet+xml">
        <DigestMethod Algorithm="http://www.w3.org/2000/09/xmldsig#sha1"/>
        <DigestValue>dM2e6T1OXmlncBplKklhAbDqPfI=</DigestValue>
      </Reference>
      <Reference URI="/xl/printerSettings/printerSettings8.bin?ContentType=application/vnd.openxmlformats-officedocument.spreadsheetml.printerSettings">
        <DigestMethod Algorithm="http://www.w3.org/2000/09/xmldsig#sha1"/>
        <DigestValue>Lr3oPcOZxkvCGrolT7ZAojBVR9s=</DigestValue>
      </Reference>
      <Reference URI="/xl/worksheets/sheet5.xml?ContentType=application/vnd.openxmlformats-officedocument.spreadsheetml.worksheet+xml">
        <DigestMethod Algorithm="http://www.w3.org/2000/09/xmldsig#sha1"/>
        <DigestValue>uw+T3H4W9o6plhsFmPmQ3TJiv0w=</DigestValue>
      </Reference>
      <Reference URI="/xl/externalLinks/externalLink2.xml?ContentType=application/vnd.openxmlformats-officedocument.spreadsheetml.externalLink+xml">
        <DigestMethod Algorithm="http://www.w3.org/2000/09/xmldsig#sha1"/>
        <DigestValue>e4tpTd2JEeHxDbOXHYPqIzXdeNs=</DigestValue>
      </Reference>
      <Reference URI="/xl/worksheets/sheet16.xml?ContentType=application/vnd.openxmlformats-officedocument.spreadsheetml.worksheet+xml">
        <DigestMethod Algorithm="http://www.w3.org/2000/09/xmldsig#sha1"/>
        <DigestValue>0GnJ20dsqyyReqpUBJtuZfAuQJA=</DigestValue>
      </Reference>
      <Reference URI="/xl/worksheets/sheet15.xml?ContentType=application/vnd.openxmlformats-officedocument.spreadsheetml.worksheet+xml">
        <DigestMethod Algorithm="http://www.w3.org/2000/09/xmldsig#sha1"/>
        <DigestValue>LCvsrHj2TdRnjGFqYra3NhpoSfE=</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Lr3oPcOZxkvCGrolT7ZAojBVR9s=</DigestValue>
      </Reference>
      <Reference URI="/xl/worksheets/sheet3.xml?ContentType=application/vnd.openxmlformats-officedocument.spreadsheetml.worksheet+xml">
        <DigestMethod Algorithm="http://www.w3.org/2000/09/xmldsig#sha1"/>
        <DigestValue>WsFuj94kJcUTVX1RLiUn9WR/Eu4=</DigestValue>
      </Reference>
      <Reference URI="/xl/printerSettings/printerSettings15.bin?ContentType=application/vnd.openxmlformats-officedocument.spreadsheetml.printerSettings">
        <DigestMethod Algorithm="http://www.w3.org/2000/09/xmldsig#sha1"/>
        <DigestValue>Lr3oPcOZxkvCGrolT7ZAojBVR9s=</DigestValue>
      </Reference>
      <Reference URI="/xl/worksheets/sheet2.xml?ContentType=application/vnd.openxmlformats-officedocument.spreadsheetml.worksheet+xml">
        <DigestMethod Algorithm="http://www.w3.org/2000/09/xmldsig#sha1"/>
        <DigestValue>0nezO/Dr2+bNMk5gaZo+si4mFvk=</DigestValue>
      </Reference>
      <Reference URI="/xl/printerSettings/printerSettings14.bin?ContentType=application/vnd.openxmlformats-officedocument.spreadsheetml.printerSettings">
        <DigestMethod Algorithm="http://www.w3.org/2000/09/xmldsig#sha1"/>
        <DigestValue>Lr3oPcOZxkvCGrolT7ZAojBVR9s=</DigestValue>
      </Reference>
      <Reference URI="/xl/worksheets/sheet4.xml?ContentType=application/vnd.openxmlformats-officedocument.spreadsheetml.worksheet+xml">
        <DigestMethod Algorithm="http://www.w3.org/2000/09/xmldsig#sha1"/>
        <DigestValue>ziiwhuIS+/EcXU1vcvgymLJjFmo=</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izvoo1enl74/XezCwgTu28N+wNI=</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1.xml?ContentType=application/vnd.openxmlformats-officedocument.spreadsheetml.worksheet+xml">
        <DigestMethod Algorithm="http://www.w3.org/2000/09/xmldsig#sha1"/>
        <DigestValue>XiqiJuD69nsQoYqThWGFPqOhM40=</DigestValue>
      </Reference>
      <Reference URI="/xl/worksheets/sheet18.xml?ContentType=application/vnd.openxmlformats-officedocument.spreadsheetml.worksheet+xml">
        <DigestMethod Algorithm="http://www.w3.org/2000/09/xmldsig#sha1"/>
        <DigestValue>9+xBGXQPNmTfRaUuJfzaE/R5NAQ=</DigestValue>
      </Reference>
      <Reference URI="/xl/printerSettings/printerSettings12.bin?ContentType=application/vnd.openxmlformats-officedocument.spreadsheetml.printerSettings">
        <DigestMethod Algorithm="http://www.w3.org/2000/09/xmldsig#sha1"/>
        <DigestValue>Lr3oPcOZxkvCGrolT7ZAojBVR9s=</DigestValue>
      </Reference>
      <Reference URI="/xl/worksheets/sheet14.xml?ContentType=application/vnd.openxmlformats-officedocument.spreadsheetml.worksheet+xml">
        <DigestMethod Algorithm="http://www.w3.org/2000/09/xmldsig#sha1"/>
        <DigestValue>phAQZnTBXzE8Zp5jr1xue6Fwitc=</DigestValue>
      </Reference>
      <Reference URI="/xl/printerSettings/printerSettings13.bin?ContentType=application/vnd.openxmlformats-officedocument.spreadsheetml.printerSettings">
        <DigestMethod Algorithm="http://www.w3.org/2000/09/xmldsig#sha1"/>
        <DigestValue>Lr3oPcOZxkvCGrolT7ZAojBVR9s=</DigestValue>
      </Reference>
      <Reference URI="/xl/printerSettings/printerSettings17.bin?ContentType=application/vnd.openxmlformats-officedocument.spreadsheetml.printerSettings">
        <DigestMethod Algorithm="http://www.w3.org/2000/09/xmldsig#sha1"/>
        <DigestValue>Lr3oPcOZxkvCGrolT7ZAojBVR9s=</DigestValue>
      </Reference>
      <Reference URI="/xl/worksheets/sheet13.xml?ContentType=application/vnd.openxmlformats-officedocument.spreadsheetml.worksheet+xml">
        <DigestMethod Algorithm="http://www.w3.org/2000/09/xmldsig#sha1"/>
        <DigestValue>RN+7C7q0kAfB6ue2krT3+Mx6dvI=</DigestValue>
      </Reference>
      <Reference URI="/xl/calcChain.xml?ContentType=application/vnd.openxmlformats-officedocument.spreadsheetml.calcChain+xml">
        <DigestMethod Algorithm="http://www.w3.org/2000/09/xmldsig#sha1"/>
        <DigestValue>b1MWL+QnYTaSYbWzaAbe+VidciU=</DigestValue>
      </Reference>
      <Reference URI="/xl/sharedStrings.xml?ContentType=application/vnd.openxmlformats-officedocument.spreadsheetml.sharedStrings+xml">
        <DigestMethod Algorithm="http://www.w3.org/2000/09/xmldsig#sha1"/>
        <DigestValue>2Spmu4ygq7m5IVhXC3GY9GvF5eg=</DigestValue>
      </Reference>
      <Reference URI="/xl/printerSettings/printerSettings18.bin?ContentType=application/vnd.openxmlformats-officedocument.spreadsheetml.printerSettings">
        <DigestMethod Algorithm="http://www.w3.org/2000/09/xmldsig#sha1"/>
        <DigestValue>h1cfDX90fneGw34KtpcfAlbbCy0=</DigestValue>
      </Reference>
      <Reference URI="/xl/worksheets/sheet12.xml?ContentType=application/vnd.openxmlformats-officedocument.spreadsheetml.worksheet+xml">
        <DigestMethod Algorithm="http://www.w3.org/2000/09/xmldsig#sha1"/>
        <DigestValue>qSszq9M94Fe5oXq/v/pSQ0J9yJs=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Z0VZUmijP5aZMIY9SrfoO1lftec=</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2018-05-01T15:43:47Z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PG1-BBG-QQ-20180331</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2018-05-01T15:43:47Z</xd:SigningTime>
          <xd:SigningCertificate>
            <xd:Cert>
              <xd:CertDigest>
                <DigestMethod Algorithm="http://www.w3.org/2000/09/xmldsig#sha1"/>
                <DigestValue>HZPUMxuDdRLcDOJFQP1R56ITiEo=</DigestValue>
              </xd:CertDigest>
              <xd:IssuerSerial>
                <X509IssuerName>CN=NBG Class 2 INT Sub CA, DC=nbg, DC=ge</X509IssuerName>
                <X509SerialNumber>584736924451908523934552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Sheet7</vt:lpstr>
      <vt:lpstr>'14. LCR'!Print_Area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2018-05-04T09:42:31Z</dcterms:modified>
</cp:coreProperties>
</file>