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201_{4E0CA525-2C6A-4E21-8454-2E9440AB1466}" xr6:coauthVersionLast="47" xr6:coauthVersionMax="47" xr10:uidLastSave="{00000000-0000-0000-0000-000000000000}"/>
  <bookViews>
    <workbookView xWindow="-120" yWindow="-120" windowWidth="29040" windowHeight="1572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107"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საშუალო_აქტივები">#REF!</definedName>
    <definedName name="საშუალო_წლიური_კაპიტალი">#REF!</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80" l="1"/>
  <c r="K23" i="36" l="1"/>
  <c r="J23" i="36"/>
  <c r="I23" i="36"/>
  <c r="K16" i="36" l="1"/>
  <c r="K24" i="36" s="1"/>
  <c r="J16" i="36"/>
  <c r="J24" i="36" s="1"/>
  <c r="J25" i="36" s="1"/>
  <c r="I16" i="36"/>
  <c r="I24" i="36" s="1"/>
  <c r="I25" i="36"/>
  <c r="F16" i="36" l="1"/>
  <c r="C21" i="74"/>
  <c r="F23" i="36"/>
  <c r="H23" i="36"/>
  <c r="H16" i="36"/>
  <c r="G24" i="36"/>
  <c r="G23" i="36"/>
  <c r="G25" i="36" s="1"/>
  <c r="K25" i="36"/>
  <c r="G16" i="36"/>
  <c r="H24" i="36"/>
  <c r="F24" i="36"/>
  <c r="F25" i="36" l="1"/>
  <c r="C13" i="74"/>
  <c r="H25" i="36"/>
  <c r="C22" i="74" l="1"/>
  <c r="E34" i="72"/>
  <c r="E26" i="72"/>
  <c r="D25" i="72"/>
  <c r="D30" i="72"/>
  <c r="E11" i="72"/>
  <c r="E25" i="72" l="1"/>
  <c r="E30" i="72"/>
  <c r="G59" i="92"/>
  <c r="F59" i="92"/>
  <c r="D24" i="92" l="1"/>
  <c r="C24" i="92"/>
  <c r="C30" i="92"/>
  <c r="D30" i="92"/>
  <c r="C27" i="92"/>
  <c r="D27" i="92"/>
  <c r="B1" i="94" l="1"/>
  <c r="B1" i="93"/>
  <c r="B1" i="92"/>
  <c r="B1" i="104" l="1"/>
  <c r="B1" i="103"/>
  <c r="B1" i="102"/>
  <c r="B1" i="101"/>
  <c r="B1" i="100"/>
  <c r="B1" i="99"/>
  <c r="B1" i="98"/>
  <c r="B1" i="97"/>
  <c r="B1" i="96"/>
  <c r="B1" i="95"/>
  <c r="C10" i="99" l="1"/>
  <c r="C18" i="99" s="1"/>
  <c r="C7" i="98"/>
  <c r="D7" i="98"/>
  <c r="C10" i="98"/>
  <c r="D10" i="98"/>
  <c r="C15"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H21" i="96" l="1"/>
  <c r="H22" i="95"/>
  <c r="C62" i="69"/>
  <c r="C58" i="69"/>
  <c r="C67" i="69" s="1"/>
  <c r="C40" i="69"/>
  <c r="C29" i="69"/>
  <c r="C26" i="69"/>
  <c r="C35" i="69" s="1"/>
  <c r="C23" i="69"/>
  <c r="C18" i="69"/>
  <c r="C14" i="69"/>
  <c r="C6" i="69"/>
  <c r="D8" i="72"/>
  <c r="D37" i="72" s="1"/>
  <c r="E8" i="72"/>
  <c r="D16" i="72"/>
  <c r="E16" i="72"/>
  <c r="D20" i="72"/>
  <c r="E20" i="72"/>
  <c r="D28" i="72"/>
  <c r="E28" i="72"/>
  <c r="D31" i="72"/>
  <c r="E31" i="72"/>
  <c r="C31" i="72"/>
  <c r="C28" i="72"/>
  <c r="C25" i="72"/>
  <c r="C20" i="72"/>
  <c r="C16" i="72"/>
  <c r="C8" i="72"/>
  <c r="E37" i="72" l="1"/>
  <c r="C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C14" i="94" s="1"/>
  <c r="H16" i="94"/>
  <c r="E16" i="94"/>
  <c r="H15" i="94"/>
  <c r="E15" i="94"/>
  <c r="G14" i="94"/>
  <c r="F14" i="94"/>
  <c r="D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H37" i="93" s="1"/>
  <c r="D37" i="93"/>
  <c r="C37" i="93"/>
  <c r="H36" i="93"/>
  <c r="E36" i="93"/>
  <c r="H35" i="93"/>
  <c r="E35" i="93"/>
  <c r="G34" i="93"/>
  <c r="F34" i="93"/>
  <c r="H34" i="93" s="1"/>
  <c r="D34" i="93"/>
  <c r="C34" i="93"/>
  <c r="H33" i="93"/>
  <c r="E33" i="93"/>
  <c r="H32" i="93"/>
  <c r="E32" i="93"/>
  <c r="H31" i="93"/>
  <c r="E31" i="93"/>
  <c r="H30" i="93"/>
  <c r="E30" i="93"/>
  <c r="G29" i="93"/>
  <c r="F29" i="93"/>
  <c r="H29" i="93" s="1"/>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H13" i="93" s="1"/>
  <c r="D13" i="93"/>
  <c r="C13" i="93"/>
  <c r="H12" i="93"/>
  <c r="E12" i="93"/>
  <c r="H11" i="93"/>
  <c r="E11" i="93"/>
  <c r="H10" i="93"/>
  <c r="E10" i="93"/>
  <c r="H9" i="93"/>
  <c r="E9" i="93"/>
  <c r="H8" i="93"/>
  <c r="E8" i="93"/>
  <c r="H7" i="93"/>
  <c r="E7" i="93"/>
  <c r="G6" i="93"/>
  <c r="F6" i="93"/>
  <c r="D6" i="93"/>
  <c r="C6" i="93"/>
  <c r="G68" i="92"/>
  <c r="G69" i="92" s="1"/>
  <c r="F68" i="92"/>
  <c r="F69" i="92" s="1"/>
  <c r="H67" i="92"/>
  <c r="E67" i="92"/>
  <c r="H66" i="92"/>
  <c r="E66" i="92"/>
  <c r="H65" i="92"/>
  <c r="E65" i="92"/>
  <c r="H64" i="92"/>
  <c r="E64" i="92"/>
  <c r="H63" i="92"/>
  <c r="D63" i="92"/>
  <c r="C63" i="92"/>
  <c r="H62" i="92"/>
  <c r="E62" i="92"/>
  <c r="H61" i="92"/>
  <c r="E61" i="92"/>
  <c r="H60" i="92"/>
  <c r="E60" i="92"/>
  <c r="H59" i="92"/>
  <c r="D59" i="92"/>
  <c r="C59" i="92"/>
  <c r="C68" i="92" s="1"/>
  <c r="H58" i="92"/>
  <c r="E58" i="92"/>
  <c r="H57" i="92"/>
  <c r="E57" i="92"/>
  <c r="H56" i="92"/>
  <c r="E56" i="92"/>
  <c r="H55" i="92"/>
  <c r="E55" i="92"/>
  <c r="H52" i="92"/>
  <c r="H51" i="92"/>
  <c r="H50" i="92"/>
  <c r="H49" i="92"/>
  <c r="H48" i="92"/>
  <c r="G47" i="92"/>
  <c r="F47" i="92"/>
  <c r="H46" i="92"/>
  <c r="H45" i="92"/>
  <c r="H44" i="92"/>
  <c r="H43" i="92"/>
  <c r="H42" i="92"/>
  <c r="G41" i="92"/>
  <c r="F41" i="92"/>
  <c r="H40" i="92"/>
  <c r="H39" i="92"/>
  <c r="H38" i="92"/>
  <c r="H35" i="92"/>
  <c r="E35" i="92"/>
  <c r="H34" i="92"/>
  <c r="E34" i="92"/>
  <c r="H33" i="92"/>
  <c r="E33" i="92"/>
  <c r="H32" i="92"/>
  <c r="E32" i="92"/>
  <c r="H31" i="92"/>
  <c r="E31" i="92"/>
  <c r="G30" i="92"/>
  <c r="F30" i="92"/>
  <c r="H29" i="92"/>
  <c r="E29" i="92"/>
  <c r="H28" i="92"/>
  <c r="E28" i="92"/>
  <c r="G27" i="92"/>
  <c r="F27" i="92"/>
  <c r="H26" i="92"/>
  <c r="E26" i="92"/>
  <c r="H25" i="92"/>
  <c r="E25" i="92"/>
  <c r="G24" i="92"/>
  <c r="F24" i="92"/>
  <c r="E24" i="92"/>
  <c r="H23" i="92"/>
  <c r="E23" i="92"/>
  <c r="H22" i="92"/>
  <c r="E22" i="92"/>
  <c r="H21" i="92"/>
  <c r="E21" i="92"/>
  <c r="H20" i="92"/>
  <c r="E20" i="92"/>
  <c r="G19" i="92"/>
  <c r="F19" i="92"/>
  <c r="D19" i="92"/>
  <c r="C19" i="92"/>
  <c r="H18" i="92"/>
  <c r="E18" i="92"/>
  <c r="H17" i="92"/>
  <c r="E17" i="92"/>
  <c r="H16" i="92"/>
  <c r="E16" i="92"/>
  <c r="G15" i="92"/>
  <c r="F15" i="92"/>
  <c r="H15" i="92" s="1"/>
  <c r="D15" i="92"/>
  <c r="C15" i="92"/>
  <c r="H14" i="92"/>
  <c r="E14" i="92"/>
  <c r="H13" i="92"/>
  <c r="E13" i="92"/>
  <c r="H12" i="92"/>
  <c r="E12" i="92"/>
  <c r="H11" i="92"/>
  <c r="E11" i="92"/>
  <c r="H10" i="92"/>
  <c r="E10" i="92"/>
  <c r="H9" i="92"/>
  <c r="E9" i="92"/>
  <c r="H8" i="92"/>
  <c r="E8" i="92"/>
  <c r="G7" i="92"/>
  <c r="F7" i="92"/>
  <c r="D7" i="92"/>
  <c r="C7" i="92"/>
  <c r="H19" i="92" l="1"/>
  <c r="E13" i="93"/>
  <c r="D68" i="92"/>
  <c r="E68" i="92" s="1"/>
  <c r="C43" i="93"/>
  <c r="C45" i="93" s="1"/>
  <c r="E29" i="93"/>
  <c r="E34" i="93"/>
  <c r="E6" i="93"/>
  <c r="G43" i="93"/>
  <c r="G45" i="93" s="1"/>
  <c r="E63" i="92"/>
  <c r="H41" i="92"/>
  <c r="C36" i="92"/>
  <c r="E15" i="92"/>
  <c r="H30" i="92"/>
  <c r="H27" i="92"/>
  <c r="H7" i="92"/>
  <c r="E27" i="92"/>
  <c r="G53" i="92"/>
  <c r="E37" i="93"/>
  <c r="H30" i="94"/>
  <c r="E38" i="94"/>
  <c r="E30" i="92"/>
  <c r="F43" i="93"/>
  <c r="F45" i="93" s="1"/>
  <c r="H45" i="93" s="1"/>
  <c r="E19" i="92"/>
  <c r="E59" i="92"/>
  <c r="G36" i="92"/>
  <c r="F36" i="92"/>
  <c r="D36" i="92"/>
  <c r="H47" i="92"/>
  <c r="H8" i="94"/>
  <c r="E8" i="94"/>
  <c r="E14" i="94"/>
  <c r="H38" i="94"/>
  <c r="E30" i="94"/>
  <c r="E11" i="94"/>
  <c r="E17" i="94"/>
  <c r="H11" i="94"/>
  <c r="H14" i="94"/>
  <c r="H6" i="93"/>
  <c r="D43" i="93"/>
  <c r="D45" i="93" s="1"/>
  <c r="H69" i="92"/>
  <c r="H68" i="92"/>
  <c r="F53" i="92"/>
  <c r="E7" i="92"/>
  <c r="H24" i="92"/>
  <c r="H53" i="92" l="1"/>
  <c r="E36" i="92"/>
  <c r="H36" i="92"/>
  <c r="H43" i="93"/>
  <c r="E45" i="93"/>
  <c r="E43" i="93"/>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35" i="79" l="1"/>
  <c r="B1" i="79" l="1"/>
  <c r="B1" i="37"/>
  <c r="B1" i="36"/>
  <c r="B1" i="74"/>
  <c r="B1" i="64"/>
  <c r="B1" i="35"/>
  <c r="B1" i="69"/>
  <c r="B1" i="77"/>
  <c r="B1" i="28"/>
  <c r="B1" i="73"/>
  <c r="B1" i="72"/>
  <c r="B1" i="52"/>
  <c r="B1" i="71"/>
  <c r="B1" i="6"/>
  <c r="C21" i="77" l="1"/>
  <c r="C20" i="77"/>
  <c r="C19" i="77"/>
  <c r="C30" i="79" l="1"/>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H7" i="37"/>
  <c r="G7" i="37"/>
  <c r="F7" i="37"/>
  <c r="F21" i="37" s="1"/>
  <c r="C7" i="37"/>
  <c r="H21" i="37" l="1"/>
  <c r="G21" i="37"/>
  <c r="I21" i="37"/>
  <c r="J21" i="37"/>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G13" i="74" l="1"/>
  <c r="F13" i="74"/>
  <c r="F21" i="74"/>
  <c r="G21" i="74"/>
  <c r="S22" i="35"/>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B2" i="80"/>
  <c r="B2" i="101"/>
  <c r="B2" i="64"/>
  <c r="B2" i="99"/>
  <c r="B2" i="35"/>
  <c r="B2" i="104"/>
  <c r="B2" i="100"/>
  <c r="B2" i="72"/>
  <c r="B2" i="96"/>
  <c r="B2" i="98"/>
  <c r="B2" i="52"/>
  <c r="B2" i="79"/>
  <c r="B2" i="28"/>
  <c r="F5" i="6"/>
  <c r="K5" i="6" s="1"/>
  <c r="B2" i="71"/>
  <c r="G5" i="71" s="1"/>
  <c r="E5" i="6"/>
  <c r="J5" i="6" s="1"/>
  <c r="I5" i="6"/>
  <c r="G5" i="6"/>
  <c r="L5" i="6" s="1"/>
  <c r="C5" i="71" l="1"/>
  <c r="E5" i="71"/>
  <c r="F5" i="71"/>
  <c r="D5" i="71"/>
  <c r="E52" i="92"/>
  <c r="E50" i="92"/>
  <c r="C49" i="69" s="1"/>
  <c r="E51" i="92"/>
  <c r="D47" i="92"/>
  <c r="D41" i="92" s="1"/>
  <c r="D53" i="92" s="1"/>
  <c r="D69" i="92" l="1"/>
  <c r="E49" i="92"/>
  <c r="C48" i="69" s="1"/>
  <c r="C46" i="69" l="1"/>
  <c r="E48" i="92"/>
  <c r="C47" i="92"/>
  <c r="C52" i="69" l="1"/>
  <c r="E47" i="92"/>
  <c r="C68" i="69" l="1"/>
  <c r="E46" i="92"/>
  <c r="E45" i="92" l="1"/>
  <c r="E44" i="92" l="1"/>
  <c r="E43" i="92" l="1"/>
  <c r="E42" i="92" l="1"/>
  <c r="C41" i="92"/>
  <c r="E41" i="92" l="1"/>
  <c r="E40" i="92" l="1"/>
  <c r="E39" i="92" l="1"/>
  <c r="C53" i="92" l="1"/>
  <c r="E38" i="92"/>
  <c r="E53" i="92" l="1"/>
  <c r="C69" i="92"/>
  <c r="E69" i="92" s="1"/>
  <c r="C6" i="71" l="1"/>
  <c r="C13" i="71" l="1"/>
  <c r="D13" i="77" l="1"/>
  <c r="D7" i="77"/>
  <c r="D21" i="77"/>
  <c r="D16" i="77"/>
  <c r="D11" i="77"/>
  <c r="D20" i="77"/>
  <c r="D19" i="77"/>
  <c r="D15" i="77"/>
  <c r="D9" i="77"/>
  <c r="D12" i="77"/>
  <c r="D17" i="77"/>
  <c r="D8" i="77"/>
</calcChain>
</file>

<file path=xl/sharedStrings.xml><?xml version="1.0" encoding="utf-8"?>
<sst xmlns="http://schemas.openxmlformats.org/spreadsheetml/2006/main" count="1588" uniqueCount="986">
  <si>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</si>
  <si>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</si>
  <si>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</si>
  <si>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</si>
  <si>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</si>
  <si>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</si>
  <si>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</si>
  <si>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</si>
  <si>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</si>
  <si>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</si>
  <si>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</si>
  <si>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</si>
  <si>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</si>
  <si>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</si>
  <si>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</si>
  <si>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</si>
  <si>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</si>
  <si>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</si>
  <si>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</si>
  <si>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</si>
  <si>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</si>
  <si>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</si>
  <si>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</si>
  <si>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</si>
  <si>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</si>
  <si>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</si>
  <si>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</si>
  <si>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</si>
  <si>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</si>
  <si>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</si>
  <si>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</si>
  <si>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</si>
  <si>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</si>
  <si>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</si>
  <si>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</si>
  <si>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</si>
  <si>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</si>
  <si>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</si>
  <si>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</si>
  <si>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</si>
  <si>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</si>
  <si>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</si>
  <si>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</si>
  <si>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</si>
  <si>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</si>
  <si>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</si>
  <si>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</si>
  <si>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</si>
  <si>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</si>
  <si>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</si>
  <si>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</si>
  <si>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</si>
  <si>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</si>
  <si>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</si>
  <si>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</si>
  <si>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</si>
  <si>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</si>
  <si>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</si>
  <si>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</si>
  <si>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</si>
  <si>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</si>
  <si>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</si>
  <si>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</si>
  <si>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</si>
  <si>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</si>
  <si>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</si>
  <si>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</si>
  <si>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</si>
  <si>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</si>
  <si>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</si>
  <si>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</si>
  <si>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</si>
  <si>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</si>
  <si>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</si>
  <si>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</si>
  <si>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</si>
  <si>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</si>
  <si>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</si>
  <si>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</si>
  <si>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</si>
  <si>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</si>
  <si>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</si>
  <si>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</si>
  <si>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</si>
  <si>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</si>
  <si>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</si>
  <si>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</si>
  <si>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</si>
  <si>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</si>
  <si>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</si>
  <si>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</si>
  <si>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</si>
  <si>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</si>
  <si>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</si>
  <si>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</si>
  <si>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</si>
  <si>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</si>
  <si>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</si>
  <si>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</si>
  <si>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</si>
  <si>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</si>
  <si>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</si>
  <si>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</si>
  <si>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</si>
  <si>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</si>
  <si>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</si>
  <si>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</si>
  <si>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</si>
  <si>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</si>
  <si>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</si>
  <si>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</si>
  <si>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</si>
  <si>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</si>
  <si>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</si>
  <si>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</si>
  <si>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</si>
  <si>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</si>
  <si>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</si>
  <si>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</si>
  <si>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</si>
  <si>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</si>
  <si>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</si>
  <si>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</si>
  <si>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</si>
  <si>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</si>
  <si>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</si>
  <si>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</si>
  <si>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</si>
  <si>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</si>
  <si>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</si>
  <si>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</si>
  <si>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</si>
  <si>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</si>
  <si>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</si>
  <si>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</si>
  <si>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</si>
  <si>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</si>
  <si>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</si>
  <si>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</si>
  <si>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</si>
  <si>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</si>
  <si>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</si>
  <si>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</si>
  <si>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</si>
  <si>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</si>
  <si>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</si>
  <si>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</si>
  <si>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</si>
  <si>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</si>
  <si>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</si>
  <si>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</si>
  <si>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</si>
  <si>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</si>
  <si>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</si>
  <si>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</si>
  <si>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</si>
  <si>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</si>
  <si>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</si>
  <si>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</si>
  <si>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</si>
  <si>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</si>
  <si>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</si>
  <si>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</si>
  <si>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</si>
  <si>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</si>
  <si>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</si>
  <si>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</si>
  <si>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</si>
  <si>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</si>
  <si>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</si>
  <si>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</si>
  <si>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</si>
  <si>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</si>
  <si>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</si>
  <si>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</si>
  <si>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</si>
  <si>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</si>
  <si>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</si>
  <si>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</si>
  <si>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</si>
  <si>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</si>
  <si>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</si>
  <si>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</si>
  <si>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</si>
  <si>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</si>
  <si>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</si>
  <si>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</si>
  <si>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</si>
  <si>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</si>
  <si>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</si>
  <si>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</si>
  <si>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</si>
  <si>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</si>
  <si>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</si>
  <si>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</si>
  <si>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</si>
  <si>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</si>
  <si>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</si>
  <si>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</si>
  <si>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</si>
  <si>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</si>
  <si>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</si>
  <si>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</si>
  <si>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</si>
  <si>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</si>
  <si>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</si>
  <si>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</si>
  <si>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</si>
  <si>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</si>
  <si>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</si>
  <si>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</si>
  <si>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</si>
  <si>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</si>
  <si>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</si>
  <si>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</si>
  <si>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</si>
  <si>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</si>
  <si>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</si>
  <si>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</si>
  <si>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</si>
  <si>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</si>
  <si>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</si>
  <si>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</si>
  <si>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</si>
  <si>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</si>
  <si>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</si>
  <si>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</si>
  <si>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</si>
  <si>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</si>
  <si>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</si>
  <si>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</si>
  <si>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</si>
  <si>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</si>
  <si>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</si>
  <si>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</si>
  <si>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</si>
  <si>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</si>
  <si>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</si>
  <si>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</si>
  <si>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</si>
  <si>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</si>
  <si>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</si>
  <si>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</si>
  <si>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</si>
  <si>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</si>
  <si>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</si>
  <si>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</si>
  <si>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</si>
  <si>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</si>
  <si>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</si>
  <si>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</si>
  <si>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</si>
  <si>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</si>
  <si>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</si>
  <si>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</si>
  <si>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</si>
  <si>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</si>
  <si>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</si>
  <si>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</si>
  <si>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</si>
  <si>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</si>
  <si>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</si>
  <si>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</si>
  <si>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</si>
  <si>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</si>
  <si>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</si>
  <si>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</si>
  <si>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</si>
  <si>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</si>
  <si>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</si>
  <si>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</si>
  <si>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</si>
  <si>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</si>
  <si>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</si>
  <si>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</si>
  <si>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</si>
  <si>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</si>
  <si>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</si>
  <si>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</si>
  <si>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</si>
  <si>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</si>
  <si>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</si>
  <si>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</si>
  <si>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</si>
  <si>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</si>
  <si>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</si>
  <si>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</si>
  <si>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</si>
  <si>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</si>
  <si>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</si>
  <si>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</si>
  <si>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</si>
  <si>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</si>
  <si>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</si>
  <si>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</si>
  <si>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</si>
  <si>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</si>
  <si>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</si>
  <si>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</si>
  <si>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</si>
  <si>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</si>
  <si>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</si>
  <si>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</si>
  <si>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</si>
  <si>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</si>
  <si>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</si>
  <si>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</si>
  <si>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</si>
  <si>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</si>
  <si>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</si>
  <si>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</si>
  <si>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</si>
  <si>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</si>
  <si>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</si>
  <si>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</si>
  <si>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</si>
  <si>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</si>
  <si>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</si>
  <si>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</si>
  <si>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</si>
  <si>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</si>
  <si>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</si>
  <si>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</si>
  <si>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</si>
  <si>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</si>
  <si>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</si>
  <si>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</si>
  <si>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</si>
  <si>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</si>
  <si>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</si>
  <si>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</si>
  <si>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</si>
  <si>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</si>
  <si>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</si>
  <si>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</si>
  <si>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</si>
  <si>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</si>
  <si>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</si>
  <si>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</si>
  <si>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</si>
  <si>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</si>
  <si>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</si>
  <si>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</si>
  <si>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</si>
  <si>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</si>
  <si>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</si>
  <si>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</si>
  <si>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</si>
  <si>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</si>
  <si>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</si>
  <si>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</si>
  <si>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</si>
  <si>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</si>
  <si>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</si>
  <si>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</si>
  <si>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</si>
  <si>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</si>
  <si>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</si>
  <si>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</si>
  <si>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</si>
  <si>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</si>
  <si>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</si>
  <si>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</si>
  <si>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</si>
  <si>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</si>
  <si>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</si>
  <si>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</si>
  <si>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</si>
  <si>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</si>
  <si>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</si>
  <si>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</si>
  <si>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</si>
  <si>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</si>
  <si>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</si>
  <si>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</si>
  <si>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</si>
  <si>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</si>
  <si>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</si>
  <si>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</si>
  <si>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</si>
  <si>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</si>
  <si>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</si>
  <si>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</si>
  <si>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</si>
  <si>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</si>
  <si>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</si>
  <si>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</si>
  <si>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</si>
  <si>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</si>
  <si>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</si>
  <si>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</si>
  <si>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</si>
  <si>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</si>
  <si>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</si>
  <si>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</si>
  <si>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</si>
  <si>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</si>
  <si>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</si>
  <si>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</si>
  <si>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</si>
  <si>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</si>
  <si>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</si>
  <si>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</si>
  <si>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</si>
  <si>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</si>
  <si>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</si>
  <si>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</si>
  <si>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</si>
  <si>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</si>
  <si>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</si>
  <si>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</si>
  <si>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</si>
  <si>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</si>
  <si>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</si>
  <si>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</si>
  <si>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</si>
  <si>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</si>
  <si>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</si>
  <si>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</si>
  <si>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</si>
  <si>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</si>
  <si>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</si>
  <si>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</si>
  <si>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</si>
  <si>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</si>
  <si>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</si>
  <si>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</si>
  <si>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</si>
  <si>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</si>
  <si>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</si>
  <si>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</si>
  <si>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</si>
  <si>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</si>
  <si>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</si>
  <si>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</si>
  <si>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</si>
  <si>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</si>
  <si>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</si>
  <si>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</si>
  <si>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</si>
  <si>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</si>
  <si>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</si>
  <si>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</si>
  <si>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</si>
  <si>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</si>
  <si>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</si>
  <si>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</si>
  <si>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</si>
  <si>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</si>
  <si>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</si>
  <si>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</si>
  <si>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</si>
  <si>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</si>
  <si>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</si>
  <si>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</si>
  <si>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</si>
  <si>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</si>
  <si>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</si>
  <si>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</si>
  <si>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</si>
  <si>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</si>
  <si>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</si>
  <si>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</si>
  <si>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</si>
  <si>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</si>
  <si>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</si>
  <si>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</si>
  <si>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</si>
  <si>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</si>
  <si>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</si>
  <si>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</si>
  <si>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</si>
  <si>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</si>
  <si>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</si>
  <si>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</si>
  <si>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</si>
  <si>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</si>
  <si>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</si>
  <si>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</si>
  <si>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</si>
  <si>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</si>
  <si>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</si>
  <si>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</si>
  <si>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</si>
  <si>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</si>
  <si>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</si>
  <si>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</si>
  <si>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</si>
  <si>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</si>
  <si>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</si>
  <si>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</si>
  <si>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</si>
  <si>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</si>
  <si>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</si>
  <si>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</si>
  <si>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</si>
  <si>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</si>
  <si>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</si>
  <si>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</si>
  <si>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</si>
  <si>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</si>
  <si>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</si>
  <si>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</si>
  <si>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</si>
  <si>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</si>
  <si>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</si>
  <si>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</si>
  <si>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</si>
  <si>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</si>
  <si>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</si>
  <si>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</si>
  <si>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</si>
  <si>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</si>
  <si>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</si>
  <si>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</si>
  <si>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</si>
  <si>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</si>
  <si>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</si>
  <si>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</si>
  <si>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</si>
  <si>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</si>
  <si>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</si>
  <si>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</si>
  <si>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</si>
  <si>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</si>
  <si>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</si>
  <si>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</si>
  <si>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</si>
  <si>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</si>
  <si>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</si>
  <si>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</si>
  <si>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</si>
  <si>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</si>
  <si>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</si>
  <si>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</si>
  <si>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</si>
  <si>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</si>
  <si>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</si>
  <si>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</si>
  <si>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</si>
  <si>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</si>
  <si>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</si>
  <si>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</si>
  <si>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</si>
  <si>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</si>
  <si>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</si>
  <si>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</si>
  <si>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</si>
  <si>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</si>
  <si>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</si>
  <si>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</si>
  <si>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</si>
  <si>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</si>
  <si>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</si>
  <si>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</si>
  <si>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</si>
  <si>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</si>
  <si>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</si>
  <si>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</si>
  <si>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</si>
  <si>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</si>
  <si>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</si>
  <si>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</si>
  <si>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</si>
  <si>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</si>
  <si>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</si>
  <si>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</si>
  <si>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</si>
  <si>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</si>
  <si>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</si>
  <si>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</si>
  <si>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</si>
  <si>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</si>
  <si>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</si>
  <si>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</si>
  <si>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</si>
  <si>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</si>
  <si>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</si>
  <si>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</si>
  <si>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</si>
  <si>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</si>
  <si>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</si>
  <si>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</si>
  <si>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</si>
  <si>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</si>
  <si>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</si>
  <si>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</si>
  <si>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</si>
  <si>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</si>
  <si>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</si>
  <si>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</si>
  <si>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</si>
  <si>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</si>
  <si>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</si>
  <si>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</si>
  <si>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</si>
  <si>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</si>
  <si>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</si>
  <si>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</si>
  <si>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</si>
  <si>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</si>
  <si>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</si>
  <si>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</si>
  <si>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</si>
  <si>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</si>
  <si>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</si>
  <si>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</si>
  <si>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</si>
  <si>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</si>
  <si>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</si>
  <si>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</si>
  <si>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</si>
  <si>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</si>
  <si>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</si>
  <si>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</si>
  <si>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</si>
  <si>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</si>
  <si>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</si>
  <si>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</si>
  <si>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</si>
  <si>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</si>
  <si>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</si>
  <si>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</si>
  <si>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</si>
  <si>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</si>
  <si>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</si>
  <si>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</si>
  <si>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</si>
  <si>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</si>
  <si>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</si>
  <si>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</si>
  <si>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</si>
  <si>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</si>
  <si>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</si>
  <si>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</si>
  <si>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</si>
  <si>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</si>
  <si>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</si>
  <si>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</si>
  <si>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</si>
  <si>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</si>
  <si>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</si>
  <si>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</si>
  <si>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</si>
  <si>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</si>
  <si>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</si>
  <si>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</si>
  <si>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</si>
  <si>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</si>
  <si>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</si>
  <si>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</si>
  <si>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</si>
  <si>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</si>
  <si>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</si>
  <si>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</si>
  <si>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</si>
  <si>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</si>
  <si>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</si>
  <si>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</si>
  <si>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</si>
  <si>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</si>
  <si>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</si>
  <si>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</si>
  <si>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</si>
  <si>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</si>
  <si>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</si>
  <si>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</si>
  <si>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</si>
  <si>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</si>
  <si>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</si>
  <si>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</si>
  <si>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</si>
  <si>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</si>
  <si>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</si>
  <si>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</si>
  <si>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</si>
  <si>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</si>
  <si>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</si>
  <si>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</si>
  <si>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</si>
  <si>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</si>
  <si>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</si>
  <si>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</si>
  <si>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</si>
  <si>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</si>
  <si>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</si>
  <si>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</si>
  <si>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</si>
  <si>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</si>
  <si>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</si>
  <si>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</si>
  <si>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</si>
  <si>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</si>
  <si>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</si>
  <si>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</si>
  <si>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</si>
  <si>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</si>
  <si>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</si>
  <si>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</si>
  <si>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</si>
  <si>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</si>
  <si>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</si>
  <si>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</si>
  <si>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</si>
  <si>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</si>
  <si>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</si>
  <si>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</si>
  <si>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</si>
  <si>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</si>
  <si>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</si>
  <si>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</si>
  <si>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</si>
  <si>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</si>
  <si>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</si>
  <si>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</si>
  <si>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</si>
  <si>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</si>
  <si>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</si>
  <si>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</si>
  <si>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</si>
  <si>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</si>
  <si>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</si>
  <si>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</si>
  <si>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</si>
  <si>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</si>
  <si>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</si>
  <si>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</si>
  <si>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</si>
  <si>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</si>
  <si>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</si>
  <si>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</si>
  <si>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</si>
  <si>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</si>
  <si>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</si>
  <si>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</si>
  <si>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</si>
  <si>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</si>
  <si>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</si>
  <si>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</si>
  <si>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</si>
  <si>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</si>
  <si>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</si>
  <si>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</si>
  <si>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</si>
  <si>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</si>
  <si>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</si>
  <si>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</si>
  <si>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</si>
  <si>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</si>
  <si>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</si>
  <si>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</si>
  <si>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</si>
  <si>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</si>
  <si>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</si>
  <si>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</si>
  <si>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</si>
  <si>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</si>
  <si>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</si>
  <si>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</si>
  <si>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</si>
  <si>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</si>
  <si>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</si>
  <si>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</si>
  <si>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</si>
  <si>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</si>
  <si>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</si>
  <si>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</si>
  <si>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</si>
  <si>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</si>
  <si>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</si>
  <si>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</si>
  <si>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</si>
  <si>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</si>
  <si>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</si>
  <si>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</si>
  <si>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</si>
  <si>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</si>
  <si>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</si>
  <si>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</si>
  <si>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</si>
  <si>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</si>
  <si>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</si>
  <si>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</si>
  <si>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</si>
  <si>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</si>
  <si>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</si>
  <si>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</si>
  <si>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</si>
  <si>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</si>
  <si>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</si>
  <si>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</si>
  <si>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</si>
  <si>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</si>
  <si>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</si>
  <si>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</si>
  <si>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</si>
  <si>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</si>
  <si>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</si>
  <si>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</si>
  <si>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</si>
  <si>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</si>
  <si>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</si>
  <si>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</si>
  <si>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</si>
  <si>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</si>
  <si>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</si>
  <si>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</si>
  <si>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</si>
  <si>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</si>
  <si>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</si>
  <si>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</si>
  <si>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</si>
  <si>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</si>
  <si>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</si>
  <si>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</si>
  <si>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</si>
  <si>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</si>
  <si>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</si>
  <si>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</si>
  <si>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</si>
  <si>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</si>
  <si>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</si>
  <si>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</si>
  <si>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</si>
  <si>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</si>
  <si>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</si>
  <si>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</si>
  <si>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</si>
  <si>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</si>
  <si>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</si>
  <si>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</si>
  <si>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</si>
  <si>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</si>
  <si>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</si>
  <si>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</si>
  <si>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</si>
  <si>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</si>
  <si>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</si>
  <si>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</si>
  <si>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</si>
  <si>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</si>
  <si>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</si>
  <si>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</si>
  <si>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</si>
  <si>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</si>
  <si>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</si>
  <si>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</si>
  <si>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</si>
  <si>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</si>
  <si>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</si>
  <si>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</si>
  <si>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</si>
  <si>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</si>
  <si>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</si>
  <si>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</si>
  <si>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</si>
  <si>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</si>
  <si>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</si>
  <si>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</si>
  <si>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</si>
  <si>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</si>
  <si>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</si>
  <si>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</si>
  <si>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</si>
  <si>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</si>
  <si>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</si>
  <si>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</si>
  <si>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</si>
  <si>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</si>
  <si>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</si>
  <si>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</si>
  <si>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</si>
  <si>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</si>
  <si>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</si>
  <si>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</si>
  <si>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</si>
  <si>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</si>
  <si>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</si>
  <si>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</si>
  <si>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</si>
  <si>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</si>
  <si>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</si>
  <si>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</si>
  <si>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</si>
  <si>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</si>
  <si>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</si>
  <si>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</si>
  <si>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</si>
  <si>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</si>
  <si>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</si>
  <si>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</si>
  <si>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</si>
  <si>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</si>
  <si>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</si>
  <si>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</si>
  <si>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</si>
  <si>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</si>
  <si>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</si>
  <si>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</si>
  <si>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</si>
  <si>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</si>
  <si>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</si>
  <si>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</si>
  <si>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</si>
  <si>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</si>
  <si>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</si>
  <si>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</si>
  <si>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</si>
  <si>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</si>
  <si>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</si>
  <si>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</si>
  <si>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</si>
  <si>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</si>
  <si>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</si>
  <si>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</si>
  <si>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</si>
  <si>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</si>
  <si>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</si>
  <si>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</si>
  <si>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</si>
  <si>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</si>
  <si>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</si>
  <si>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</si>
  <si>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</si>
  <si>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</si>
  <si>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</si>
  <si>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</si>
  <si>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</si>
  <si>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</si>
  <si>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</si>
  <si>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</si>
  <si>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</si>
  <si>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</si>
  <si>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</si>
  <si>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</si>
  <si>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</si>
  <si>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</si>
  <si>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</si>
  <si>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</si>
  <si>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</si>
  <si>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</si>
  <si>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</si>
  <si>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</si>
  <si>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</si>
  <si>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</si>
  <si>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</si>
  <si>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</si>
  <si>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</si>
  <si>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</si>
  <si>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ლაშა კახიშვილი</t>
  </si>
  <si>
    <t>არადამოუკიდებელი თავმჯდომარე</t>
  </si>
  <si>
    <t>ირაკლი თევდორაშვილი</t>
  </si>
  <si>
    <t>არადამოუკიდებელი წევრი</t>
  </si>
  <si>
    <t>გიორგი მიროტაძე</t>
  </si>
  <si>
    <t>დამოუკიდებელი წევრი</t>
  </si>
  <si>
    <t>ნინო მეფარიშვილი</t>
  </si>
  <si>
    <t>დიმიტრი ქუმსიშვილი</t>
  </si>
  <si>
    <t>გენერალური დირექტორი</t>
  </si>
  <si>
    <t>ირაკლი თოიძე</t>
  </si>
  <si>
    <t>რისკების დირექტორი/რისკების დეპარტამენტი</t>
  </si>
  <si>
    <t>გიორგი ჩრდილელი</t>
  </si>
  <si>
    <t>ფინანსური დირექტორი/ფინანსური დეპარტამენტი</t>
  </si>
  <si>
    <t>მინდია საბანაძე</t>
  </si>
  <si>
    <t>ზაზა ბუაძე</t>
  </si>
  <si>
    <t>ირაკლი ვეკუა</t>
  </si>
  <si>
    <t>ივანე თევდორაშვილი</t>
  </si>
  <si>
    <t>სს "პეისერა ბანკი საქართველო"</t>
  </si>
  <si>
    <t>https://paysera.ge</t>
  </si>
  <si>
    <t xml:space="preserve"> ცხრილი 9 (Capital), N2</t>
  </si>
  <si>
    <t xml:space="preserve"> ცხრილი 9 (Capital), N6</t>
  </si>
  <si>
    <t xml:space="preserve"> ცხრილი 9 (Capital), N29</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</si>
  <si>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</si>
  <si>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</si>
  <si>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</si>
  <si>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</si>
  <si>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</si>
  <si>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</si>
  <si>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</si>
  <si>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</si>
  <si>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</si>
  <si>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</si>
  <si>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</si>
  <si>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</si>
  <si>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</si>
  <si>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1Q-2023</t>
  </si>
  <si>
    <t>4Q-2022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</si>
</sst>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0;\(#,##0\)"/>
  </numFmts>
  <fonts count="144">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Sylfaen"/>
      <family val="2"/>
      <scheme val="minor"/>
    </font>
    <font>
      <sz val="10"/>
      <name val="Geo_Arial"/>
      <family val="2"/>
    </font>
    <font>
      <i/>
      <sz val="10"/>
      <color theme="1"/>
      <name val="Sylfaen"/>
      <family val="2"/>
      <scheme val="minor"/>
    </font>
    <font>
      <b/>
      <sz val="10"/>
      <name val="Sylfaen"/>
      <family val="2"/>
      <scheme val="minor"/>
    </font>
    <font>
      <b/>
      <i/>
      <sz val="10"/>
      <name val="Sylfaen"/>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Sylfaen"/>
      <family val="2"/>
      <scheme val="minor"/>
    </font>
    <font>
      <b/>
      <i/>
      <u/>
      <sz val="8"/>
      <name val="Sylfaen"/>
      <family val="1"/>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sz val="9"/>
      <color theme="1"/>
      <name val="Sylfaen"/>
      <family val="1"/>
      <scheme val="minor"/>
    </font>
    <font>
      <sz val="8"/>
      <color rgb="FFFF0000"/>
      <name val="Sylfaen"/>
      <family val="1"/>
    </font>
    <font>
      <sz val="9"/>
      <color rgb="FF000000"/>
      <name val="Sylfaen"/>
      <family val="1"/>
    </font>
    <font>
      <b/>
      <sz val="12"/>
      <color theme="1"/>
      <name val="Sylfaen"/>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Sylfaen"/>
      <family val="2"/>
      <scheme val="minor"/>
    </font>
    <font>
      <b/>
      <sz val="8"/>
      <color rgb="FF000000"/>
      <name val="Verdana"/>
      <family val="2"/>
    </font>
    <font>
      <sz val="11"/>
      <name val="Sylfaen"/>
      <family val="2"/>
      <charset val="204"/>
      <scheme val="minor"/>
    </font>
    <font>
      <i/>
      <sz val="11"/>
      <name val="Sylfaen"/>
      <family val="2"/>
      <scheme val="minor"/>
    </font>
    <font>
      <i/>
      <sz val="11"/>
      <name val="Sylfaen"/>
      <family val="2"/>
      <charset val="204"/>
      <scheme val="minor"/>
    </font>
    <font>
      <sz val="11"/>
      <name val="Sylfaen"/>
      <family val="2"/>
      <scheme val="minor"/>
    </font>
    <font>
      <u/>
      <sz val="8"/>
      <name val="Sylfaen"/>
      <family val="1"/>
    </font>
    <font>
      <b/>
      <i/>
      <sz val="10"/>
      <color theme="1"/>
      <name val="Sylfaen"/>
      <family val="2"/>
      <scheme val="minor"/>
    </font>
    <font>
      <b/>
      <i/>
      <sz val="11"/>
      <color theme="1"/>
      <name val="Sylfaen"/>
      <family val="2"/>
      <scheme val="minor"/>
    </font>
    <font>
      <b/>
      <sz val="11"/>
      <color theme="1"/>
      <name val="Sylfaen"/>
      <family val="1"/>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72" fontId="26" fillId="37" borderId="0"/>
    <xf numFmtId="173" fontId="26" fillId="37" borderId="0"/>
    <xf numFmtId="172" fontId="26" fillId="37" borderId="0"/>
    <xf numFmtId="0" fontId="27" fillId="38" borderId="0" applyNumberFormat="0" applyBorder="0" applyAlignment="0" applyProtection="0"/>
    <xf numFmtId="0" fontId="4" fillId="13"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0" fontId="32" fillId="39" borderId="0" applyNumberFormat="0" applyBorder="0" applyAlignment="0" applyProtection="0"/>
    <xf numFmtId="174" fontId="35"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6" fontId="37" fillId="0" borderId="0" applyFill="0" applyBorder="0" applyAlignment="0"/>
    <xf numFmtId="177" fontId="37" fillId="0" borderId="0" applyFill="0" applyBorder="0" applyAlignment="0"/>
    <xf numFmtId="178" fontId="37" fillId="0" borderId="0" applyFill="0" applyBorder="0" applyAlignment="0"/>
    <xf numFmtId="179"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72"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72"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73"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72" fontId="40" fillId="64" borderId="38" applyNumberFormat="0" applyAlignment="0" applyProtection="0"/>
    <xf numFmtId="173" fontId="40" fillId="64" borderId="38" applyNumberFormat="0" applyAlignment="0" applyProtection="0"/>
    <xf numFmtId="172" fontId="40" fillId="64" borderId="38" applyNumberFormat="0" applyAlignment="0" applyProtection="0"/>
    <xf numFmtId="172" fontId="40" fillId="64" borderId="38" applyNumberFormat="0" applyAlignment="0" applyProtection="0"/>
    <xf numFmtId="173" fontId="40" fillId="64" borderId="38" applyNumberFormat="0" applyAlignment="0" applyProtection="0"/>
    <xf numFmtId="172" fontId="40" fillId="64" borderId="38" applyNumberFormat="0" applyAlignment="0" applyProtection="0"/>
    <xf numFmtId="172" fontId="40" fillId="64" borderId="38" applyNumberFormat="0" applyAlignment="0" applyProtection="0"/>
    <xf numFmtId="173" fontId="40" fillId="64" borderId="38" applyNumberFormat="0" applyAlignment="0" applyProtection="0"/>
    <xf numFmtId="172" fontId="40" fillId="64" borderId="38" applyNumberFormat="0" applyAlignment="0" applyProtection="0"/>
    <xf numFmtId="172" fontId="40" fillId="64" borderId="38" applyNumberFormat="0" applyAlignment="0" applyProtection="0"/>
    <xf numFmtId="173" fontId="40" fillId="64" borderId="38" applyNumberFormat="0" applyAlignment="0" applyProtection="0"/>
    <xf numFmtId="172"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72"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0" fontId="41"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0" fontId="42" fillId="10" borderId="34"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0" fontId="41" fillId="65" borderId="39"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7" fillId="0" borderId="0" applyFont="0" applyFill="0" applyBorder="0" applyAlignment="0" applyProtection="0"/>
    <xf numFmtId="167" fontId="8" fillId="0" borderId="0" applyFont="0" applyFill="0" applyBorder="0" applyAlignment="0" applyProtection="0"/>
    <xf numFmtId="168" fontId="27" fillId="0" borderId="0" applyFont="0" applyFill="0" applyBorder="0" applyAlignment="0" applyProtection="0"/>
    <xf numFmtId="167" fontId="8" fillId="0" borderId="0" applyFont="0" applyFill="0" applyBorder="0" applyAlignment="0" applyProtection="0"/>
    <xf numFmtId="182" fontId="27"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7" fillId="0" borderId="0" applyFont="0" applyFill="0" applyBorder="0" applyAlignment="0" applyProtection="0"/>
    <xf numFmtId="167" fontId="8" fillId="0" borderId="0" applyFont="0" applyFill="0" applyBorder="0" applyAlignment="0" applyProtection="0"/>
    <xf numFmtId="182" fontId="27"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5" fillId="0" borderId="0"/>
    <xf numFmtId="176" fontId="37"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4"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0" fontId="48" fillId="0" borderId="0" applyNumberFormat="0" applyFill="0" applyBorder="0" applyAlignment="0" applyProtection="0"/>
    <xf numFmtId="172" fontId="2" fillId="0" borderId="0"/>
    <xf numFmtId="0" fontId="2" fillId="0" borderId="0"/>
    <xf numFmtId="172"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72"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72" fontId="54" fillId="0" borderId="9">
      <alignment horizontal="left" vertical="center"/>
    </xf>
    <xf numFmtId="0" fontId="55" fillId="0" borderId="41" applyNumberFormat="0" applyFill="0" applyAlignment="0" applyProtection="0"/>
    <xf numFmtId="173" fontId="55" fillId="0" borderId="41" applyNumberFormat="0" applyFill="0" applyAlignment="0" applyProtection="0"/>
    <xf numFmtId="0"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73"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73" fontId="57" fillId="0" borderId="43" applyNumberFormat="0" applyFill="0" applyAlignment="0" applyProtection="0"/>
    <xf numFmtId="0" fontId="57" fillId="0" borderId="43" applyNumberFormat="0" applyFill="0" applyAlignment="0" applyProtection="0"/>
    <xf numFmtId="172" fontId="57" fillId="0" borderId="43" applyNumberFormat="0" applyFill="0" applyAlignment="0" applyProtection="0"/>
    <xf numFmtId="0" fontId="57" fillId="0" borderId="43" applyNumberFormat="0" applyFill="0" applyAlignment="0" applyProtection="0"/>
    <xf numFmtId="172"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72" fontId="57" fillId="0" borderId="43" applyNumberFormat="0" applyFill="0" applyAlignment="0" applyProtection="0"/>
    <xf numFmtId="173" fontId="57" fillId="0" borderId="43" applyNumberFormat="0" applyFill="0" applyAlignment="0" applyProtection="0"/>
    <xf numFmtId="172" fontId="57" fillId="0" borderId="43" applyNumberFormat="0" applyFill="0" applyAlignment="0" applyProtection="0"/>
    <xf numFmtId="172" fontId="57" fillId="0" borderId="43" applyNumberFormat="0" applyFill="0" applyAlignment="0" applyProtection="0"/>
    <xf numFmtId="173" fontId="57" fillId="0" borderId="43" applyNumberFormat="0" applyFill="0" applyAlignment="0" applyProtection="0"/>
    <xf numFmtId="172" fontId="57" fillId="0" borderId="43" applyNumberFormat="0" applyFill="0" applyAlignment="0" applyProtection="0"/>
    <xf numFmtId="172" fontId="57" fillId="0" borderId="43" applyNumberFormat="0" applyFill="0" applyAlignment="0" applyProtection="0"/>
    <xf numFmtId="173" fontId="57" fillId="0" borderId="43" applyNumberFormat="0" applyFill="0" applyAlignment="0" applyProtection="0"/>
    <xf numFmtId="172" fontId="57" fillId="0" borderId="43" applyNumberFormat="0" applyFill="0" applyAlignment="0" applyProtection="0"/>
    <xf numFmtId="172" fontId="57" fillId="0" borderId="43" applyNumberFormat="0" applyFill="0" applyAlignment="0" applyProtection="0"/>
    <xf numFmtId="173" fontId="57" fillId="0" borderId="43" applyNumberFormat="0" applyFill="0" applyAlignment="0" applyProtection="0"/>
    <xf numFmtId="172"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73" fontId="57" fillId="0" borderId="0" applyNumberFormat="0" applyFill="0" applyBorder="0" applyAlignment="0" applyProtection="0"/>
    <xf numFmtId="0"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0" fontId="57" fillId="0" borderId="0" applyNumberFormat="0" applyFill="0" applyBorder="0" applyAlignment="0" applyProtection="0"/>
    <xf numFmtId="37" fontId="58" fillId="0" borderId="0"/>
    <xf numFmtId="172" fontId="59" fillId="0" borderId="0"/>
    <xf numFmtId="0" fontId="59" fillId="0" borderId="0"/>
    <xf numFmtId="172" fontId="59" fillId="0" borderId="0"/>
    <xf numFmtId="172" fontId="54" fillId="0" borderId="0"/>
    <xf numFmtId="0" fontId="54" fillId="0" borderId="0"/>
    <xf numFmtId="172" fontId="54"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4"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2" fontId="64" fillId="0" borderId="0" applyNumberFormat="0" applyFill="0" applyBorder="0" applyAlignment="0" applyProtection="0">
      <alignment vertical="top"/>
      <protection locked="0"/>
    </xf>
    <xf numFmtId="172"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72"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72"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73"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72" fontId="68" fillId="43" borderId="38" applyNumberFormat="0" applyAlignment="0" applyProtection="0"/>
    <xf numFmtId="173" fontId="68" fillId="43" borderId="38" applyNumberFormat="0" applyAlignment="0" applyProtection="0"/>
    <xf numFmtId="172" fontId="68" fillId="43" borderId="38" applyNumberFormat="0" applyAlignment="0" applyProtection="0"/>
    <xf numFmtId="172" fontId="68" fillId="43" borderId="38" applyNumberFormat="0" applyAlignment="0" applyProtection="0"/>
    <xf numFmtId="173" fontId="68" fillId="43" borderId="38" applyNumberFormat="0" applyAlignment="0" applyProtection="0"/>
    <xf numFmtId="172" fontId="68" fillId="43" borderId="38" applyNumberFormat="0" applyAlignment="0" applyProtection="0"/>
    <xf numFmtId="172" fontId="68" fillId="43" borderId="38" applyNumberFormat="0" applyAlignment="0" applyProtection="0"/>
    <xf numFmtId="173" fontId="68" fillId="43" borderId="38" applyNumberFormat="0" applyAlignment="0" applyProtection="0"/>
    <xf numFmtId="172" fontId="68" fillId="43" borderId="38" applyNumberFormat="0" applyAlignment="0" applyProtection="0"/>
    <xf numFmtId="172" fontId="68" fillId="43" borderId="38" applyNumberFormat="0" applyAlignment="0" applyProtection="0"/>
    <xf numFmtId="173" fontId="68" fillId="43" borderId="38" applyNumberFormat="0" applyAlignment="0" applyProtection="0"/>
    <xf numFmtId="172"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72" fontId="71" fillId="0" borderId="44"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172" fontId="71" fillId="0" borderId="44"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172" fontId="71" fillId="0" borderId="44"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172" fontId="71" fillId="0" borderId="44"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172" fontId="71" fillId="0" borderId="44" applyNumberFormat="0" applyFill="0" applyAlignment="0" applyProtection="0"/>
    <xf numFmtId="0" fontId="69" fillId="0" borderId="44"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0" fontId="72" fillId="73" borderId="0" applyNumberFormat="0" applyBorder="0" applyAlignment="0" applyProtection="0"/>
    <xf numFmtId="1" fontId="75" fillId="0" borderId="0" applyProtection="0"/>
    <xf numFmtId="172" fontId="26" fillId="0" borderId="45"/>
    <xf numFmtId="173" fontId="26" fillId="0" borderId="45"/>
    <xf numFmtId="172"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6" fillId="0" borderId="0"/>
    <xf numFmtId="185" fontId="2"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0" fontId="77" fillId="0" borderId="0"/>
    <xf numFmtId="0" fontId="76" fillId="0" borderId="0"/>
    <xf numFmtId="183" fontId="28" fillId="0" borderId="0"/>
    <xf numFmtId="183" fontId="2" fillId="0" borderId="0"/>
    <xf numFmtId="183" fontId="2" fillId="0" borderId="0"/>
    <xf numFmtId="0" fontId="2" fillId="0" borderId="0"/>
    <xf numFmtId="0" fontId="2"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8"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8" fillId="0" borderId="0"/>
    <xf numFmtId="0" fontId="28" fillId="0" borderId="0"/>
    <xf numFmtId="172"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72" fontId="28" fillId="0" borderId="0"/>
    <xf numFmtId="0" fontId="28" fillId="0" borderId="0"/>
    <xf numFmtId="0" fontId="28"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183" fontId="28" fillId="0" borderId="0"/>
    <xf numFmtId="183" fontId="2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28" fillId="0" borderId="0"/>
    <xf numFmtId="183" fontId="28" fillId="0" borderId="0"/>
    <xf numFmtId="183" fontId="28" fillId="0" borderId="0"/>
    <xf numFmtId="183"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8"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28" fillId="0" borderId="0"/>
    <xf numFmtId="0" fontId="2" fillId="0" borderId="0"/>
    <xf numFmtId="0" fontId="27" fillId="0" borderId="0"/>
    <xf numFmtId="172" fontId="25" fillId="0" borderId="0"/>
    <xf numFmtId="0" fontId="2"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28" fillId="0" borderId="0"/>
    <xf numFmtId="0" fontId="28" fillId="0" borderId="0"/>
    <xf numFmtId="172" fontId="25" fillId="0" borderId="0"/>
    <xf numFmtId="0" fontId="65" fillId="0" borderId="0"/>
    <xf numFmtId="0" fontId="2" fillId="0" borderId="0"/>
    <xf numFmtId="172" fontId="25" fillId="0" borderId="0"/>
    <xf numFmtId="0" fontId="1"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183" fontId="2" fillId="0" borderId="0"/>
    <xf numFmtId="0" fontId="2" fillId="0" borderId="0"/>
    <xf numFmtId="183" fontId="2" fillId="0" borderId="0"/>
    <xf numFmtId="0" fontId="2" fillId="0" borderId="0"/>
    <xf numFmtId="183"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83" fontId="2"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6" fillId="0" borderId="0"/>
    <xf numFmtId="0" fontId="8"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83" fontId="8" fillId="0" borderId="0"/>
    <xf numFmtId="0" fontId="26" fillId="0" borderId="0"/>
    <xf numFmtId="183"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6" fillId="0" borderId="0"/>
    <xf numFmtId="183" fontId="8"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72" fontId="26" fillId="0" borderId="0"/>
    <xf numFmtId="0" fontId="76"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72" fontId="8" fillId="0" borderId="0"/>
    <xf numFmtId="0" fontId="76" fillId="0" borderId="0"/>
    <xf numFmtId="172"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83"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83"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6"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183" fontId="2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4" fillId="0" borderId="0"/>
    <xf numFmtId="0" fontId="2" fillId="0" borderId="0"/>
    <xf numFmtId="0" fontId="76" fillId="0" borderId="0"/>
    <xf numFmtId="172" fontId="44"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2"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3"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2"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72"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72"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73"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172"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1"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2" fillId="0" borderId="0"/>
    <xf numFmtId="0" fontId="82" fillId="0" borderId="0"/>
    <xf numFmtId="172"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72"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72"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73"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72" fontId="85" fillId="64" borderId="47" applyNumberFormat="0" applyAlignment="0" applyProtection="0"/>
    <xf numFmtId="173" fontId="85" fillId="64" borderId="47" applyNumberFormat="0" applyAlignment="0" applyProtection="0"/>
    <xf numFmtId="172" fontId="85" fillId="64" borderId="47" applyNumberFormat="0" applyAlignment="0" applyProtection="0"/>
    <xf numFmtId="172" fontId="85" fillId="64" borderId="47" applyNumberFormat="0" applyAlignment="0" applyProtection="0"/>
    <xf numFmtId="173" fontId="85" fillId="64" borderId="47" applyNumberFormat="0" applyAlignment="0" applyProtection="0"/>
    <xf numFmtId="172" fontId="85" fillId="64" borderId="47" applyNumberFormat="0" applyAlignment="0" applyProtection="0"/>
    <xf numFmtId="172" fontId="85" fillId="64" borderId="47" applyNumberFormat="0" applyAlignment="0" applyProtection="0"/>
    <xf numFmtId="173" fontId="85" fillId="64" borderId="47" applyNumberFormat="0" applyAlignment="0" applyProtection="0"/>
    <xf numFmtId="172" fontId="85" fillId="64" borderId="47" applyNumberFormat="0" applyAlignment="0" applyProtection="0"/>
    <xf numFmtId="172" fontId="85" fillId="64" borderId="47" applyNumberFormat="0" applyAlignment="0" applyProtection="0"/>
    <xf numFmtId="173" fontId="85" fillId="64" borderId="47" applyNumberFormat="0" applyAlignment="0" applyProtection="0"/>
    <xf numFmtId="172" fontId="85" fillId="64" borderId="47" applyNumberFormat="0" applyAlignment="0" applyProtection="0"/>
    <xf numFmtId="0" fontId="83" fillId="64" borderId="47" applyNumberFormat="0" applyAlignment="0" applyProtection="0"/>
    <xf numFmtId="0" fontId="25" fillId="0" borderId="0"/>
    <xf numFmtId="179" fontId="37" fillId="0" borderId="0" applyFont="0" applyFill="0" applyBorder="0" applyAlignment="0" applyProtection="0"/>
    <xf numFmtId="190"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xf numFmtId="0" fontId="2" fillId="0" borderId="0"/>
    <xf numFmtId="172" fontId="2" fillId="0" borderId="0"/>
    <xf numFmtId="191"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8" fillId="0" borderId="0"/>
    <xf numFmtId="0" fontId="25" fillId="0" borderId="0"/>
    <xf numFmtId="0" fontId="89" fillId="0" borderId="0"/>
    <xf numFmtId="0" fontId="89" fillId="0" borderId="0"/>
    <xf numFmtId="172" fontId="25" fillId="0" borderId="0"/>
    <xf numFmtId="172"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93" fontId="37" fillId="0" borderId="0" applyFill="0" applyBorder="0" applyAlignment="0"/>
    <xf numFmtId="194" fontId="37" fillId="0" borderId="0" applyFill="0" applyBorder="0" applyAlignment="0"/>
    <xf numFmtId="0" fontId="92" fillId="0" borderId="0">
      <alignment horizontal="center" vertical="top"/>
    </xf>
    <xf numFmtId="0" fontId="93"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72"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72"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73"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72" fontId="94" fillId="0" borderId="48" applyNumberFormat="0" applyFill="0" applyAlignment="0" applyProtection="0"/>
    <xf numFmtId="173" fontId="94" fillId="0" borderId="48" applyNumberFormat="0" applyFill="0" applyAlignment="0" applyProtection="0"/>
    <xf numFmtId="172" fontId="94" fillId="0" borderId="48" applyNumberFormat="0" applyFill="0" applyAlignment="0" applyProtection="0"/>
    <xf numFmtId="172" fontId="94" fillId="0" borderId="48" applyNumberFormat="0" applyFill="0" applyAlignment="0" applyProtection="0"/>
    <xf numFmtId="173" fontId="94" fillId="0" borderId="48" applyNumberFormat="0" applyFill="0" applyAlignment="0" applyProtection="0"/>
    <xf numFmtId="172" fontId="94" fillId="0" borderId="48" applyNumberFormat="0" applyFill="0" applyAlignment="0" applyProtection="0"/>
    <xf numFmtId="172" fontId="94" fillId="0" borderId="48" applyNumberFormat="0" applyFill="0" applyAlignment="0" applyProtection="0"/>
    <xf numFmtId="173" fontId="94" fillId="0" borderId="48" applyNumberFormat="0" applyFill="0" applyAlignment="0" applyProtection="0"/>
    <xf numFmtId="172" fontId="94" fillId="0" borderId="48" applyNumberFormat="0" applyFill="0" applyAlignment="0" applyProtection="0"/>
    <xf numFmtId="172" fontId="94" fillId="0" borderId="48" applyNumberFormat="0" applyFill="0" applyAlignment="0" applyProtection="0"/>
    <xf numFmtId="173" fontId="94" fillId="0" borderId="48" applyNumberFormat="0" applyFill="0" applyAlignment="0" applyProtection="0"/>
    <xf numFmtId="172" fontId="94" fillId="0" borderId="48" applyNumberFormat="0" applyFill="0" applyAlignment="0" applyProtection="0"/>
    <xf numFmtId="0" fontId="47" fillId="0" borderId="48" applyNumberFormat="0" applyFill="0" applyAlignment="0" applyProtection="0"/>
    <xf numFmtId="0" fontId="25" fillId="0" borderId="49"/>
    <xf numFmtId="189" fontId="81"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6" fillId="0" borderId="0" applyFont="0" applyFill="0" applyBorder="0" applyAlignment="0" applyProtection="0"/>
    <xf numFmtId="196"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165" fontId="98" fillId="0" borderId="0" applyFont="0" applyFill="0" applyBorder="0" applyAlignment="0" applyProtection="0"/>
    <xf numFmtId="167"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72" fontId="94" fillId="0" borderId="104" applyNumberFormat="0" applyFill="0" applyAlignment="0" applyProtection="0"/>
    <xf numFmtId="173" fontId="94" fillId="0" borderId="104" applyNumberFormat="0" applyFill="0" applyAlignment="0" applyProtection="0"/>
    <xf numFmtId="172" fontId="94" fillId="0" borderId="104" applyNumberFormat="0" applyFill="0" applyAlignment="0" applyProtection="0"/>
    <xf numFmtId="172" fontId="94" fillId="0" borderId="104" applyNumberFormat="0" applyFill="0" applyAlignment="0" applyProtection="0"/>
    <xf numFmtId="173" fontId="94" fillId="0" borderId="104" applyNumberFormat="0" applyFill="0" applyAlignment="0" applyProtection="0"/>
    <xf numFmtId="172" fontId="94" fillId="0" borderId="104" applyNumberFormat="0" applyFill="0" applyAlignment="0" applyProtection="0"/>
    <xf numFmtId="172" fontId="94" fillId="0" borderId="104" applyNumberFormat="0" applyFill="0" applyAlignment="0" applyProtection="0"/>
    <xf numFmtId="173" fontId="94" fillId="0" borderId="104" applyNumberFormat="0" applyFill="0" applyAlignment="0" applyProtection="0"/>
    <xf numFmtId="172" fontId="94" fillId="0" borderId="104" applyNumberFormat="0" applyFill="0" applyAlignment="0" applyProtection="0"/>
    <xf numFmtId="172" fontId="94" fillId="0" borderId="104" applyNumberFormat="0" applyFill="0" applyAlignment="0" applyProtection="0"/>
    <xf numFmtId="173" fontId="94" fillId="0" borderId="104" applyNumberFormat="0" applyFill="0" applyAlignment="0" applyProtection="0"/>
    <xf numFmtId="172"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73"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72"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72"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92"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72" fontId="85" fillId="64" borderId="103" applyNumberFormat="0" applyAlignment="0" applyProtection="0"/>
    <xf numFmtId="173" fontId="85" fillId="64" borderId="103" applyNumberFormat="0" applyAlignment="0" applyProtection="0"/>
    <xf numFmtId="172" fontId="85" fillId="64" borderId="103" applyNumberFormat="0" applyAlignment="0" applyProtection="0"/>
    <xf numFmtId="172" fontId="85" fillId="64" borderId="103" applyNumberFormat="0" applyAlignment="0" applyProtection="0"/>
    <xf numFmtId="173" fontId="85" fillId="64" borderId="103" applyNumberFormat="0" applyAlignment="0" applyProtection="0"/>
    <xf numFmtId="172" fontId="85" fillId="64" borderId="103" applyNumberFormat="0" applyAlignment="0" applyProtection="0"/>
    <xf numFmtId="172" fontId="85" fillId="64" borderId="103" applyNumberFormat="0" applyAlignment="0" applyProtection="0"/>
    <xf numFmtId="173" fontId="85" fillId="64" borderId="103" applyNumberFormat="0" applyAlignment="0" applyProtection="0"/>
    <xf numFmtId="172" fontId="85" fillId="64" borderId="103" applyNumberFormat="0" applyAlignment="0" applyProtection="0"/>
    <xf numFmtId="172" fontId="85" fillId="64" borderId="103" applyNumberFormat="0" applyAlignment="0" applyProtection="0"/>
    <xf numFmtId="173" fontId="85" fillId="64" borderId="103" applyNumberFormat="0" applyAlignment="0" applyProtection="0"/>
    <xf numFmtId="172"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73"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72"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72"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72" fontId="68" fillId="43" borderId="101" applyNumberFormat="0" applyAlignment="0" applyProtection="0"/>
    <xf numFmtId="173" fontId="68" fillId="43" borderId="101" applyNumberFormat="0" applyAlignment="0" applyProtection="0"/>
    <xf numFmtId="172" fontId="68" fillId="43" borderId="101" applyNumberFormat="0" applyAlignment="0" applyProtection="0"/>
    <xf numFmtId="172" fontId="68" fillId="43" borderId="101" applyNumberFormat="0" applyAlignment="0" applyProtection="0"/>
    <xf numFmtId="173" fontId="68" fillId="43" borderId="101" applyNumberFormat="0" applyAlignment="0" applyProtection="0"/>
    <xf numFmtId="172" fontId="68" fillId="43" borderId="101" applyNumberFormat="0" applyAlignment="0" applyProtection="0"/>
    <xf numFmtId="172" fontId="68" fillId="43" borderId="101" applyNumberFormat="0" applyAlignment="0" applyProtection="0"/>
    <xf numFmtId="173" fontId="68" fillId="43" borderId="101" applyNumberFormat="0" applyAlignment="0" applyProtection="0"/>
    <xf numFmtId="172" fontId="68" fillId="43" borderId="101" applyNumberFormat="0" applyAlignment="0" applyProtection="0"/>
    <xf numFmtId="172" fontId="68" fillId="43" borderId="101" applyNumberFormat="0" applyAlignment="0" applyProtection="0"/>
    <xf numFmtId="173" fontId="68" fillId="43" borderId="101" applyNumberFormat="0" applyAlignment="0" applyProtection="0"/>
    <xf numFmtId="172"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73"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72"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72"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72"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72" fontId="40" fillId="64" borderId="101" applyNumberFormat="0" applyAlignment="0" applyProtection="0"/>
    <xf numFmtId="173" fontId="40" fillId="64" borderId="101" applyNumberFormat="0" applyAlignment="0" applyProtection="0"/>
    <xf numFmtId="172" fontId="40" fillId="64" borderId="101" applyNumberFormat="0" applyAlignment="0" applyProtection="0"/>
    <xf numFmtId="172" fontId="40" fillId="64" borderId="101" applyNumberFormat="0" applyAlignment="0" applyProtection="0"/>
    <xf numFmtId="173" fontId="40" fillId="64" borderId="101" applyNumberFormat="0" applyAlignment="0" applyProtection="0"/>
    <xf numFmtId="172" fontId="40" fillId="64" borderId="101" applyNumberFormat="0" applyAlignment="0" applyProtection="0"/>
    <xf numFmtId="172" fontId="40" fillId="64" borderId="101" applyNumberFormat="0" applyAlignment="0" applyProtection="0"/>
    <xf numFmtId="173" fontId="40" fillId="64" borderId="101" applyNumberFormat="0" applyAlignment="0" applyProtection="0"/>
    <xf numFmtId="172" fontId="40" fillId="64" borderId="101" applyNumberFormat="0" applyAlignment="0" applyProtection="0"/>
    <xf numFmtId="172" fontId="40" fillId="64" borderId="101" applyNumberFormat="0" applyAlignment="0" applyProtection="0"/>
    <xf numFmtId="173" fontId="40" fillId="64" borderId="101" applyNumberFormat="0" applyAlignment="0" applyProtection="0"/>
    <xf numFmtId="172"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73"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72"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72"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73" fontId="26" fillId="37" borderId="0"/>
    <xf numFmtId="0" fontId="2" fillId="0" borderId="0">
      <alignment vertical="center"/>
    </xf>
    <xf numFmtId="43" fontId="1" fillId="0" borderId="0" applyFont="0" applyFill="0" applyBorder="0" applyAlignment="0" applyProtection="0"/>
    <xf numFmtId="0" fontId="129" fillId="0" borderId="0"/>
  </cellStyleXfs>
  <cellXfs count="903">
    <xf numFmtId="0" fontId="0" fillId="0" borderId="0" xfId="0"/>
    <xf numFmtId="0" fontId="4" fillId="0" borderId="0" xfId="0" applyFont="1"/>
    <xf numFmtId="0" fontId="0" fillId="0" borderId="0" xfId="0" applyAlignment="1">
      <alignment wrapText="1"/>
    </xf>
    <xf numFmtId="171" fontId="3" fillId="0" borderId="0" xfId="0" applyNumberFormat="1" applyFont="1" applyAlignment="1">
      <alignment horizontal="center"/>
    </xf>
    <xf numFmtId="171" fontId="0" fillId="0" borderId="0" xfId="0" applyNumberFormat="1" applyAlignment="1">
      <alignment horizontal="center"/>
    </xf>
    <xf numFmtId="171"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19" xfId="1" applyNumberFormat="1" applyFont="1" applyFill="1" applyBorder="1" applyAlignment="1" applyProtection="1">
      <alignment horizontal="center" vertical="center" wrapText="1"/>
      <protection locked="0"/>
    </xf>
    <xf numFmtId="169"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9"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71" fontId="23" fillId="0" borderId="60" xfId="0" applyNumberFormat="1" applyFont="1" applyBorder="1" applyAlignment="1">
      <alignment horizontal="center"/>
    </xf>
    <xf numFmtId="171" fontId="23" fillId="0" borderId="58" xfId="0" applyNumberFormat="1" applyFont="1" applyBorder="1" applyAlignment="1">
      <alignment horizontal="center"/>
    </xf>
    <xf numFmtId="171" fontId="19" fillId="0" borderId="58" xfId="0" applyNumberFormat="1" applyFont="1" applyBorder="1" applyAlignment="1">
      <alignment horizontal="center"/>
    </xf>
    <xf numFmtId="171" fontId="23" fillId="0" borderId="61" xfId="0" applyNumberFormat="1" applyFont="1" applyBorder="1" applyAlignment="1">
      <alignment horizontal="center"/>
    </xf>
    <xf numFmtId="171"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9"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7" fontId="9" fillId="2" borderId="23" xfId="0" applyNumberFormat="1" applyFont="1" applyFill="1" applyBorder="1" applyAlignment="1" applyProtection="1">
      <alignment vertical="center"/>
      <protection locked="0"/>
    </xf>
    <xf numFmtId="197" fontId="17" fillId="2" borderId="23" xfId="0" applyNumberFormat="1" applyFont="1" applyFill="1" applyBorder="1" applyAlignment="1" applyProtection="1">
      <alignment vertical="center"/>
      <protection locked="0"/>
    </xf>
    <xf numFmtId="197" fontId="17" fillId="2" borderId="24"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197" fontId="0" fillId="36" borderId="18" xfId="0" applyNumberFormat="1" applyFill="1" applyBorder="1" applyAlignment="1">
      <alignment horizontal="center" vertical="center"/>
    </xf>
    <xf numFmtId="197" fontId="0" fillId="0" borderId="20" xfId="0" applyNumberFormat="1" applyBorder="1"/>
    <xf numFmtId="197" fontId="0" fillId="0" borderId="20" xfId="0" applyNumberFormat="1" applyBorder="1" applyAlignment="1">
      <alignment wrapText="1"/>
    </xf>
    <xf numFmtId="197" fontId="0" fillId="36" borderId="20" xfId="0" applyNumberFormat="1" applyFill="1" applyBorder="1" applyAlignment="1">
      <alignment horizontal="center" vertical="center" wrapText="1"/>
    </xf>
    <xf numFmtId="197" fontId="0" fillId="36" borderId="24" xfId="0" applyNumberFormat="1" applyFill="1" applyBorder="1" applyAlignment="1">
      <alignment horizontal="center" vertical="center" wrapText="1"/>
    </xf>
    <xf numFmtId="197" fontId="7" fillId="36" borderId="20" xfId="2" applyNumberFormat="1" applyFont="1" applyFill="1" applyBorder="1" applyAlignment="1" applyProtection="1">
      <alignment vertical="top"/>
    </xf>
    <xf numFmtId="197" fontId="7" fillId="3" borderId="20" xfId="2" applyNumberFormat="1" applyFont="1" applyFill="1" applyBorder="1" applyAlignment="1" applyProtection="1">
      <alignment vertical="top"/>
      <protection locked="0"/>
    </xf>
    <xf numFmtId="197" fontId="7" fillId="36" borderId="20" xfId="2" applyNumberFormat="1" applyFont="1" applyFill="1" applyBorder="1" applyAlignment="1" applyProtection="1">
      <alignment vertical="top" wrapText="1"/>
    </xf>
    <xf numFmtId="197" fontId="7" fillId="3" borderId="20" xfId="2" applyNumberFormat="1" applyFont="1" applyFill="1" applyBorder="1" applyAlignment="1" applyProtection="1">
      <alignment vertical="top" wrapText="1"/>
      <protection locked="0"/>
    </xf>
    <xf numFmtId="197" fontId="7" fillId="36" borderId="20" xfId="2" applyNumberFormat="1" applyFont="1" applyFill="1" applyBorder="1" applyAlignment="1" applyProtection="1">
      <alignment vertical="top" wrapText="1"/>
      <protection locked="0"/>
    </xf>
    <xf numFmtId="197" fontId="7" fillId="36" borderId="24" xfId="2" applyNumberFormat="1" applyFont="1" applyFill="1" applyBorder="1" applyAlignment="1" applyProtection="1">
      <alignment vertical="top" wrapText="1"/>
    </xf>
    <xf numFmtId="197" fontId="4" fillId="0" borderId="3" xfId="0" applyNumberFormat="1" applyFont="1" applyBorder="1"/>
    <xf numFmtId="197" fontId="4" fillId="36" borderId="23" xfId="0" applyNumberFormat="1" applyFont="1" applyFill="1" applyBorder="1"/>
    <xf numFmtId="197" fontId="4" fillId="0" borderId="19" xfId="0" applyNumberFormat="1" applyFont="1" applyBorder="1"/>
    <xf numFmtId="197" fontId="4" fillId="0" borderId="20" xfId="0" applyNumberFormat="1" applyFont="1" applyBorder="1"/>
    <xf numFmtId="197" fontId="4" fillId="36" borderId="51" xfId="0" applyNumberFormat="1" applyFont="1" applyFill="1" applyBorder="1"/>
    <xf numFmtId="197" fontId="4" fillId="36" borderId="22" xfId="0" applyNumberFormat="1" applyFont="1" applyFill="1" applyBorder="1"/>
    <xf numFmtId="197" fontId="4" fillId="36" borderId="24" xfId="0" applyNumberFormat="1" applyFont="1" applyFill="1" applyBorder="1"/>
    <xf numFmtId="197" fontId="4" fillId="36" borderId="52"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3" xfId="16" applyNumberFormat="1" applyFont="1" applyFill="1" applyBorder="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3" xfId="1" applyNumberFormat="1" applyFont="1" applyFill="1" applyBorder="1" applyAlignment="1" applyProtection="1">
      <protection locked="0"/>
    </xf>
    <xf numFmtId="197" fontId="9" fillId="3" borderId="23" xfId="5" applyNumberFormat="1" applyFont="1" applyFill="1" applyBorder="1" applyProtection="1">
      <protection locked="0"/>
    </xf>
    <xf numFmtId="197" fontId="23" fillId="0" borderId="0" xfId="0" applyNumberFormat="1" applyFont="1"/>
    <xf numFmtId="0" fontId="4" fillId="0" borderId="26" xfId="0" applyFont="1" applyBorder="1" applyAlignment="1">
      <alignment horizontal="center" vertical="center"/>
    </xf>
    <xf numFmtId="197" fontId="4" fillId="0" borderId="8" xfId="0" applyNumberFormat="1" applyFont="1" applyBorder="1"/>
    <xf numFmtId="0" fontId="4" fillId="0" borderId="26" xfId="0" applyFont="1" applyBorder="1" applyAlignment="1">
      <alignment wrapText="1"/>
    </xf>
    <xf numFmtId="197" fontId="4" fillId="0" borderId="21" xfId="0" applyNumberFormat="1" applyFont="1" applyBorder="1"/>
    <xf numFmtId="197"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71" fontId="4" fillId="0" borderId="20" xfId="0" applyNumberFormat="1" applyFont="1" applyBorder="1"/>
    <xf numFmtId="0" fontId="9" fillId="0" borderId="16" xfId="0" applyFont="1" applyBorder="1" applyAlignment="1">
      <alignment horizontal="right" vertical="center" wrapText="1"/>
    </xf>
    <xf numFmtId="0" fontId="7" fillId="0" borderId="17" xfId="0" applyFont="1" applyBorder="1" applyAlignment="1">
      <alignment vertical="center" wrapText="1"/>
    </xf>
    <xf numFmtId="173" fontId="26" fillId="37" borderId="0" xfId="20"/>
    <xf numFmtId="173"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73" fontId="26" fillId="37" borderId="29" xfId="20" applyBorder="1"/>
    <xf numFmtId="173" fontId="26" fillId="37" borderId="110" xfId="20" applyBorder="1"/>
    <xf numFmtId="173" fontId="26" fillId="37" borderId="100" xfId="20" applyBorder="1"/>
    <xf numFmtId="173"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1" xfId="0" applyFont="1" applyFill="1" applyBorder="1" applyAlignment="1">
      <alignment horizontal="left"/>
    </xf>
    <xf numFmtId="0" fontId="14" fillId="3" borderId="112"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3" xfId="0" applyFont="1" applyBorder="1" applyAlignment="1">
      <alignment horizontal="center" vertical="center" wrapText="1"/>
    </xf>
    <xf numFmtId="0" fontId="6" fillId="3" borderId="114" xfId="0" applyFont="1" applyFill="1" applyBorder="1" applyAlignment="1">
      <alignment vertical="center"/>
    </xf>
    <xf numFmtId="0" fontId="4" fillId="3" borderId="21" xfId="0" applyFont="1" applyFill="1" applyBorder="1" applyAlignment="1">
      <alignment vertical="center"/>
    </xf>
    <xf numFmtId="0" fontId="4" fillId="0" borderId="115" xfId="0" applyFont="1" applyBorder="1" applyAlignment="1">
      <alignment horizontal="center" vertical="center"/>
    </xf>
    <xf numFmtId="0" fontId="6" fillId="0" borderId="23"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173" fontId="26" fillId="37" borderId="25" xfId="20" applyBorder="1"/>
    <xf numFmtId="0" fontId="7" fillId="0" borderId="16" xfId="11" applyFont="1" applyBorder="1" applyAlignment="1">
      <alignment vertical="center"/>
    </xf>
    <xf numFmtId="0" fontId="7" fillId="0" borderId="17" xfId="11" applyFont="1" applyBorder="1" applyAlignment="1">
      <alignment vertical="center"/>
    </xf>
    <xf numFmtId="0" fontId="0" fillId="0" borderId="115" xfId="0" applyBorder="1"/>
    <xf numFmtId="0" fontId="0" fillId="0" borderId="22" xfId="0" applyBorder="1"/>
    <xf numFmtId="0" fontId="6" fillId="36" borderId="116"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5"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3" xfId="0" applyFont="1" applyFill="1" applyBorder="1" applyAlignment="1">
      <alignment horizontal="left" vertical="center" wrapText="1"/>
    </xf>
    <xf numFmtId="0" fontId="4" fillId="0" borderId="115"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5"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5" xfId="0" applyFont="1" applyBorder="1" applyAlignment="1">
      <alignment horizontal="center" vertical="center" wrapText="1"/>
    </xf>
    <xf numFmtId="3" fontId="21" fillId="36" borderId="98"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5"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9"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9" fontId="113" fillId="79" borderId="98" xfId="948" applyNumberFormat="1" applyFont="1" applyFill="1" applyBorder="1" applyAlignment="1" applyProtection="1">
      <alignment horizontal="right" vertical="center"/>
    </xf>
    <xf numFmtId="169"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9" fontId="112" fillId="78" borderId="97" xfId="948" applyNumberFormat="1" applyFont="1" applyFill="1" applyBorder="1" applyAlignment="1" applyProtection="1">
      <alignment horizontal="right" vertical="center"/>
      <protection locked="0"/>
    </xf>
    <xf numFmtId="169"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168"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5"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3" xfId="0" applyFont="1" applyBorder="1"/>
    <xf numFmtId="0" fontId="4" fillId="0" borderId="24" xfId="0" applyFont="1" applyBorder="1"/>
    <xf numFmtId="0" fontId="9" fillId="0" borderId="113" xfId="0" applyFont="1" applyBorder="1"/>
    <xf numFmtId="0" fontId="9" fillId="0" borderId="113" xfId="0" applyFont="1" applyBorder="1" applyAlignment="1">
      <alignment wrapText="1"/>
    </xf>
    <xf numFmtId="0" fontId="10" fillId="0" borderId="18" xfId="0" applyFont="1" applyBorder="1" applyAlignment="1">
      <alignment horizontal="center"/>
    </xf>
    <xf numFmtId="0" fontId="10" fillId="0" borderId="113"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5"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7" fontId="4" fillId="0" borderId="98" xfId="0" applyNumberFormat="1" applyFont="1" applyBorder="1" applyAlignment="1" applyProtection="1">
      <alignment vertical="center" wrapText="1"/>
      <protection locked="0"/>
    </xf>
    <xf numFmtId="197" fontId="4" fillId="0" borderId="113" xfId="0" applyNumberFormat="1" applyFont="1" applyBorder="1" applyAlignment="1" applyProtection="1">
      <alignment vertical="center" wrapText="1"/>
      <protection locked="0"/>
    </xf>
    <xf numFmtId="0" fontId="9" fillId="2" borderId="115" xfId="0" applyFont="1" applyFill="1" applyBorder="1" applyAlignment="1">
      <alignment horizontal="right" vertical="center"/>
    </xf>
    <xf numFmtId="0" fontId="9" fillId="2" borderId="98" xfId="0" applyFont="1" applyFill="1" applyBorder="1" applyAlignment="1">
      <alignment vertical="center"/>
    </xf>
    <xf numFmtId="197" fontId="9" fillId="2" borderId="98" xfId="0" applyNumberFormat="1" applyFont="1" applyFill="1" applyBorder="1" applyAlignment="1" applyProtection="1">
      <alignment vertical="center"/>
      <protection locked="0"/>
    </xf>
    <xf numFmtId="197" fontId="17" fillId="2" borderId="98" xfId="0" applyNumberFormat="1" applyFont="1" applyFill="1" applyBorder="1" applyAlignment="1" applyProtection="1">
      <alignment vertical="center"/>
      <protection locked="0"/>
    </xf>
    <xf numFmtId="197" fontId="17" fillId="2" borderId="113" xfId="0" applyNumberFormat="1" applyFont="1" applyFill="1" applyBorder="1" applyAlignment="1" applyProtection="1">
      <alignment vertical="center"/>
      <protection locked="0"/>
    </xf>
    <xf numFmtId="197" fontId="9" fillId="2" borderId="113" xfId="0" applyNumberFormat="1" applyFont="1" applyFill="1" applyBorder="1" applyAlignment="1" applyProtection="1">
      <alignment vertical="center"/>
      <protection locked="0"/>
    </xf>
    <xf numFmtId="0" fontId="15" fillId="0" borderId="115" xfId="0" applyFont="1" applyBorder="1" applyAlignment="1">
      <alignment horizontal="center" vertical="center" wrapText="1"/>
    </xf>
    <xf numFmtId="14" fontId="4" fillId="0" borderId="0" xfId="0" applyNumberFormat="1" applyFont="1"/>
    <xf numFmtId="10" fontId="4" fillId="0" borderId="98" xfId="20961" applyNumberFormat="1" applyFont="1" applyBorder="1" applyAlignment="1" applyProtection="1">
      <alignment vertical="center" wrapText="1"/>
      <protection locked="0"/>
    </xf>
    <xf numFmtId="10" fontId="4" fillId="0" borderId="113" xfId="20961" applyNumberFormat="1" applyFont="1" applyBorder="1" applyAlignment="1" applyProtection="1">
      <alignment vertical="center" wrapText="1"/>
      <protection locked="0"/>
    </xf>
    <xf numFmtId="0" fontId="4" fillId="3" borderId="54" xfId="0" applyFont="1" applyFill="1" applyBorder="1"/>
    <xf numFmtId="0" fontId="4" fillId="3" borderId="118" xfId="0" applyFont="1" applyFill="1" applyBorder="1" applyAlignment="1">
      <alignment wrapText="1"/>
    </xf>
    <xf numFmtId="0" fontId="4" fillId="3" borderId="119"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5" xfId="0" applyFont="1" applyBorder="1"/>
    <xf numFmtId="0" fontId="4" fillId="0" borderId="98" xfId="0" applyFont="1" applyBorder="1" applyAlignment="1">
      <alignment wrapText="1"/>
    </xf>
    <xf numFmtId="169" fontId="4" fillId="0" borderId="98" xfId="7" applyNumberFormat="1" applyFont="1" applyBorder="1"/>
    <xf numFmtId="169" fontId="4" fillId="0" borderId="113" xfId="7" applyNumberFormat="1" applyFont="1" applyBorder="1"/>
    <xf numFmtId="0" fontId="14" fillId="0" borderId="98" xfId="0" applyFont="1" applyBorder="1" applyAlignment="1">
      <alignment horizontal="left" wrapText="1" indent="2"/>
    </xf>
    <xf numFmtId="173" fontId="26" fillId="37" borderId="98" xfId="20" applyBorder="1"/>
    <xf numFmtId="169" fontId="4" fillId="0" borderId="98" xfId="7" applyNumberFormat="1" applyFont="1" applyBorder="1" applyAlignment="1">
      <alignment vertical="center"/>
    </xf>
    <xf numFmtId="0" fontId="6" fillId="0" borderId="115" xfId="0" applyFont="1" applyBorder="1"/>
    <xf numFmtId="0" fontId="6" fillId="0" borderId="98" xfId="0" applyFont="1" applyBorder="1" applyAlignment="1">
      <alignment wrapText="1"/>
    </xf>
    <xf numFmtId="169" fontId="6" fillId="0" borderId="113" xfId="7" applyNumberFormat="1" applyFont="1" applyBorder="1"/>
    <xf numFmtId="0" fontId="3" fillId="3" borderId="63"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92" xfId="7" applyNumberFormat="1" applyFont="1" applyFill="1" applyBorder="1"/>
    <xf numFmtId="169" fontId="4" fillId="0" borderId="98" xfId="7" applyNumberFormat="1" applyFont="1" applyFill="1" applyBorder="1"/>
    <xf numFmtId="169" fontId="4" fillId="0" borderId="98" xfId="7" applyNumberFormat="1" applyFont="1" applyFill="1" applyBorder="1" applyAlignment="1">
      <alignment vertical="center"/>
    </xf>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73" fontId="26" fillId="37" borderId="116"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7" fontId="17" fillId="2" borderId="94" xfId="0" applyNumberFormat="1" applyFont="1" applyFill="1" applyBorder="1" applyAlignment="1" applyProtection="1">
      <alignment vertical="center"/>
      <protection locked="0"/>
    </xf>
    <xf numFmtId="197" fontId="17" fillId="2" borderId="107"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9" xfId="0" applyFont="1" applyBorder="1" applyAlignment="1">
      <alignment horizontal="left" vertical="center" wrapText="1"/>
    </xf>
    <xf numFmtId="0" fontId="125" fillId="0" borderId="0" xfId="0" applyFont="1"/>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6" xfId="0" applyFont="1" applyBorder="1" applyAlignment="1">
      <alignment horizontal="left" vertical="center" wrapText="1"/>
    </xf>
    <xf numFmtId="0" fontId="132" fillId="0" borderId="136" xfId="0" applyFont="1" applyBorder="1" applyAlignment="1">
      <alignment horizontal="left" vertical="center" wrapText="1"/>
    </xf>
    <xf numFmtId="0" fontId="133" fillId="3" borderId="136" xfId="0" applyFont="1" applyFill="1" applyBorder="1" applyAlignment="1">
      <alignment horizontal="left" vertical="center" wrapText="1" indent="1"/>
    </xf>
    <xf numFmtId="0" fontId="132" fillId="3" borderId="136" xfId="0" applyFont="1" applyFill="1" applyBorder="1" applyAlignment="1">
      <alignment horizontal="left" vertical="center" wrapText="1"/>
    </xf>
    <xf numFmtId="0" fontId="132" fillId="3" borderId="137" xfId="0" applyFont="1" applyFill="1" applyBorder="1" applyAlignment="1">
      <alignment horizontal="left" vertical="center" wrapText="1"/>
    </xf>
    <xf numFmtId="0" fontId="133" fillId="0" borderId="136"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8" xfId="0" applyFont="1" applyFill="1" applyBorder="1" applyAlignment="1">
      <alignment horizontal="left" vertical="center" wrapText="1"/>
    </xf>
    <xf numFmtId="0" fontId="131" fillId="3" borderId="139" xfId="21414" applyFont="1" applyFill="1" applyBorder="1" applyAlignment="1">
      <alignment horizontal="left" vertical="center" wrapText="1" indent="1"/>
    </xf>
    <xf numFmtId="0" fontId="131" fillId="3" borderId="136" xfId="0" applyFont="1" applyFill="1" applyBorder="1" applyAlignment="1">
      <alignment horizontal="left" vertical="center" wrapText="1" indent="1"/>
    </xf>
    <xf numFmtId="0" fontId="131" fillId="0" borderId="139" xfId="21414" applyFont="1" applyBorder="1" applyAlignment="1">
      <alignment horizontal="left" vertical="center" wrapText="1" indent="1"/>
    </xf>
    <xf numFmtId="0" fontId="131" fillId="0" borderId="136" xfId="0" applyFont="1" applyBorder="1" applyAlignment="1">
      <alignment horizontal="left" vertical="center" wrapText="1" indent="1"/>
    </xf>
    <xf numFmtId="0" fontId="131" fillId="0" borderId="137" xfId="0" applyFont="1" applyBorder="1" applyAlignment="1">
      <alignment horizontal="left" vertical="center" wrapText="1" indent="1"/>
    </xf>
    <xf numFmtId="0" fontId="132" fillId="0" borderId="139" xfId="21414" applyFont="1" applyBorder="1" applyAlignment="1">
      <alignment horizontal="left" vertical="center" wrapText="1"/>
    </xf>
    <xf numFmtId="0" fontId="132" fillId="3" borderId="139" xfId="21414" applyFont="1" applyFill="1" applyBorder="1" applyAlignment="1">
      <alignment horizontal="left" vertical="center" wrapText="1"/>
    </xf>
    <xf numFmtId="0" fontId="134" fillId="0" borderId="139" xfId="21414" applyFont="1" applyBorder="1" applyAlignment="1">
      <alignment horizontal="center" vertical="center" wrapText="1"/>
    </xf>
    <xf numFmtId="0" fontId="135" fillId="0" borderId="139" xfId="0" applyFont="1" applyBorder="1" applyAlignment="1">
      <alignment horizontal="left"/>
    </xf>
    <xf numFmtId="0" fontId="132" fillId="0" borderId="139" xfId="0" applyFont="1" applyBorder="1" applyAlignment="1">
      <alignment horizontal="left" vertical="center" wrapText="1"/>
    </xf>
    <xf numFmtId="0" fontId="0" fillId="0" borderId="0" xfId="0" applyAlignment="1">
      <alignment horizontal="left" vertical="center"/>
    </xf>
    <xf numFmtId="0" fontId="9" fillId="0" borderId="139" xfId="0" applyFont="1" applyBorder="1" applyAlignment="1">
      <alignment horizontal="center" vertical="center" wrapText="1"/>
    </xf>
    <xf numFmtId="0" fontId="132" fillId="0" borderId="144" xfId="0" applyFont="1" applyBorder="1" applyAlignment="1">
      <alignment horizontal="justify" vertical="center" wrapText="1"/>
    </xf>
    <xf numFmtId="0" fontId="131" fillId="0" borderId="138" xfId="0" applyFont="1" applyBorder="1" applyAlignment="1">
      <alignment horizontal="left" vertical="center" wrapText="1" indent="1"/>
    </xf>
    <xf numFmtId="0" fontId="132" fillId="0" borderId="136" xfId="0" applyFont="1" applyBorder="1" applyAlignment="1">
      <alignment horizontal="justify" vertical="center" wrapText="1"/>
    </xf>
    <xf numFmtId="0" fontId="130" fillId="0" borderId="136" xfId="0" applyFont="1" applyBorder="1" applyAlignment="1">
      <alignment horizontal="justify" vertical="center" wrapText="1"/>
    </xf>
    <xf numFmtId="0" fontId="132" fillId="3" borderId="136" xfId="0" applyFont="1" applyFill="1" applyBorder="1" applyAlignment="1">
      <alignment horizontal="justify" vertical="center" wrapText="1"/>
    </xf>
    <xf numFmtId="0" fontId="132" fillId="0" borderId="137" xfId="0" applyFont="1" applyBorder="1" applyAlignment="1">
      <alignment horizontal="justify" vertical="center" wrapText="1"/>
    </xf>
    <xf numFmtId="0" fontId="132" fillId="0" borderId="138" xfId="0" applyFont="1" applyBorder="1" applyAlignment="1">
      <alignment horizontal="justify" vertical="center" wrapText="1"/>
    </xf>
    <xf numFmtId="0" fontId="132" fillId="0" borderId="139" xfId="21414" applyFont="1" applyBorder="1" applyAlignment="1">
      <alignment horizontal="justify" vertical="center" wrapText="1"/>
    </xf>
    <xf numFmtId="0" fontId="133" fillId="0" borderId="130" xfId="0" applyFont="1" applyBorder="1" applyAlignment="1">
      <alignment horizontal="left" vertical="center" wrapText="1" indent="1"/>
    </xf>
    <xf numFmtId="0" fontId="130" fillId="0" borderId="136" xfId="0" applyFont="1" applyBorder="1" applyAlignment="1">
      <alignment vertical="center" wrapText="1"/>
    </xf>
    <xf numFmtId="0" fontId="132" fillId="0" borderId="136" xfId="0" applyFont="1" applyBorder="1" applyAlignment="1">
      <alignment vertical="center" wrapText="1"/>
    </xf>
    <xf numFmtId="0" fontId="132" fillId="0" borderId="139" xfId="21414" applyFont="1" applyBorder="1" applyAlignment="1">
      <alignment vertical="center" wrapText="1"/>
    </xf>
    <xf numFmtId="0" fontId="9" fillId="0" borderId="113" xfId="0" applyFont="1" applyBorder="1" applyAlignment="1">
      <alignment horizontal="center" vertical="center" wrapText="1"/>
    </xf>
    <xf numFmtId="0" fontId="0" fillId="0" borderId="139" xfId="0" applyBorder="1" applyAlignment="1">
      <alignment horizontal="center"/>
    </xf>
    <xf numFmtId="0" fontId="15" fillId="83" borderId="139" xfId="0" applyFont="1" applyFill="1" applyBorder="1" applyAlignment="1">
      <alignment vertical="center" wrapText="1"/>
    </xf>
    <xf numFmtId="197" fontId="9" fillId="0" borderId="139" xfId="0" applyNumberFormat="1" applyFont="1" applyBorder="1" applyAlignment="1">
      <alignment horizontal="right"/>
    </xf>
    <xf numFmtId="197" fontId="9" fillId="36" borderId="139" xfId="0" applyNumberFormat="1" applyFont="1" applyFill="1" applyBorder="1" applyAlignment="1">
      <alignment horizontal="right"/>
    </xf>
    <xf numFmtId="197" fontId="9" fillId="36" borderId="113" xfId="0" applyNumberFormat="1" applyFont="1" applyFill="1" applyBorder="1" applyAlignment="1">
      <alignment horizontal="right"/>
    </xf>
    <xf numFmtId="0" fontId="15" fillId="0" borderId="139" xfId="0" applyFont="1" applyBorder="1" applyAlignment="1">
      <alignment vertical="center" wrapText="1"/>
    </xf>
    <xf numFmtId="0" fontId="7" fillId="0" borderId="139" xfId="0" applyFont="1" applyBorder="1" applyAlignment="1">
      <alignment horizontal="left" vertical="center" wrapText="1" indent="1"/>
    </xf>
    <xf numFmtId="0" fontId="3" fillId="0" borderId="139" xfId="0" applyFont="1" applyBorder="1" applyAlignment="1">
      <alignment vertical="center"/>
    </xf>
    <xf numFmtId="0" fontId="136" fillId="0" borderId="139" xfId="0" applyFont="1" applyBorder="1" applyAlignment="1" applyProtection="1">
      <alignment horizontal="left" vertical="center" indent="1"/>
      <protection locked="0"/>
    </xf>
    <xf numFmtId="0" fontId="137" fillId="0" borderId="139" xfId="0" applyFont="1" applyBorder="1" applyAlignment="1" applyProtection="1">
      <alignment horizontal="left" vertical="center" indent="3"/>
      <protection locked="0"/>
    </xf>
    <xf numFmtId="0" fontId="138" fillId="0" borderId="139" xfId="0" applyFont="1" applyBorder="1" applyAlignment="1" applyProtection="1">
      <alignment horizontal="left" vertical="center" indent="3"/>
      <protection locked="0"/>
    </xf>
    <xf numFmtId="0" fontId="3" fillId="0" borderId="139" xfId="0" applyFont="1" applyBorder="1"/>
    <xf numFmtId="0" fontId="0" fillId="0" borderId="0" xfId="0" applyAlignment="1">
      <alignment horizontal="center"/>
    </xf>
    <xf numFmtId="197" fontId="9" fillId="0" borderId="0" xfId="0" applyNumberFormat="1" applyFont="1" applyAlignment="1">
      <alignment horizontal="right"/>
    </xf>
    <xf numFmtId="0" fontId="0" fillId="0" borderId="139" xfId="0" applyBorder="1" applyAlignment="1">
      <alignment horizontal="center" vertical="center"/>
    </xf>
    <xf numFmtId="0" fontId="0" fillId="0" borderId="143" xfId="0" applyBorder="1" applyAlignment="1">
      <alignment horizontal="center"/>
    </xf>
    <xf numFmtId="0" fontId="131" fillId="0" borderId="143" xfId="21414" applyFont="1" applyBorder="1" applyAlignment="1">
      <alignment horizontal="left" vertical="center" wrapText="1" indent="1"/>
    </xf>
    <xf numFmtId="0" fontId="131" fillId="3" borderId="139" xfId="0" applyFont="1" applyFill="1" applyBorder="1" applyAlignment="1">
      <alignment horizontal="left" vertical="center" wrapText="1" indent="1"/>
    </xf>
    <xf numFmtId="171" fontId="23" fillId="0" borderId="139" xfId="0" applyNumberFormat="1" applyFont="1" applyBorder="1" applyAlignment="1">
      <alignment horizontal="center"/>
    </xf>
    <xf numFmtId="0" fontId="23" fillId="0" borderId="139" xfId="0" applyFont="1" applyBorder="1"/>
    <xf numFmtId="0" fontId="131" fillId="0" borderId="139" xfId="0" applyFont="1" applyBorder="1" applyAlignment="1">
      <alignment horizontal="left" vertical="center" wrapText="1" indent="1"/>
    </xf>
    <xf numFmtId="0" fontId="133" fillId="3" borderId="139" xfId="0" applyFont="1" applyFill="1" applyBorder="1" applyAlignment="1">
      <alignment horizontal="left" vertical="center" wrapText="1" indent="1"/>
    </xf>
    <xf numFmtId="0" fontId="133" fillId="0" borderId="139" xfId="0" applyFont="1" applyBorder="1" applyAlignment="1">
      <alignment horizontal="left" vertical="center" wrapText="1" indent="1"/>
    </xf>
    <xf numFmtId="171" fontId="22" fillId="0" borderId="56" xfId="0" applyNumberFormat="1" applyFont="1" applyBorder="1" applyAlignment="1">
      <alignment horizontal="center"/>
    </xf>
    <xf numFmtId="171" fontId="18" fillId="0" borderId="58" xfId="0" applyNumberFormat="1" applyFont="1" applyBorder="1" applyAlignment="1">
      <alignment horizontal="center"/>
    </xf>
    <xf numFmtId="0" fontId="120" fillId="0" borderId="139" xfId="0" applyFont="1" applyBorder="1"/>
    <xf numFmtId="49" fontId="122" fillId="0" borderId="139" xfId="5" applyNumberFormat="1" applyFont="1" applyBorder="1" applyAlignment="1" applyProtection="1">
      <alignment horizontal="right" vertical="center"/>
      <protection locked="0"/>
    </xf>
    <xf numFmtId="0" fontId="121" fillId="3" borderId="139" xfId="13" applyFont="1" applyFill="1" applyBorder="1" applyAlignment="1" applyProtection="1">
      <alignment horizontal="left" vertical="center" wrapText="1"/>
      <protection locked="0"/>
    </xf>
    <xf numFmtId="49" fontId="121" fillId="3" borderId="139" xfId="5" applyNumberFormat="1" applyFont="1" applyFill="1" applyBorder="1" applyAlignment="1" applyProtection="1">
      <alignment horizontal="right" vertical="center"/>
      <protection locked="0"/>
    </xf>
    <xf numFmtId="0" fontId="121" fillId="0" borderId="139" xfId="13" applyFont="1" applyBorder="1" applyAlignment="1" applyProtection="1">
      <alignment horizontal="left" vertical="center" wrapText="1"/>
      <protection locked="0"/>
    </xf>
    <xf numFmtId="49" fontId="121" fillId="0" borderId="139" xfId="5" applyNumberFormat="1" applyFont="1" applyBorder="1" applyAlignment="1" applyProtection="1">
      <alignment horizontal="right" vertical="center"/>
      <protection locked="0"/>
    </xf>
    <xf numFmtId="0" fontId="123" fillId="0" borderId="139" xfId="13" applyFont="1" applyBorder="1" applyAlignment="1" applyProtection="1">
      <alignment horizontal="left" vertical="center" wrapText="1"/>
      <protection locked="0"/>
    </xf>
    <xf numFmtId="0" fontId="120" fillId="0" borderId="139" xfId="0" applyFont="1" applyBorder="1" applyAlignment="1">
      <alignment horizontal="center" vertical="center" wrapText="1"/>
    </xf>
    <xf numFmtId="43" fontId="116" fillId="36" borderId="147" xfId="21413" applyFont="1" applyFill="1" applyBorder="1"/>
    <xf numFmtId="0" fontId="116" fillId="0" borderId="147" xfId="0" applyFont="1" applyBorder="1"/>
    <xf numFmtId="0" fontId="116" fillId="0" borderId="147" xfId="0" applyFont="1" applyBorder="1" applyAlignment="1">
      <alignment horizontal="left" indent="8"/>
    </xf>
    <xf numFmtId="0" fontId="116" fillId="0" borderId="147" xfId="0" applyFont="1" applyBorder="1" applyAlignment="1">
      <alignment wrapText="1"/>
    </xf>
    <xf numFmtId="0" fontId="119" fillId="0" borderId="147" xfId="0" applyFont="1" applyBorder="1"/>
    <xf numFmtId="49" fontId="122" fillId="0" borderId="147" xfId="5" applyNumberFormat="1" applyFont="1" applyBorder="1" applyAlignment="1" applyProtection="1">
      <alignment horizontal="right" vertical="center" wrapText="1"/>
      <protection locked="0"/>
    </xf>
    <xf numFmtId="0" fontId="121" fillId="3" borderId="147" xfId="13" applyFont="1" applyFill="1" applyBorder="1" applyAlignment="1" applyProtection="1">
      <alignment horizontal="left" vertical="center" wrapText="1"/>
      <protection locked="0"/>
    </xf>
    <xf numFmtId="49" fontId="121" fillId="3" borderId="147" xfId="5" applyNumberFormat="1" applyFont="1" applyFill="1" applyBorder="1" applyAlignment="1" applyProtection="1">
      <alignment horizontal="right" vertical="center" wrapText="1"/>
      <protection locked="0"/>
    </xf>
    <xf numFmtId="0" fontId="121" fillId="0" borderId="147" xfId="13" applyFont="1" applyBorder="1" applyAlignment="1" applyProtection="1">
      <alignment horizontal="left" vertical="center" wrapText="1"/>
      <protection locked="0"/>
    </xf>
    <xf numFmtId="49" fontId="121" fillId="0" borderId="147" xfId="5" applyNumberFormat="1" applyFont="1" applyBorder="1" applyAlignment="1" applyProtection="1">
      <alignment horizontal="right" vertical="center" wrapText="1"/>
      <protection locked="0"/>
    </xf>
    <xf numFmtId="0" fontId="123" fillId="0" borderId="147" xfId="13" applyFont="1" applyBorder="1" applyAlignment="1" applyProtection="1">
      <alignment horizontal="left" vertical="center" wrapText="1"/>
      <protection locked="0"/>
    </xf>
    <xf numFmtId="0" fontId="116" fillId="0" borderId="147"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7"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7" xfId="0" applyFont="1" applyBorder="1" applyAlignment="1">
      <alignment horizontal="left" vertical="center" wrapText="1"/>
    </xf>
    <xf numFmtId="0" fontId="120" fillId="0" borderId="147" xfId="0" applyFont="1" applyBorder="1"/>
    <xf numFmtId="0" fontId="119" fillId="0" borderId="147" xfId="0" applyFont="1" applyBorder="1" applyAlignment="1">
      <alignment horizontal="left" wrapText="1" indent="1"/>
    </xf>
    <xf numFmtId="0" fontId="119" fillId="0" borderId="147" xfId="0" applyFont="1" applyBorder="1" applyAlignment="1">
      <alignment horizontal="left" vertical="center" indent="1"/>
    </xf>
    <xf numFmtId="0" fontId="117" fillId="0" borderId="147" xfId="0" applyFont="1" applyBorder="1"/>
    <xf numFmtId="0" fontId="116" fillId="0" borderId="147" xfId="0" applyFont="1" applyBorder="1" applyAlignment="1">
      <alignment horizontal="left" wrapText="1" indent="1"/>
    </xf>
    <xf numFmtId="0" fontId="116" fillId="0" borderId="147" xfId="0" applyFont="1" applyBorder="1" applyAlignment="1">
      <alignment horizontal="left" indent="1"/>
    </xf>
    <xf numFmtId="0" fontId="116" fillId="0" borderId="147" xfId="0" applyFont="1" applyBorder="1" applyAlignment="1">
      <alignment horizontal="left" wrapText="1" indent="4"/>
    </xf>
    <xf numFmtId="0" fontId="116" fillId="0" borderId="147" xfId="0" applyFont="1" applyBorder="1" applyAlignment="1">
      <alignment horizontal="left" indent="3"/>
    </xf>
    <xf numFmtId="0" fontId="119" fillId="0" borderId="147" xfId="0" applyFont="1" applyBorder="1" applyAlignment="1">
      <alignment horizontal="left" indent="1"/>
    </xf>
    <xf numFmtId="0" fontId="120" fillId="0" borderId="147" xfId="0" applyFont="1" applyBorder="1" applyAlignment="1">
      <alignment horizontal="center" vertical="center" wrapText="1"/>
    </xf>
    <xf numFmtId="0" fontId="116" fillId="80" borderId="147" xfId="0" applyFont="1" applyFill="1" applyBorder="1"/>
    <xf numFmtId="0" fontId="119" fillId="0" borderId="7" xfId="0" applyFont="1" applyBorder="1"/>
    <xf numFmtId="0" fontId="116" fillId="0" borderId="147" xfId="0" applyFont="1" applyBorder="1" applyAlignment="1">
      <alignment horizontal="left" wrapText="1" indent="2"/>
    </xf>
    <xf numFmtId="0" fontId="116" fillId="0" borderId="147" xfId="0" applyFont="1" applyBorder="1" applyAlignment="1">
      <alignment horizontal="left" wrapText="1"/>
    </xf>
    <xf numFmtId="0" fontId="119" fillId="84" borderId="147" xfId="0" applyFont="1" applyFill="1" applyBorder="1"/>
    <xf numFmtId="0" fontId="116" fillId="0" borderId="147"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53" xfId="0" applyFont="1" applyBorder="1"/>
    <xf numFmtId="0" fontId="116" fillId="0" borderId="154" xfId="0" applyFont="1" applyBorder="1"/>
    <xf numFmtId="49" fontId="116" fillId="0" borderId="155" xfId="0" applyNumberFormat="1" applyFont="1" applyBorder="1" applyAlignment="1">
      <alignment horizontal="left" wrapText="1" indent="1"/>
    </xf>
    <xf numFmtId="49" fontId="116" fillId="0" borderId="153" xfId="0" applyNumberFormat="1" applyFont="1" applyBorder="1" applyAlignment="1">
      <alignment horizontal="left" wrapText="1" indent="1"/>
    </xf>
    <xf numFmtId="0" fontId="116" fillId="0" borderId="155" xfId="0" applyFont="1" applyBorder="1" applyAlignment="1">
      <alignment horizontal="left" wrapText="1" indent="1"/>
    </xf>
    <xf numFmtId="0" fontId="116" fillId="0" borderId="156" xfId="0" applyFont="1" applyBorder="1"/>
    <xf numFmtId="49" fontId="116" fillId="0" borderId="157" xfId="0" applyNumberFormat="1" applyFont="1" applyBorder="1" applyAlignment="1">
      <alignment horizontal="left" wrapText="1" indent="1"/>
    </xf>
    <xf numFmtId="49" fontId="116" fillId="0" borderId="156" xfId="0" applyNumberFormat="1" applyFont="1" applyBorder="1" applyAlignment="1">
      <alignment horizontal="left" wrapText="1" indent="1"/>
    </xf>
    <xf numFmtId="0" fontId="116" fillId="0" borderId="157" xfId="0" applyFont="1" applyBorder="1" applyAlignment="1">
      <alignment horizontal="left" wrapText="1" indent="1"/>
    </xf>
    <xf numFmtId="49" fontId="116" fillId="0" borderId="157" xfId="0" applyNumberFormat="1" applyFont="1" applyBorder="1" applyAlignment="1">
      <alignment horizontal="left" wrapText="1" indent="3"/>
    </xf>
    <xf numFmtId="49" fontId="116" fillId="0" borderId="156" xfId="0" applyNumberFormat="1" applyFont="1" applyBorder="1" applyAlignment="1">
      <alignment horizontal="left" wrapText="1" indent="3"/>
    </xf>
    <xf numFmtId="49" fontId="116" fillId="0" borderId="157" xfId="0" applyNumberFormat="1" applyFont="1" applyBorder="1" applyAlignment="1">
      <alignment horizontal="left" wrapText="1" indent="2"/>
    </xf>
    <xf numFmtId="49" fontId="116" fillId="0" borderId="156" xfId="0" applyNumberFormat="1" applyFont="1" applyBorder="1" applyAlignment="1">
      <alignment horizontal="left" wrapText="1" indent="2"/>
    </xf>
    <xf numFmtId="49" fontId="116" fillId="0" borderId="157" xfId="0" applyNumberFormat="1" applyFont="1" applyBorder="1" applyAlignment="1">
      <alignment horizontal="left" vertical="top" wrapText="1" indent="2"/>
    </xf>
    <xf numFmtId="49" fontId="116" fillId="0" borderId="156" xfId="0" applyNumberFormat="1" applyFont="1" applyBorder="1" applyAlignment="1">
      <alignment horizontal="left" vertical="top" wrapText="1" indent="2"/>
    </xf>
    <xf numFmtId="0" fontId="116" fillId="81" borderId="156" xfId="0" applyFont="1" applyFill="1" applyBorder="1"/>
    <xf numFmtId="0" fontId="116" fillId="81" borderId="147" xfId="0" applyFont="1" applyFill="1" applyBorder="1"/>
    <xf numFmtId="0" fontId="116" fillId="81" borderId="157" xfId="0" applyFont="1" applyFill="1" applyBorder="1"/>
    <xf numFmtId="49" fontId="116" fillId="0" borderId="156" xfId="0" applyNumberFormat="1" applyFont="1" applyBorder="1" applyAlignment="1">
      <alignment horizontal="left" indent="1"/>
    </xf>
    <xf numFmtId="0" fontId="116" fillId="0" borderId="157" xfId="0" applyFont="1" applyBorder="1" applyAlignment="1">
      <alignment horizontal="left" indent="1"/>
    </xf>
    <xf numFmtId="49" fontId="116" fillId="0" borderId="157" xfId="0" applyNumberFormat="1" applyFont="1" applyBorder="1" applyAlignment="1">
      <alignment horizontal="left" indent="1"/>
    </xf>
    <xf numFmtId="49" fontId="116" fillId="0" borderId="157" xfId="0" applyNumberFormat="1" applyFont="1" applyBorder="1" applyAlignment="1">
      <alignment horizontal="left" indent="3"/>
    </xf>
    <xf numFmtId="49" fontId="116" fillId="0" borderId="156" xfId="0" applyNumberFormat="1" applyFont="1" applyBorder="1" applyAlignment="1">
      <alignment horizontal="left" indent="3"/>
    </xf>
    <xf numFmtId="0" fontId="116" fillId="0" borderId="157" xfId="0" applyFont="1" applyBorder="1" applyAlignment="1">
      <alignment horizontal="left" indent="2"/>
    </xf>
    <xf numFmtId="0" fontId="116" fillId="0" borderId="156" xfId="0" applyFont="1" applyBorder="1" applyAlignment="1">
      <alignment horizontal="left" indent="2"/>
    </xf>
    <xf numFmtId="0" fontId="116" fillId="0" borderId="156" xfId="0" applyFont="1" applyBorder="1" applyAlignment="1">
      <alignment horizontal="left" indent="1"/>
    </xf>
    <xf numFmtId="0" fontId="119" fillId="0" borderId="69" xfId="0" applyFont="1" applyBorder="1"/>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7" xfId="0" applyFont="1" applyBorder="1" applyAlignment="1">
      <alignment horizontal="left" vertical="center" wrapText="1"/>
    </xf>
    <xf numFmtId="0" fontId="116" fillId="0" borderId="147" xfId="0" applyFont="1" applyBorder="1" applyAlignment="1">
      <alignment horizontal="center" vertical="center" textRotation="90" wrapText="1"/>
    </xf>
    <xf numFmtId="0" fontId="9" fillId="0" borderId="0" xfId="0" applyFont="1" applyAlignment="1">
      <alignment wrapText="1"/>
    </xf>
    <xf numFmtId="0" fontId="121" fillId="0" borderId="147" xfId="0" applyFont="1" applyBorder="1"/>
    <xf numFmtId="0" fontId="119" fillId="0" borderId="147"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4" xfId="0" applyFont="1" applyBorder="1" applyAlignment="1">
      <alignment horizontal="left" vertical="center" wrapText="1" indent="1" readingOrder="1"/>
    </xf>
    <xf numFmtId="0" fontId="121" fillId="0" borderId="147" xfId="0" applyFont="1" applyBorder="1" applyAlignment="1">
      <alignment horizontal="left" indent="3"/>
    </xf>
    <xf numFmtId="0" fontId="119" fillId="0" borderId="147" xfId="0" applyFont="1" applyBorder="1" applyAlignment="1">
      <alignment vertical="center" wrapText="1" readingOrder="1"/>
    </xf>
    <xf numFmtId="0" fontId="121" fillId="0" borderId="147" xfId="0" applyFont="1" applyBorder="1" applyAlignment="1">
      <alignment horizontal="left" indent="2"/>
    </xf>
    <xf numFmtId="0" fontId="121" fillId="0" borderId="148" xfId="0" applyFont="1" applyBorder="1"/>
    <xf numFmtId="0" fontId="116" fillId="0" borderId="135" xfId="0" applyFont="1" applyBorder="1" applyAlignment="1">
      <alignment vertical="center" wrapText="1" readingOrder="1"/>
    </xf>
    <xf numFmtId="0" fontId="121" fillId="0" borderId="148" xfId="0" applyFont="1" applyBorder="1" applyAlignment="1">
      <alignment horizontal="left" indent="2"/>
    </xf>
    <xf numFmtId="0" fontId="116" fillId="0" borderId="134" xfId="0" applyFont="1" applyBorder="1" applyAlignment="1">
      <alignment vertical="center" wrapText="1" readingOrder="1"/>
    </xf>
    <xf numFmtId="0" fontId="116" fillId="0" borderId="133" xfId="0" applyFont="1" applyBorder="1" applyAlignment="1">
      <alignment vertical="center" wrapText="1" readingOrder="1"/>
    </xf>
    <xf numFmtId="0" fontId="139" fillId="0" borderId="7" xfId="0" applyFont="1" applyBorder="1"/>
    <xf numFmtId="0" fontId="106" fillId="0" borderId="147" xfId="0" applyFont="1" applyBorder="1" applyAlignment="1">
      <alignment vertical="center" wrapText="1"/>
    </xf>
    <xf numFmtId="0" fontId="106" fillId="0" borderId="147" xfId="0" applyFont="1" applyBorder="1" applyAlignment="1">
      <alignment horizontal="left" vertical="center" wrapText="1"/>
    </xf>
    <xf numFmtId="0" fontId="106" fillId="0" borderId="147" xfId="0" applyFont="1" applyBorder="1" applyAlignment="1">
      <alignment horizontal="left" indent="2"/>
    </xf>
    <xf numFmtId="0" fontId="106" fillId="0" borderId="147" xfId="0" applyFont="1" applyBorder="1" applyAlignment="1">
      <alignment horizontal="left" vertical="center" indent="1"/>
    </xf>
    <xf numFmtId="0" fontId="106" fillId="0" borderId="147" xfId="0" applyFont="1" applyBorder="1" applyAlignment="1">
      <alignment horizontal="left" vertical="center" wrapText="1" indent="1"/>
    </xf>
    <xf numFmtId="0" fontId="106" fillId="0" borderId="147" xfId="0" applyFont="1" applyBorder="1" applyAlignment="1">
      <alignment horizontal="right" vertical="center"/>
    </xf>
    <xf numFmtId="49" fontId="106" fillId="0" borderId="147" xfId="0" applyNumberFormat="1" applyFont="1" applyBorder="1" applyAlignment="1">
      <alignment horizontal="right" vertical="center"/>
    </xf>
    <xf numFmtId="0" fontId="106" fillId="0" borderId="148" xfId="0" applyFont="1" applyBorder="1" applyAlignment="1">
      <alignment horizontal="left" vertical="top" wrapText="1"/>
    </xf>
    <xf numFmtId="49" fontId="106" fillId="0" borderId="147" xfId="0" applyNumberFormat="1" applyFont="1" applyBorder="1" applyAlignment="1">
      <alignment vertical="top" wrapText="1"/>
    </xf>
    <xf numFmtId="49" fontId="106" fillId="0" borderId="147" xfId="0" applyNumberFormat="1" applyFont="1" applyBorder="1" applyAlignment="1">
      <alignment horizontal="left" vertical="top" wrapText="1" indent="2"/>
    </xf>
    <xf numFmtId="49" fontId="106" fillId="0" borderId="147" xfId="0" applyNumberFormat="1" applyFont="1" applyBorder="1" applyAlignment="1">
      <alignment horizontal="left" vertical="center" wrapText="1" indent="3"/>
    </xf>
    <xf numFmtId="49" fontId="106" fillId="0" borderId="147" xfId="0" applyNumberFormat="1" applyFont="1" applyBorder="1" applyAlignment="1">
      <alignment horizontal="left" wrapText="1" indent="2"/>
    </xf>
    <xf numFmtId="49" fontId="106" fillId="0" borderId="147" xfId="0" applyNumberFormat="1" applyFont="1" applyBorder="1" applyAlignment="1">
      <alignment horizontal="left" vertical="top" wrapText="1"/>
    </xf>
    <xf numFmtId="49" fontId="106" fillId="0" borderId="147" xfId="0" applyNumberFormat="1" applyFont="1" applyBorder="1" applyAlignment="1">
      <alignment horizontal="left" wrapText="1" indent="3"/>
    </xf>
    <xf numFmtId="49" fontId="106" fillId="0" borderId="147" xfId="0" applyNumberFormat="1" applyFont="1" applyBorder="1" applyAlignment="1">
      <alignment vertical="center"/>
    </xf>
    <xf numFmtId="49" fontId="106" fillId="0" borderId="147" xfId="0" applyNumberFormat="1" applyFont="1" applyBorder="1" applyAlignment="1">
      <alignment horizontal="left" indent="3"/>
    </xf>
    <xf numFmtId="0" fontId="106" fillId="0" borderId="147" xfId="0" applyFont="1" applyBorder="1" applyAlignment="1">
      <alignment horizontal="left" indent="1"/>
    </xf>
    <xf numFmtId="0" fontId="106" fillId="0" borderId="147" xfId="0" applyFont="1" applyBorder="1" applyAlignment="1">
      <alignment horizontal="left" wrapText="1" indent="2"/>
    </xf>
    <xf numFmtId="0" fontId="106" fillId="0" borderId="147" xfId="0" applyFont="1" applyBorder="1" applyAlignment="1">
      <alignment horizontal="left" vertical="top" wrapText="1"/>
    </xf>
    <xf numFmtId="0" fontId="105" fillId="0" borderId="7" xfId="0" applyFont="1" applyBorder="1" applyAlignment="1">
      <alignment wrapText="1"/>
    </xf>
    <xf numFmtId="0" fontId="106" fillId="0" borderId="147" xfId="0" applyFont="1" applyBorder="1" applyAlignment="1">
      <alignment horizontal="left" vertical="top" wrapText="1" indent="2"/>
    </xf>
    <xf numFmtId="0" fontId="106" fillId="0" borderId="147" xfId="0" applyFont="1" applyBorder="1" applyAlignment="1">
      <alignment horizontal="left" wrapText="1"/>
    </xf>
    <xf numFmtId="0" fontId="106" fillId="0" borderId="147" xfId="12672" applyFont="1" applyBorder="1" applyAlignment="1">
      <alignment horizontal="left" vertical="center" wrapText="1" indent="2"/>
    </xf>
    <xf numFmtId="0" fontId="106" fillId="0" borderId="147" xfId="0" applyFont="1" applyBorder="1" applyAlignment="1">
      <alignment wrapText="1"/>
    </xf>
    <xf numFmtId="0" fontId="106" fillId="0" borderId="147" xfId="0" applyFont="1" applyBorder="1"/>
    <xf numFmtId="0" fontId="106" fillId="0" borderId="147" xfId="12672" applyFont="1" applyBorder="1" applyAlignment="1">
      <alignment horizontal="left" vertical="center" wrapText="1"/>
    </xf>
    <xf numFmtId="0" fontId="105" fillId="0" borderId="147" xfId="0" applyFont="1" applyBorder="1" applyAlignment="1">
      <alignment wrapText="1"/>
    </xf>
    <xf numFmtId="0" fontId="106" fillId="0" borderId="149" xfId="0" applyFont="1" applyBorder="1" applyAlignment="1">
      <alignment horizontal="left" vertical="center" wrapText="1"/>
    </xf>
    <xf numFmtId="0" fontId="106" fillId="3" borderId="147" xfId="5" applyFont="1" applyFill="1" applyBorder="1" applyAlignment="1" applyProtection="1">
      <alignment horizontal="right" vertical="center"/>
      <protection locked="0"/>
    </xf>
    <xf numFmtId="2" fontId="106" fillId="3" borderId="147" xfId="5" applyNumberFormat="1" applyFont="1" applyFill="1" applyBorder="1" applyAlignment="1" applyProtection="1">
      <alignment horizontal="right" vertical="center"/>
      <protection locked="0"/>
    </xf>
    <xf numFmtId="0" fontId="106" fillId="0" borderId="147" xfId="0" applyFont="1" applyBorder="1" applyAlignment="1">
      <alignment vertical="center"/>
    </xf>
    <xf numFmtId="0" fontId="106" fillId="0" borderId="149" xfId="13" applyFont="1" applyBorder="1" applyAlignment="1" applyProtection="1">
      <alignment horizontal="left" vertical="top" wrapText="1"/>
      <protection locked="0"/>
    </xf>
    <xf numFmtId="0" fontId="106" fillId="0" borderId="150" xfId="13" applyFont="1" applyBorder="1" applyAlignment="1" applyProtection="1">
      <alignment horizontal="left" vertical="top" wrapText="1"/>
      <protection locked="0"/>
    </xf>
    <xf numFmtId="0" fontId="106" fillId="0" borderId="148"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8" xfId="0" applyFont="1" applyBorder="1" applyAlignment="1">
      <alignment horizontal="left" indent="2"/>
    </xf>
    <xf numFmtId="0" fontId="106" fillId="0" borderId="135" xfId="0" applyFont="1" applyBorder="1" applyAlignment="1">
      <alignment horizontal="left" vertical="center" wrapText="1" readingOrder="1"/>
    </xf>
    <xf numFmtId="0" fontId="106" fillId="0" borderId="147" xfId="0" applyFont="1" applyBorder="1" applyAlignment="1">
      <alignment horizontal="left" vertical="center" wrapText="1" readingOrder="1"/>
    </xf>
    <xf numFmtId="171"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73" fontId="26" fillId="37" borderId="63" xfId="20" applyBorder="1"/>
    <xf numFmtId="197" fontId="4" fillId="0" borderId="157" xfId="0" applyNumberFormat="1" applyFont="1" applyBorder="1" applyAlignment="1" applyProtection="1">
      <alignment vertical="center" wrapText="1"/>
      <protection locked="0"/>
    </xf>
    <xf numFmtId="197" fontId="4" fillId="0" borderId="147" xfId="0" applyNumberFormat="1" applyFont="1" applyBorder="1" applyAlignment="1" applyProtection="1">
      <alignment vertical="center" wrapText="1"/>
      <protection locked="0"/>
    </xf>
    <xf numFmtId="197" fontId="4" fillId="0" borderId="156" xfId="0" applyNumberFormat="1" applyFont="1" applyBorder="1" applyAlignment="1" applyProtection="1">
      <alignment vertical="center" wrapText="1"/>
      <protection locked="0"/>
    </xf>
    <xf numFmtId="10" fontId="4" fillId="0" borderId="157" xfId="20961" applyNumberFormat="1" applyFont="1" applyBorder="1" applyAlignment="1" applyProtection="1">
      <alignment vertical="center" wrapText="1"/>
      <protection locked="0"/>
    </xf>
    <xf numFmtId="10" fontId="4" fillId="0" borderId="147" xfId="20961"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97" fontId="17" fillId="2" borderId="157" xfId="0" applyNumberFormat="1" applyFont="1" applyFill="1" applyBorder="1" applyAlignment="1" applyProtection="1">
      <alignment vertical="center"/>
      <protection locked="0"/>
    </xf>
    <xf numFmtId="197" fontId="17" fillId="2" borderId="147" xfId="0" applyNumberFormat="1" applyFont="1" applyFill="1" applyBorder="1" applyAlignment="1" applyProtection="1">
      <alignment vertical="center"/>
      <protection locked="0"/>
    </xf>
    <xf numFmtId="197" fontId="17" fillId="2" borderId="156" xfId="0" applyNumberFormat="1" applyFont="1" applyFill="1" applyBorder="1" applyAlignment="1" applyProtection="1">
      <alignment vertical="center"/>
      <protection locked="0"/>
    </xf>
    <xf numFmtId="197" fontId="9" fillId="2" borderId="157" xfId="0" applyNumberFormat="1" applyFont="1" applyFill="1" applyBorder="1" applyAlignment="1" applyProtection="1">
      <alignment vertical="center"/>
      <protection locked="0"/>
    </xf>
    <xf numFmtId="197" fontId="9" fillId="2" borderId="147" xfId="0" applyNumberFormat="1" applyFont="1" applyFill="1" applyBorder="1" applyAlignment="1" applyProtection="1">
      <alignment vertical="center"/>
      <protection locked="0"/>
    </xf>
    <xf numFmtId="197" fontId="9" fillId="2" borderId="156" xfId="0" applyNumberFormat="1" applyFont="1" applyFill="1" applyBorder="1" applyAlignment="1" applyProtection="1">
      <alignment vertical="center"/>
      <protection locked="0"/>
    </xf>
    <xf numFmtId="197" fontId="17" fillId="2" borderId="106" xfId="0" applyNumberFormat="1" applyFont="1" applyFill="1" applyBorder="1" applyAlignment="1" applyProtection="1">
      <alignment vertical="center"/>
      <protection locked="0"/>
    </xf>
    <xf numFmtId="197" fontId="17" fillId="2" borderId="148" xfId="0" applyNumberFormat="1" applyFont="1" applyFill="1" applyBorder="1" applyAlignment="1" applyProtection="1">
      <alignment vertical="center"/>
      <protection locked="0"/>
    </xf>
    <xf numFmtId="197" fontId="17" fillId="2" borderId="155" xfId="0" applyNumberFormat="1" applyFont="1" applyFill="1" applyBorder="1" applyAlignment="1" applyProtection="1">
      <alignment vertical="center"/>
      <protection locked="0"/>
    </xf>
    <xf numFmtId="197" fontId="17" fillId="2" borderId="154" xfId="0" applyNumberFormat="1" applyFont="1" applyFill="1" applyBorder="1" applyAlignment="1" applyProtection="1">
      <alignment vertical="center"/>
      <protection locked="0"/>
    </xf>
    <xf numFmtId="197" fontId="17" fillId="2" borderId="153"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7"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3" fontId="0" fillId="0" borderId="98" xfId="0" applyNumberFormat="1" applyBorder="1"/>
    <xf numFmtId="3" fontId="7" fillId="0" borderId="0" xfId="0" applyNumberFormat="1" applyFont="1"/>
    <xf numFmtId="3" fontId="4" fillId="0" borderId="0" xfId="0" applyNumberFormat="1" applyFont="1"/>
    <xf numFmtId="3" fontId="0" fillId="0" borderId="0" xfId="0" applyNumberFormat="1"/>
    <xf numFmtId="3" fontId="9" fillId="0" borderId="98" xfId="0" applyNumberFormat="1" applyFont="1" applyBorder="1" applyAlignment="1">
      <alignment horizontal="center" vertical="center" wrapText="1"/>
    </xf>
    <xf numFmtId="3" fontId="143" fillId="0" borderId="98" xfId="0" applyNumberFormat="1" applyFont="1" applyBorder="1"/>
    <xf numFmtId="3" fontId="0" fillId="36" borderId="98" xfId="0" applyNumberFormat="1" applyFill="1" applyBorder="1"/>
    <xf numFmtId="3" fontId="143" fillId="0" borderId="98" xfId="0" applyNumberFormat="1" applyFont="1" applyBorder="1" applyAlignment="1">
      <alignment vertical="center"/>
    </xf>
    <xf numFmtId="3" fontId="0" fillId="36" borderId="98" xfId="0" applyNumberFormat="1" applyFill="1" applyBorder="1" applyAlignment="1">
      <alignment vertical="center"/>
    </xf>
    <xf numFmtId="3" fontId="0" fillId="0" borderId="98" xfId="0" applyNumberFormat="1" applyBorder="1" applyAlignment="1">
      <alignment vertical="center"/>
    </xf>
    <xf numFmtId="3" fontId="0" fillId="0" borderId="139" xfId="0" applyNumberFormat="1" applyBorder="1"/>
    <xf numFmtId="3" fontId="0" fillId="36" borderId="139" xfId="0" applyNumberFormat="1" applyFill="1" applyBorder="1"/>
    <xf numFmtId="3" fontId="143" fillId="0" borderId="139" xfId="0" applyNumberFormat="1" applyFont="1" applyBorder="1"/>
    <xf numFmtId="3" fontId="9" fillId="0" borderId="139" xfId="0" applyNumberFormat="1" applyFont="1" applyBorder="1" applyAlignment="1">
      <alignment horizontal="center" vertical="center" wrapText="1"/>
    </xf>
    <xf numFmtId="3" fontId="143" fillId="36" borderId="139" xfId="0" applyNumberFormat="1" applyFont="1" applyFill="1" applyBorder="1"/>
    <xf numFmtId="0" fontId="13" fillId="0" borderId="150" xfId="0" applyFont="1" applyBorder="1" applyAlignment="1">
      <alignment wrapText="1"/>
    </xf>
    <xf numFmtId="0" fontId="4" fillId="0" borderId="156" xfId="0" applyFont="1" applyBorder="1"/>
    <xf numFmtId="0" fontId="9" fillId="0" borderId="150" xfId="0" applyFont="1" applyBorder="1" applyAlignment="1">
      <alignment wrapText="1"/>
    </xf>
    <xf numFmtId="0" fontId="9" fillId="0" borderId="156" xfId="0" applyFont="1" applyBorder="1"/>
    <xf numFmtId="0" fontId="9" fillId="0" borderId="157" xfId="0" applyFont="1" applyBorder="1" applyAlignment="1">
      <alignment vertical="center"/>
    </xf>
    <xf numFmtId="10" fontId="4" fillId="0" borderId="156" xfId="0" applyNumberFormat="1" applyFont="1" applyBorder="1"/>
    <xf numFmtId="0" fontId="13" fillId="0" borderId="146" xfId="0" applyFont="1" applyBorder="1" applyAlignment="1">
      <alignment wrapText="1"/>
    </xf>
    <xf numFmtId="10" fontId="4" fillId="0" borderId="107" xfId="0" applyNumberFormat="1" applyFont="1" applyBorder="1"/>
    <xf numFmtId="3" fontId="4" fillId="0" borderId="139" xfId="7" applyNumberFormat="1" applyFont="1" applyFill="1" applyBorder="1" applyAlignment="1">
      <alignment vertical="center" wrapText="1"/>
    </xf>
    <xf numFmtId="3" fontId="9" fillId="0" borderId="0" xfId="11" applyNumberFormat="1" applyFont="1"/>
    <xf numFmtId="3" fontId="9" fillId="0" borderId="0" xfId="11" applyNumberFormat="1" applyFont="1" applyAlignment="1">
      <alignment horizontal="left"/>
    </xf>
    <xf numFmtId="3" fontId="18" fillId="0" borderId="0" xfId="11" applyNumberFormat="1" applyFont="1" applyAlignment="1">
      <alignment horizontal="right"/>
    </xf>
    <xf numFmtId="3" fontId="15" fillId="0" borderId="17" xfId="11" applyNumberFormat="1" applyFont="1" applyBorder="1" applyAlignment="1">
      <alignment horizontal="center" vertical="center"/>
    </xf>
    <xf numFmtId="3" fontId="15" fillId="0" borderId="18" xfId="11" applyNumberFormat="1" applyFont="1" applyBorder="1" applyAlignment="1">
      <alignment horizontal="center" vertical="center"/>
    </xf>
    <xf numFmtId="3" fontId="4" fillId="0" borderId="7"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3" fontId="4" fillId="0" borderId="98" xfId="7" applyNumberFormat="1" applyFont="1" applyBorder="1" applyAlignment="1">
      <alignment vertical="center"/>
    </xf>
    <xf numFmtId="3" fontId="4" fillId="0" borderId="139" xfId="7" applyNumberFormat="1" applyFont="1" applyBorder="1" applyAlignment="1">
      <alignment vertical="center"/>
    </xf>
    <xf numFmtId="3" fontId="6" fillId="36" borderId="23" xfId="0" applyNumberFormat="1" applyFont="1" applyFill="1" applyBorder="1" applyAlignment="1">
      <alignment horizontal="center" vertical="center"/>
    </xf>
    <xf numFmtId="0" fontId="102" fillId="0" borderId="147" xfId="0" applyFont="1" applyBorder="1"/>
    <xf numFmtId="0" fontId="11" fillId="0" borderId="147" xfId="17" applyBorder="1" applyAlignment="1" applyProtection="1"/>
    <xf numFmtId="171" fontId="4" fillId="0" borderId="150" xfId="0" applyNumberFormat="1" applyFont="1" applyBorder="1"/>
    <xf numFmtId="3" fontId="23" fillId="0" borderId="139" xfId="0" applyNumberFormat="1" applyFont="1" applyBorder="1" applyAlignment="1">
      <alignment horizontal="center"/>
    </xf>
    <xf numFmtId="3" fontId="22" fillId="0" borderId="139" xfId="0" applyNumberFormat="1" applyFont="1" applyBorder="1" applyAlignment="1">
      <alignment horizontal="center"/>
    </xf>
    <xf numFmtId="3" fontId="23" fillId="0" borderId="0" xfId="0" applyNumberFormat="1" applyFont="1"/>
    <xf numFmtId="3" fontId="4" fillId="0" borderId="59" xfId="0" applyNumberFormat="1" applyFont="1" applyBorder="1" applyAlignment="1">
      <alignment horizontal="center" vertical="center" wrapText="1"/>
    </xf>
    <xf numFmtId="3" fontId="22" fillId="0" borderId="30" xfId="0" applyNumberFormat="1" applyFont="1" applyBorder="1" applyAlignment="1">
      <alignment horizontal="center" vertical="center"/>
    </xf>
    <xf numFmtId="3" fontId="23" fillId="0" borderId="12" xfId="0" applyNumberFormat="1" applyFont="1" applyBorder="1" applyAlignment="1">
      <alignment horizontal="center" vertical="center"/>
    </xf>
    <xf numFmtId="3" fontId="23" fillId="0" borderId="12" xfId="0" applyNumberFormat="1" applyFont="1" applyBorder="1" applyAlignment="1">
      <alignment vertical="center"/>
    </xf>
    <xf numFmtId="3" fontId="19" fillId="0" borderId="12" xfId="0" applyNumberFormat="1" applyFont="1" applyBorder="1" applyAlignment="1">
      <alignment horizontal="center" vertical="center"/>
    </xf>
    <xf numFmtId="3" fontId="104" fillId="0" borderId="12" xfId="0" applyNumberFormat="1" applyFont="1" applyBorder="1" applyAlignment="1">
      <alignment horizontal="center" vertical="center"/>
    </xf>
    <xf numFmtId="3" fontId="22" fillId="0" borderId="12" xfId="0" applyNumberFormat="1" applyFont="1" applyBorder="1" applyAlignment="1">
      <alignment horizontal="center" vertical="center"/>
    </xf>
    <xf numFmtId="3" fontId="23" fillId="0" borderId="13" xfId="0" applyNumberFormat="1" applyFont="1" applyBorder="1" applyAlignment="1">
      <alignment horizontal="center" vertical="center"/>
    </xf>
    <xf numFmtId="3" fontId="22" fillId="0" borderId="14" xfId="0" applyNumberFormat="1" applyFont="1" applyBorder="1" applyAlignment="1">
      <alignment horizontal="center" vertical="center"/>
    </xf>
    <xf numFmtId="3" fontId="22" fillId="0" borderId="15" xfId="0" applyNumberFormat="1" applyFont="1" applyBorder="1" applyAlignment="1">
      <alignment horizontal="center" vertical="center"/>
    </xf>
    <xf numFmtId="3" fontId="22" fillId="0" borderId="13" xfId="0" applyNumberFormat="1" applyFont="1" applyBorder="1" applyAlignment="1">
      <alignment horizontal="center" vertical="center"/>
    </xf>
    <xf numFmtId="3" fontId="19" fillId="0" borderId="13" xfId="0" applyNumberFormat="1" applyFont="1" applyBorder="1" applyAlignment="1">
      <alignment vertical="center"/>
    </xf>
    <xf numFmtId="3" fontId="23" fillId="0" borderId="139" xfId="0" applyNumberFormat="1" applyFont="1" applyBorder="1" applyAlignment="1">
      <alignment horizontal="center" vertical="center"/>
    </xf>
    <xf numFmtId="3" fontId="22" fillId="0" borderId="139" xfId="0" applyNumberFormat="1" applyFont="1" applyBorder="1" applyAlignment="1">
      <alignment horizontal="center" vertical="center"/>
    </xf>
    <xf numFmtId="3" fontId="23" fillId="0" borderId="139" xfId="0" applyNumberFormat="1" applyFont="1" applyBorder="1"/>
    <xf numFmtId="198" fontId="23" fillId="0" borderId="139" xfId="0" applyNumberFormat="1" applyFont="1" applyBorder="1" applyAlignment="1">
      <alignment horizontal="center" vertical="center"/>
    </xf>
    <xf numFmtId="3" fontId="4" fillId="36" borderId="24" xfId="0" applyNumberFormat="1" applyFont="1" applyFill="1" applyBorder="1"/>
    <xf numFmtId="3" fontId="4" fillId="0" borderId="53" xfId="0" applyNumberFormat="1" applyFont="1" applyBorder="1" applyAlignment="1">
      <alignment vertical="center"/>
    </xf>
    <xf numFmtId="3" fontId="4" fillId="0" borderId="99" xfId="0" applyNumberFormat="1" applyFont="1" applyBorder="1" applyAlignment="1">
      <alignment vertical="center"/>
    </xf>
    <xf numFmtId="3" fontId="4" fillId="0" borderId="26" xfId="0" applyNumberFormat="1" applyFont="1" applyBorder="1" applyAlignment="1">
      <alignment vertical="center"/>
    </xf>
    <xf numFmtId="3" fontId="4" fillId="0" borderId="18" xfId="0" applyNumberFormat="1" applyFont="1" applyBorder="1" applyAlignment="1">
      <alignment vertical="center"/>
    </xf>
    <xf numFmtId="3" fontId="4" fillId="0" borderId="146" xfId="0" applyNumberFormat="1" applyFont="1" applyBorder="1" applyAlignment="1">
      <alignment vertical="center"/>
    </xf>
    <xf numFmtId="10" fontId="4" fillId="0" borderId="93" xfId="0" applyNumberFormat="1" applyFont="1" applyBorder="1" applyAlignment="1">
      <alignment vertical="center"/>
    </xf>
    <xf numFmtId="10" fontId="4" fillId="0" borderId="109" xfId="0" applyNumberFormat="1" applyFont="1" applyBorder="1" applyAlignment="1">
      <alignment vertical="center"/>
    </xf>
    <xf numFmtId="3" fontId="120" fillId="0" borderId="139" xfId="0" applyNumberFormat="1" applyFont="1" applyBorder="1"/>
    <xf numFmtId="3" fontId="116" fillId="0" borderId="147" xfId="0" applyNumberFormat="1" applyFont="1" applyBorder="1"/>
    <xf numFmtId="3" fontId="119" fillId="0" borderId="147" xfId="0" applyNumberFormat="1" applyFont="1" applyBorder="1"/>
    <xf numFmtId="14" fontId="4" fillId="0" borderId="0" xfId="0" applyNumberFormat="1" applyFont="1" applyAlignment="1">
      <alignment horizontal="left"/>
    </xf>
    <xf numFmtId="3" fontId="4" fillId="0" borderId="64" xfId="0" applyNumberFormat="1" applyFont="1" applyBorder="1" applyAlignment="1">
      <alignment vertical="center"/>
    </xf>
    <xf numFmtId="3" fontId="4" fillId="0" borderId="113" xfId="0" applyNumberFormat="1" applyFont="1" applyBorder="1" applyAlignment="1">
      <alignment vertical="center"/>
    </xf>
    <xf numFmtId="3" fontId="4" fillId="0" borderId="25" xfId="0" applyNumberFormat="1" applyFont="1" applyBorder="1" applyAlignment="1">
      <alignment vertical="center"/>
    </xf>
    <xf numFmtId="3" fontId="4" fillId="0" borderId="24" xfId="0" applyNumberFormat="1" applyFont="1" applyBorder="1" applyAlignment="1">
      <alignment vertical="center"/>
    </xf>
    <xf numFmtId="3" fontId="4" fillId="3" borderId="96" xfId="0" applyNumberFormat="1" applyFont="1" applyFill="1" applyBorder="1" applyAlignment="1">
      <alignment vertical="center"/>
    </xf>
    <xf numFmtId="3" fontId="4" fillId="3" borderId="21" xfId="0" applyNumberFormat="1" applyFont="1" applyFill="1" applyBorder="1" applyAlignment="1">
      <alignment vertical="center"/>
    </xf>
    <xf numFmtId="169" fontId="0" fillId="0" borderId="1" xfId="7" applyNumberFormat="1" applyFont="1" applyBorder="1"/>
    <xf numFmtId="3" fontId="4" fillId="0" borderId="154" xfId="0" applyNumberFormat="1" applyFont="1" applyBorder="1" applyAlignment="1">
      <alignment vertical="center"/>
    </xf>
    <xf numFmtId="169" fontId="0" fillId="0" borderId="154" xfId="7" applyNumberFormat="1" applyFont="1" applyBorder="1"/>
    <xf numFmtId="10" fontId="17" fillId="2" borderId="98" xfId="0" applyNumberFormat="1" applyFont="1" applyFill="1" applyBorder="1" applyAlignment="1" applyProtection="1">
      <alignment vertical="center"/>
      <protection locked="0"/>
    </xf>
    <xf numFmtId="10" fontId="9" fillId="2" borderId="147" xfId="0" applyNumberFormat="1" applyFont="1" applyFill="1" applyBorder="1" applyAlignment="1" applyProtection="1">
      <alignment vertical="center"/>
      <protection locked="0"/>
    </xf>
    <xf numFmtId="197" fontId="9" fillId="2" borderId="148" xfId="0" applyNumberFormat="1" applyFont="1" applyFill="1" applyBorder="1" applyAlignment="1" applyProtection="1">
      <alignment vertical="center"/>
      <protection locked="0"/>
    </xf>
    <xf numFmtId="10" fontId="9" fillId="2" borderId="154" xfId="0" applyNumberFormat="1" applyFont="1" applyFill="1" applyBorder="1" applyAlignment="1" applyProtection="1">
      <alignment vertical="center"/>
      <protection locked="0"/>
    </xf>
    <xf numFmtId="3" fontId="4" fillId="0" borderId="113" xfId="0" applyNumberFormat="1" applyFont="1" applyBorder="1" applyAlignment="1">
      <alignment horizontal="right" vertical="center" wrapText="1"/>
    </xf>
    <xf numFmtId="3" fontId="6" fillId="36" borderId="113" xfId="0" applyNumberFormat="1" applyFont="1" applyFill="1" applyBorder="1" applyAlignment="1">
      <alignment horizontal="right" vertical="center" wrapText="1"/>
    </xf>
    <xf numFmtId="3" fontId="109" fillId="0" borderId="113" xfId="0" applyNumberFormat="1" applyFont="1" applyBorder="1" applyAlignment="1">
      <alignment horizontal="right" vertical="center" wrapText="1"/>
    </xf>
    <xf numFmtId="3" fontId="6" fillId="36" borderId="113" xfId="0" applyNumberFormat="1" applyFont="1" applyFill="1" applyBorder="1" applyAlignment="1">
      <alignment horizontal="center" vertical="center" wrapText="1"/>
    </xf>
    <xf numFmtId="3" fontId="7" fillId="0" borderId="24" xfId="1" applyNumberFormat="1" applyFont="1" applyFill="1" applyBorder="1" applyAlignment="1" applyProtection="1">
      <alignment horizontal="right" vertical="center"/>
    </xf>
    <xf numFmtId="10" fontId="4" fillId="0" borderId="147" xfId="20961" applyNumberFormat="1" applyFont="1" applyFill="1" applyBorder="1" applyAlignment="1" applyProtection="1">
      <alignment horizontal="right" vertical="center" wrapText="1"/>
    </xf>
    <xf numFmtId="0" fontId="15" fillId="0" borderId="1" xfId="0" applyFont="1" applyBorder="1" applyAlignment="1">
      <alignment horizontal="center" vertical="center"/>
    </xf>
    <xf numFmtId="197" fontId="7" fillId="0" borderId="98" xfId="0" applyNumberFormat="1" applyFont="1" applyBorder="1" applyAlignment="1">
      <alignment vertical="center" wrapText="1"/>
    </xf>
    <xf numFmtId="197" fontId="7" fillId="0" borderId="98" xfId="0" applyNumberFormat="1" applyFont="1" applyBorder="1" applyAlignment="1">
      <alignment horizontal="right" vertical="center" wrapText="1"/>
    </xf>
    <xf numFmtId="197" fontId="9" fillId="2" borderId="98" xfId="0" applyNumberFormat="1" applyFont="1" applyFill="1" applyBorder="1" applyAlignment="1">
      <alignment vertical="center"/>
    </xf>
    <xf numFmtId="197" fontId="9" fillId="2" borderId="94" xfId="0" applyNumberFormat="1" applyFont="1" applyFill="1" applyBorder="1" applyAlignment="1">
      <alignment vertical="center"/>
    </xf>
    <xf numFmtId="10" fontId="9" fillId="2" borderId="98" xfId="0" applyNumberFormat="1" applyFont="1" applyFill="1" applyBorder="1" applyAlignment="1">
      <alignment vertical="center"/>
    </xf>
    <xf numFmtId="0" fontId="7" fillId="3" borderId="147" xfId="13" applyFont="1" applyFill="1" applyBorder="1" applyAlignment="1" applyProtection="1">
      <alignment horizontal="left" vertical="center"/>
      <protection locked="0"/>
    </xf>
    <xf numFmtId="0" fontId="106" fillId="0" borderId="0" xfId="0" applyFont="1" applyAlignment="1">
      <alignment wrapText="1"/>
    </xf>
    <xf numFmtId="168" fontId="113" fillId="79" borderId="98" xfId="948" applyFont="1" applyFill="1" applyBorder="1" applyAlignment="1" applyProtection="1">
      <alignment horizontal="right" vertical="center"/>
    </xf>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60" xfId="0" applyFont="1" applyBorder="1" applyAlignment="1">
      <alignment horizontal="center" vertical="center"/>
    </xf>
    <xf numFmtId="0" fontId="141" fillId="0" borderId="29" xfId="0" applyFont="1" applyBorder="1" applyAlignment="1">
      <alignment horizontal="center" vertical="center"/>
    </xf>
    <xf numFmtId="0" fontId="141" fillId="0" borderId="161" xfId="0" applyFont="1" applyBorder="1" applyAlignment="1">
      <alignment horizontal="center" vertical="center"/>
    </xf>
    <xf numFmtId="0" fontId="142" fillId="0" borderId="160" xfId="0" applyFont="1" applyBorder="1" applyAlignment="1">
      <alignment horizontal="center" wrapText="1"/>
    </xf>
    <xf numFmtId="0" fontId="142" fillId="0" borderId="29" xfId="0" applyFont="1" applyBorder="1" applyAlignment="1">
      <alignment horizontal="center" wrapText="1"/>
    </xf>
    <xf numFmtId="0" fontId="142" fillId="0" borderId="161" xfId="0" applyFont="1" applyBorder="1" applyAlignment="1">
      <alignment horizontal="center" wrapText="1"/>
    </xf>
    <xf numFmtId="3" fontId="0" fillId="0" borderId="99" xfId="0" applyNumberFormat="1" applyBorder="1" applyAlignment="1">
      <alignment horizontal="center"/>
    </xf>
    <xf numFmtId="3" fontId="0" fillId="0" borderId="96" xfId="0" applyNumberFormat="1" applyBorder="1" applyAlignment="1">
      <alignment horizontal="center"/>
    </xf>
    <xf numFmtId="3" fontId="0" fillId="0" borderId="97" xfId="0" applyNumberFormat="1" applyBorder="1" applyAlignment="1">
      <alignment horizontal="center"/>
    </xf>
    <xf numFmtId="3" fontId="0" fillId="0" borderId="140" xfId="0" applyNumberFormat="1" applyBorder="1" applyAlignment="1">
      <alignment horizontal="center"/>
    </xf>
    <xf numFmtId="3" fontId="0" fillId="0" borderId="141" xfId="0" applyNumberFormat="1" applyBorder="1" applyAlignment="1">
      <alignment horizontal="center"/>
    </xf>
    <xf numFmtId="3" fontId="0" fillId="0" borderId="142" xfId="0" applyNumberFormat="1" applyBorder="1" applyAlignment="1">
      <alignment horizontal="center"/>
    </xf>
    <xf numFmtId="0" fontId="0" fillId="0" borderId="139"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3" fontId="10" fillId="0" borderId="17" xfId="0" applyNumberFormat="1" applyFont="1" applyBorder="1" applyAlignment="1">
      <alignment horizontal="center" vertical="center"/>
    </xf>
    <xf numFmtId="3" fontId="10" fillId="0" borderId="18" xfId="0" applyNumberFormat="1" applyFont="1" applyBorder="1" applyAlignment="1">
      <alignment horizontal="center" vertical="center"/>
    </xf>
    <xf numFmtId="0" fontId="128" fillId="0" borderId="143"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9" xfId="0" applyBorder="1" applyAlignment="1">
      <alignment horizontal="center" vertical="center"/>
    </xf>
    <xf numFmtId="0" fontId="0" fillId="0" borderId="11" xfId="0" applyBorder="1" applyAlignment="1">
      <alignment horizontal="center" vertical="center"/>
    </xf>
    <xf numFmtId="0" fontId="0" fillId="0" borderId="139"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3" fontId="4" fillId="0" borderId="98" xfId="0" applyNumberFormat="1" applyFont="1" applyBorder="1" applyAlignment="1">
      <alignment horizontal="center" vertical="center" wrapText="1"/>
    </xf>
    <xf numFmtId="3" fontId="4" fillId="0" borderId="99" xfId="0" applyNumberFormat="1" applyFont="1" applyBorder="1" applyAlignment="1">
      <alignment horizontal="center"/>
    </xf>
    <xf numFmtId="3" fontId="4" fillId="0" borderId="21" xfId="0" applyNumberFormat="1" applyFont="1" applyBorder="1" applyAlignment="1">
      <alignment horizontal="center"/>
    </xf>
    <xf numFmtId="0" fontId="6" fillId="36" borderId="117"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5" fillId="3" borderId="16" xfId="1" applyNumberFormat="1" applyFont="1" applyFill="1" applyBorder="1" applyAlignment="1" applyProtection="1">
      <alignment horizontal="center"/>
      <protection locked="0"/>
    </xf>
    <xf numFmtId="169" fontId="15" fillId="3" borderId="17" xfId="1" applyNumberFormat="1" applyFont="1" applyFill="1" applyBorder="1" applyAlignment="1" applyProtection="1">
      <alignment horizontal="center"/>
      <protection locked="0"/>
    </xf>
    <xf numFmtId="169"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9" fontId="15" fillId="0" borderId="90" xfId="1" applyNumberFormat="1" applyFont="1" applyFill="1" applyBorder="1" applyAlignment="1" applyProtection="1">
      <alignment horizontal="center" vertical="center" wrapText="1"/>
      <protection locked="0"/>
    </xf>
    <xf numFmtId="169"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3" fontId="4" fillId="0" borderId="59" xfId="0" applyNumberFormat="1" applyFont="1" applyBorder="1" applyAlignment="1">
      <alignment horizontal="center" vertical="center" wrapText="1"/>
    </xf>
    <xf numFmtId="3" fontId="4" fillId="0" borderId="55" xfId="0" applyNumberFormat="1" applyFont="1" applyBorder="1" applyAlignment="1">
      <alignment horizontal="center" vertical="center" wrapText="1"/>
    </xf>
    <xf numFmtId="3" fontId="4" fillId="0" borderId="105" xfId="0" applyNumberFormat="1"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05"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3" xfId="0" applyFont="1" applyBorder="1" applyAlignment="1">
      <alignment horizontal="center" vertical="center" wrapText="1"/>
    </xf>
    <xf numFmtId="0" fontId="119" fillId="0" borderId="120" xfId="0" applyFont="1" applyBorder="1" applyAlignment="1">
      <alignment horizontal="left" vertical="center" wrapText="1"/>
    </xf>
    <xf numFmtId="0" fontId="119" fillId="0" borderId="121"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4" xfId="0" applyFont="1" applyBorder="1" applyAlignment="1">
      <alignment horizontal="left" vertical="center" wrapText="1"/>
    </xf>
    <xf numFmtId="0" fontId="119" fillId="0" borderId="126" xfId="0" applyFont="1" applyBorder="1" applyAlignment="1">
      <alignment horizontal="left" vertical="center" wrapText="1"/>
    </xf>
    <xf numFmtId="0" fontId="119" fillId="0" borderId="127" xfId="0" applyFont="1" applyBorder="1" applyAlignment="1">
      <alignment horizontal="left" vertical="center" wrapText="1"/>
    </xf>
    <xf numFmtId="0" fontId="120" fillId="0" borderId="146" xfId="0" applyFont="1" applyBorder="1" applyAlignment="1">
      <alignment horizontal="center" vertical="center" wrapText="1"/>
    </xf>
    <xf numFmtId="0" fontId="120" fillId="0" borderId="145" xfId="0" applyFont="1" applyBorder="1" applyAlignment="1">
      <alignment horizontal="center" vertical="center" wrapText="1"/>
    </xf>
    <xf numFmtId="0" fontId="120" fillId="0" borderId="122"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5"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49" xfId="0" applyFont="1" applyBorder="1" applyAlignment="1">
      <alignment horizontal="center" vertical="center" wrapText="1"/>
    </xf>
    <xf numFmtId="0" fontId="124" fillId="0" borderId="147" xfId="0" applyFont="1" applyBorder="1" applyAlignment="1">
      <alignment horizontal="center" vertical="center"/>
    </xf>
    <xf numFmtId="0" fontId="118" fillId="0" borderId="146" xfId="0" applyFont="1" applyBorder="1" applyAlignment="1">
      <alignment horizontal="center" vertical="center"/>
    </xf>
    <xf numFmtId="0" fontId="118" fillId="0" borderId="151"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7" xfId="0" applyFont="1" applyBorder="1" applyAlignment="1">
      <alignment horizontal="center" vertical="center" wrapText="1"/>
    </xf>
    <xf numFmtId="0" fontId="119" fillId="0" borderId="146" xfId="0" applyFont="1" applyBorder="1" applyAlignment="1">
      <alignment horizontal="center" vertical="center" wrapText="1"/>
    </xf>
    <xf numFmtId="0" fontId="119" fillId="0" borderId="151"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2" xfId="0" applyFont="1" applyBorder="1" applyAlignment="1">
      <alignment horizontal="center" vertical="center" wrapText="1"/>
    </xf>
    <xf numFmtId="0" fontId="119" fillId="0" borderId="130"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30"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51"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6"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9" xfId="0" applyFont="1" applyBorder="1" applyAlignment="1">
      <alignment horizontal="left" vertical="top" wrapText="1"/>
    </xf>
    <xf numFmtId="0" fontId="119" fillId="0" borderId="158" xfId="0" applyFont="1" applyBorder="1" applyAlignment="1">
      <alignment horizontal="left" vertical="top" wrapText="1"/>
    </xf>
    <xf numFmtId="0" fontId="119" fillId="0" borderId="159"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6" xfId="0" applyFont="1" applyBorder="1" applyAlignment="1">
      <alignment horizontal="center" vertical="top" wrapText="1"/>
    </xf>
    <xf numFmtId="0" fontId="116" fillId="0" borderId="145" xfId="0" applyFont="1" applyBorder="1" applyAlignment="1">
      <alignment horizontal="center" vertical="top" wrapText="1"/>
    </xf>
    <xf numFmtId="0" fontId="116" fillId="0" borderId="152" xfId="0" applyFont="1" applyBorder="1" applyAlignment="1">
      <alignment horizontal="center" vertical="top" wrapText="1"/>
    </xf>
    <xf numFmtId="0" fontId="116" fillId="0" borderId="149" xfId="0" applyFont="1" applyBorder="1" applyAlignment="1">
      <alignment horizontal="center" vertical="top" wrapText="1"/>
    </xf>
    <xf numFmtId="0" fontId="105" fillId="0" borderId="131" xfId="0" applyFont="1" applyBorder="1" applyAlignment="1">
      <alignment horizontal="left" vertical="top" wrapText="1"/>
    </xf>
    <xf numFmtId="0" fontId="105" fillId="0" borderId="132" xfId="0" applyFont="1" applyBorder="1" applyAlignment="1">
      <alignment horizontal="left" vertical="top" wrapText="1"/>
    </xf>
    <xf numFmtId="0" fontId="122" fillId="0" borderId="147" xfId="0" applyFont="1" applyBorder="1" applyAlignment="1">
      <alignment horizontal="center" vertical="center"/>
    </xf>
    <xf numFmtId="0" fontId="121" fillId="0" borderId="147" xfId="0" applyFont="1" applyBorder="1" applyAlignment="1">
      <alignment horizontal="center" vertical="center" wrapText="1"/>
    </xf>
    <xf numFmtId="0" fontId="121" fillId="0" borderId="148" xfId="0" applyFont="1" applyBorder="1" applyAlignment="1">
      <alignment horizontal="center" vertical="center" wrapText="1"/>
    </xf>
    <xf numFmtId="0" fontId="106" fillId="0" borderId="150" xfId="0" applyFont="1" applyBorder="1" applyAlignment="1">
      <alignment horizontal="left" vertical="center" wrapText="1"/>
    </xf>
    <xf numFmtId="0" fontId="106" fillId="0" borderId="149" xfId="0" applyFont="1" applyBorder="1" applyAlignment="1">
      <alignment horizontal="left" vertical="center" wrapText="1"/>
    </xf>
    <xf numFmtId="0" fontId="106" fillId="0" borderId="150" xfId="0" applyFont="1" applyBorder="1" applyAlignment="1">
      <alignment horizontal="left"/>
    </xf>
    <xf numFmtId="0" fontId="106" fillId="0" borderId="149" xfId="0" applyFont="1" applyBorder="1" applyAlignment="1">
      <alignment horizontal="left"/>
    </xf>
    <xf numFmtId="0" fontId="106" fillId="3" borderId="150" xfId="0" applyFont="1" applyFill="1" applyBorder="1" applyAlignment="1">
      <alignment vertical="center" wrapText="1"/>
    </xf>
    <xf numFmtId="0" fontId="106" fillId="3" borderId="149" xfId="0" applyFont="1" applyFill="1" applyBorder="1" applyAlignment="1">
      <alignment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147"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26" fillId="3" borderId="150" xfId="0" applyFont="1" applyFill="1" applyBorder="1" applyAlignment="1">
      <alignment vertical="center" wrapText="1"/>
    </xf>
    <xf numFmtId="0" fontId="126" fillId="3" borderId="149" xfId="0" applyFont="1" applyFill="1" applyBorder="1" applyAlignment="1">
      <alignment vertical="center" wrapText="1"/>
    </xf>
    <xf numFmtId="0" fontId="106" fillId="82" borderId="150" xfId="0" applyFont="1" applyFill="1" applyBorder="1" applyAlignment="1">
      <alignment vertical="center" wrapText="1"/>
    </xf>
    <xf numFmtId="0" fontId="106" fillId="82" borderId="149" xfId="0" applyFont="1" applyFill="1" applyBorder="1" applyAlignment="1">
      <alignment vertical="center" wrapText="1"/>
    </xf>
    <xf numFmtId="0" fontId="106" fillId="82" borderId="150" xfId="0" applyFont="1" applyFill="1" applyBorder="1" applyAlignment="1">
      <alignment horizontal="left" vertical="center" wrapText="1"/>
    </xf>
    <xf numFmtId="0" fontId="106" fillId="82" borderId="152"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6" fillId="82" borderId="149" xfId="0" applyFont="1" applyFill="1" applyBorder="1" applyAlignment="1">
      <alignment horizontal="left" vertical="center" wrapText="1"/>
    </xf>
    <xf numFmtId="0" fontId="106" fillId="3" borderId="150" xfId="0" applyFont="1" applyFill="1" applyBorder="1" applyAlignment="1">
      <alignment horizontal="left" vertical="center" wrapText="1"/>
    </xf>
    <xf numFmtId="0" fontId="106" fillId="3" borderId="149"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150" xfId="0" applyFont="1" applyFill="1" applyBorder="1" applyAlignment="1">
      <alignment vertical="center" wrapText="1"/>
    </xf>
    <xf numFmtId="0" fontId="106" fillId="77" borderId="149" xfId="0" applyFont="1" applyFill="1" applyBorder="1" applyAlignment="1">
      <alignment vertical="center" wrapText="1"/>
    </xf>
    <xf numFmtId="0" fontId="106" fillId="0" borderId="150" xfId="0" applyFont="1" applyBorder="1" applyAlignment="1">
      <alignment vertical="center" wrapText="1"/>
    </xf>
    <xf numFmtId="0" fontId="106" fillId="0" borderId="149"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5" fillId="0" borderId="85" xfId="0" applyFont="1" applyBorder="1" applyAlignment="1">
      <alignment horizontal="center" vertical="center"/>
    </xf>
    <xf numFmtId="0" fontId="105" fillId="76" borderId="147" xfId="0" applyFont="1" applyFill="1" applyBorder="1" applyAlignment="1">
      <alignment horizontal="center" vertical="center" wrapText="1"/>
    </xf>
    <xf numFmtId="0" fontId="105" fillId="0" borderId="147" xfId="0" applyFont="1" applyBorder="1" applyAlignment="1">
      <alignment horizontal="center" vertical="center"/>
    </xf>
    <xf numFmtId="0" fontId="106" fillId="0" borderId="150"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3" borderId="150" xfId="13" applyFont="1" applyFill="1" applyBorder="1" applyAlignment="1" applyProtection="1">
      <alignment horizontal="left" vertical="top" wrapText="1"/>
      <protection locked="0"/>
    </xf>
    <xf numFmtId="0" fontId="106" fillId="3" borderId="149" xfId="13" applyFont="1" applyFill="1" applyBorder="1" applyAlignment="1" applyProtection="1">
      <alignment horizontal="left" vertical="top" wrapText="1"/>
      <protection locked="0"/>
    </xf>
    <xf numFmtId="0" fontId="105" fillId="76" borderId="150" xfId="0" applyFont="1" applyFill="1" applyBorder="1" applyAlignment="1">
      <alignment horizontal="center" vertical="center" wrapText="1"/>
    </xf>
    <xf numFmtId="0" fontId="105" fillId="76" borderId="149" xfId="0" applyFont="1" applyFill="1" applyBorder="1" applyAlignment="1">
      <alignment horizontal="center" vertical="center" wrapText="1"/>
    </xf>
    <xf numFmtId="0" fontId="106" fillId="0" borderId="150" xfId="0" applyFont="1" applyBorder="1" applyAlignment="1">
      <alignment horizontal="left" vertical="top" wrapText="1"/>
    </xf>
    <xf numFmtId="0" fontId="106" fillId="0" borderId="149" xfId="0" applyFont="1" applyBorder="1" applyAlignment="1">
      <alignment horizontal="left" vertical="top" wrapText="1"/>
    </xf>
    <xf numFmtId="0" fontId="106" fillId="0" borderId="147" xfId="0" applyFont="1" applyBorder="1" applyAlignment="1">
      <alignment horizontal="left" vertical="top" wrapText="1"/>
    </xf>
    <xf numFmtId="0" fontId="106" fillId="0" borderId="147" xfId="0" applyFont="1" applyBorder="1" applyAlignment="1">
      <alignment horizontal="center"/>
    </xf>
    <xf numFmtId="49" fontId="106" fillId="0" borderId="0" xfId="0" applyNumberFormat="1" applyFont="1" applyAlignment="1">
      <alignment horizontal="center" vertical="center"/>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 val="Trial Balance"/>
      <sheetName val="Deposit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ysera.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A6" sqref="A6:C6"/>
    </sheetView>
  </sheetViews>
  <sheetFormatPr defaultRowHeight="15.75"/>
  <cols>
    <col min="1" max="1" width="10.25" style="1" customWidth="1"/>
    <col min="2" max="2" width="153" bestFit="1" customWidth="1"/>
    <col min="3" max="3" width="39.5" customWidth="1"/>
    <col min="7" max="7" width="25" customWidth="1"/>
  </cols>
  <sheetData>
    <row r="1" spans="1:3">
      <c r="A1" s="6"/>
      <c r="B1" s="117" t="s">
        <v>161</v>
      </c>
      <c r="C1" s="47"/>
    </row>
    <row r="2" spans="1:3" s="114" customFormat="1">
      <c r="A2" s="155">
        <v>1</v>
      </c>
      <c r="B2" s="115" t="s">
        <v>162</v>
      </c>
      <c r="C2" s="661" t="s">
        <v>966</v>
      </c>
    </row>
    <row r="3" spans="1:3" s="114" customFormat="1">
      <c r="A3" s="155">
        <v>2</v>
      </c>
      <c r="B3" s="116" t="s">
        <v>163</v>
      </c>
      <c r="C3" s="661" t="s">
        <v>949</v>
      </c>
    </row>
    <row r="4" spans="1:3" s="114" customFormat="1">
      <c r="A4" s="155">
        <v>3</v>
      </c>
      <c r="B4" s="116" t="s">
        <v>164</v>
      </c>
      <c r="C4" s="661" t="s">
        <v>956</v>
      </c>
    </row>
    <row r="5" spans="1:3" s="114" customFormat="1">
      <c r="A5" s="156">
        <v>4</v>
      </c>
      <c r="B5" s="119" t="s">
        <v>165</v>
      </c>
      <c r="C5" s="662" t="s">
        <v>967</v>
      </c>
    </row>
    <row r="6" spans="1:3" s="118" customFormat="1" ht="65.25" customHeight="1">
      <c r="A6" s="723" t="s">
        <v>323</v>
      </c>
      <c r="B6" s="724"/>
      <c r="C6" s="724"/>
    </row>
    <row r="7" spans="1:3">
      <c r="A7" s="261" t="s">
        <v>253</v>
      </c>
      <c r="B7" s="262" t="s">
        <v>166</v>
      </c>
    </row>
    <row r="8" spans="1:3">
      <c r="A8" s="263">
        <v>1</v>
      </c>
      <c r="B8" s="259" t="s">
        <v>141</v>
      </c>
    </row>
    <row r="9" spans="1:3">
      <c r="A9" s="263">
        <v>2</v>
      </c>
      <c r="B9" s="259" t="s">
        <v>167</v>
      </c>
    </row>
    <row r="10" spans="1:3">
      <c r="A10" s="263">
        <v>3</v>
      </c>
      <c r="B10" s="259" t="s">
        <v>168</v>
      </c>
    </row>
    <row r="11" spans="1:3">
      <c r="A11" s="263">
        <v>4</v>
      </c>
      <c r="B11" s="259" t="s">
        <v>169</v>
      </c>
    </row>
    <row r="12" spans="1:3">
      <c r="A12" s="263">
        <v>5</v>
      </c>
      <c r="B12" s="259" t="s">
        <v>109</v>
      </c>
    </row>
    <row r="13" spans="1:3">
      <c r="A13" s="263">
        <v>6</v>
      </c>
      <c r="B13" s="264" t="s">
        <v>93</v>
      </c>
    </row>
    <row r="14" spans="1:3">
      <c r="A14" s="263">
        <v>7</v>
      </c>
      <c r="B14" s="259" t="s">
        <v>170</v>
      </c>
    </row>
    <row r="15" spans="1:3">
      <c r="A15" s="263">
        <v>8</v>
      </c>
      <c r="B15" s="259" t="s">
        <v>173</v>
      </c>
    </row>
    <row r="16" spans="1:3">
      <c r="A16" s="263">
        <v>9</v>
      </c>
      <c r="B16" s="259" t="s">
        <v>87</v>
      </c>
    </row>
    <row r="17" spans="1:2" ht="15">
      <c r="A17" s="265" t="s">
        <v>380</v>
      </c>
      <c r="B17" s="259" t="s">
        <v>360</v>
      </c>
    </row>
    <row r="18" spans="1:2">
      <c r="A18" s="263">
        <v>10</v>
      </c>
      <c r="B18" s="259" t="s">
        <v>174</v>
      </c>
    </row>
    <row r="19" spans="1:2">
      <c r="A19" s="263">
        <v>11</v>
      </c>
      <c r="B19" s="264" t="s">
        <v>157</v>
      </c>
    </row>
    <row r="20" spans="1:2">
      <c r="A20" s="263">
        <v>12</v>
      </c>
      <c r="B20" s="264" t="s">
        <v>154</v>
      </c>
    </row>
    <row r="21" spans="1:2">
      <c r="A21" s="263">
        <v>13</v>
      </c>
      <c r="B21" s="266" t="s">
        <v>299</v>
      </c>
    </row>
    <row r="22" spans="1:2">
      <c r="A22" s="263">
        <v>14</v>
      </c>
      <c r="B22" s="259" t="s">
        <v>353</v>
      </c>
    </row>
    <row r="23" spans="1:2">
      <c r="A23" s="263">
        <v>15</v>
      </c>
      <c r="B23" s="259" t="s">
        <v>76</v>
      </c>
    </row>
    <row r="24" spans="1:2">
      <c r="A24" s="263">
        <v>15.1</v>
      </c>
      <c r="B24" s="259" t="s">
        <v>389</v>
      </c>
    </row>
    <row r="25" spans="1:2">
      <c r="A25" s="263">
        <v>16</v>
      </c>
      <c r="B25" s="259" t="s">
        <v>455</v>
      </c>
    </row>
    <row r="26" spans="1:2">
      <c r="A26" s="263">
        <v>17</v>
      </c>
      <c r="B26" s="259" t="s">
        <v>679</v>
      </c>
    </row>
    <row r="27" spans="1:2">
      <c r="A27" s="263">
        <v>18</v>
      </c>
      <c r="B27" s="259" t="s">
        <v>942</v>
      </c>
    </row>
    <row r="28" spans="1:2">
      <c r="A28" s="263">
        <v>19</v>
      </c>
      <c r="B28" s="259" t="s">
        <v>943</v>
      </c>
    </row>
    <row r="29" spans="1:2">
      <c r="A29" s="263">
        <v>20</v>
      </c>
      <c r="B29" s="259" t="s">
        <v>944</v>
      </c>
    </row>
    <row r="30" spans="1:2">
      <c r="A30" s="263">
        <v>21</v>
      </c>
      <c r="B30" s="259" t="s">
        <v>548</v>
      </c>
    </row>
    <row r="31" spans="1:2">
      <c r="A31" s="263">
        <v>22</v>
      </c>
      <c r="B31" s="259" t="s">
        <v>945</v>
      </c>
    </row>
    <row r="32" spans="1:2" ht="25.5">
      <c r="A32" s="263">
        <v>23</v>
      </c>
      <c r="B32" s="624" t="s">
        <v>941</v>
      </c>
    </row>
    <row r="33" spans="1:2">
      <c r="A33" s="263">
        <v>24</v>
      </c>
      <c r="B33" s="259" t="s">
        <v>946</v>
      </c>
    </row>
    <row r="34" spans="1:2">
      <c r="A34" s="263">
        <v>25</v>
      </c>
      <c r="B34" s="259" t="s">
        <v>947</v>
      </c>
    </row>
    <row r="35" spans="1:2">
      <c r="A35" s="263">
        <v>26</v>
      </c>
      <c r="B35" s="259" t="s">
        <v>725</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0AE1223B-9554-4123-ABE4-F84C211D644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6" activePane="bottomRight" state="frozen"/>
      <selection pane="topRight" activeCell="B1" sqref="B1"/>
      <selection pane="bottomLeft" activeCell="A5" sqref="A5"/>
      <selection pane="bottomRight" activeCell="B18" sqref="B18"/>
    </sheetView>
  </sheetViews>
  <sheetFormatPr defaultRowHeight="15.75"/>
  <cols>
    <col min="1" max="1" width="9.5" style="1" bestFit="1" customWidth="1"/>
    <col min="2" max="2" width="132.5" style="1" customWidth="1"/>
    <col min="3" max="3" width="18.5" style="1" customWidth="1"/>
  </cols>
  <sheetData>
    <row r="1" spans="1:6">
      <c r="A1" s="13" t="s">
        <v>110</v>
      </c>
      <c r="B1" s="12" t="str">
        <f>Info!C2</f>
        <v>სს "პეისერა ბანკი საქართველო"</v>
      </c>
      <c r="D1" s="1"/>
      <c r="E1" s="1"/>
      <c r="F1" s="1"/>
    </row>
    <row r="2" spans="1:6" s="13" customFormat="1" ht="15.75" customHeight="1">
      <c r="A2" s="13" t="s">
        <v>111</v>
      </c>
      <c r="B2" s="334">
        <f>'1. key ratios'!B2</f>
        <v>45016</v>
      </c>
    </row>
    <row r="3" spans="1:6" s="13" customFormat="1" ht="15.75" customHeight="1"/>
    <row r="4" spans="1:6" ht="16.5" thickBot="1">
      <c r="A4" s="1" t="s">
        <v>259</v>
      </c>
      <c r="B4" s="23" t="s">
        <v>87</v>
      </c>
    </row>
    <row r="5" spans="1:6" ht="15">
      <c r="A5" s="78" t="s">
        <v>27</v>
      </c>
      <c r="B5" s="79"/>
      <c r="C5" s="80" t="s">
        <v>28</v>
      </c>
    </row>
    <row r="6" spans="1:6" ht="15">
      <c r="A6" s="81">
        <v>1</v>
      </c>
      <c r="B6" s="43" t="s">
        <v>29</v>
      </c>
      <c r="C6" s="166">
        <f>SUM(C7:C11)</f>
        <v>2752035.4</v>
      </c>
    </row>
    <row r="7" spans="1:6" ht="15">
      <c r="A7" s="81">
        <v>2</v>
      </c>
      <c r="B7" s="40" t="s">
        <v>30</v>
      </c>
      <c r="C7" s="167">
        <v>3250005</v>
      </c>
    </row>
    <row r="8" spans="1:6" ht="15">
      <c r="A8" s="81">
        <v>3</v>
      </c>
      <c r="B8" s="35" t="s">
        <v>31</v>
      </c>
      <c r="C8" s="167">
        <v>0</v>
      </c>
    </row>
    <row r="9" spans="1:6" ht="15">
      <c r="A9" s="81">
        <v>4</v>
      </c>
      <c r="B9" s="35" t="s">
        <v>32</v>
      </c>
      <c r="C9" s="167">
        <v>0</v>
      </c>
    </row>
    <row r="10" spans="1:6" ht="15">
      <c r="A10" s="81">
        <v>5</v>
      </c>
      <c r="B10" s="35" t="s">
        <v>33</v>
      </c>
      <c r="C10" s="167">
        <v>0</v>
      </c>
    </row>
    <row r="11" spans="1:6" ht="15">
      <c r="A11" s="81">
        <v>6</v>
      </c>
      <c r="B11" s="41" t="s">
        <v>34</v>
      </c>
      <c r="C11" s="167">
        <v>-497969.6</v>
      </c>
    </row>
    <row r="12" spans="1:6" s="2" customFormat="1" ht="15">
      <c r="A12" s="81">
        <v>7</v>
      </c>
      <c r="B12" s="43" t="s">
        <v>35</v>
      </c>
      <c r="C12" s="168">
        <f>SUM(C13:C28)</f>
        <v>0</v>
      </c>
    </row>
    <row r="13" spans="1:6" s="2" customFormat="1" ht="15">
      <c r="A13" s="81">
        <v>8</v>
      </c>
      <c r="B13" s="42" t="s">
        <v>36</v>
      </c>
      <c r="C13" s="167">
        <v>0</v>
      </c>
    </row>
    <row r="14" spans="1:6" s="2" customFormat="1" ht="30">
      <c r="A14" s="81">
        <v>9</v>
      </c>
      <c r="B14" s="36" t="s">
        <v>37</v>
      </c>
      <c r="C14" s="167">
        <v>0</v>
      </c>
    </row>
    <row r="15" spans="1:6" s="2" customFormat="1" ht="15">
      <c r="A15" s="81">
        <v>10</v>
      </c>
      <c r="B15" s="37" t="s">
        <v>38</v>
      </c>
      <c r="C15" s="167">
        <v>0</v>
      </c>
    </row>
    <row r="16" spans="1:6" s="2" customFormat="1" ht="15">
      <c r="A16" s="81">
        <v>11</v>
      </c>
      <c r="B16" s="38" t="s">
        <v>39</v>
      </c>
      <c r="C16" s="167">
        <v>0</v>
      </c>
    </row>
    <row r="17" spans="1:3" s="2" customFormat="1" ht="15">
      <c r="A17" s="81">
        <v>12</v>
      </c>
      <c r="B17" s="37" t="s">
        <v>40</v>
      </c>
      <c r="C17" s="167">
        <v>0</v>
      </c>
    </row>
    <row r="18" spans="1:3" s="2" customFormat="1" ht="15">
      <c r="A18" s="81">
        <v>13</v>
      </c>
      <c r="B18" s="37" t="s">
        <v>41</v>
      </c>
      <c r="C18" s="167">
        <v>0</v>
      </c>
    </row>
    <row r="19" spans="1:3" s="2" customFormat="1" ht="15">
      <c r="A19" s="81">
        <v>14</v>
      </c>
      <c r="B19" s="37" t="s">
        <v>42</v>
      </c>
      <c r="C19" s="167">
        <v>0</v>
      </c>
    </row>
    <row r="20" spans="1:3" s="2" customFormat="1" ht="15">
      <c r="A20" s="81">
        <v>15</v>
      </c>
      <c r="B20" s="37" t="s">
        <v>43</v>
      </c>
      <c r="C20" s="167">
        <v>0</v>
      </c>
    </row>
    <row r="21" spans="1:3" s="2" customFormat="1" ht="30">
      <c r="A21" s="81">
        <v>16</v>
      </c>
      <c r="B21" s="36" t="s">
        <v>44</v>
      </c>
      <c r="C21" s="167">
        <v>0</v>
      </c>
    </row>
    <row r="22" spans="1:3" s="2" customFormat="1">
      <c r="A22" s="81">
        <v>17</v>
      </c>
      <c r="B22" s="82" t="s">
        <v>45</v>
      </c>
      <c r="C22" s="167">
        <v>0</v>
      </c>
    </row>
    <row r="23" spans="1:3" s="2" customFormat="1">
      <c r="A23" s="81">
        <v>18</v>
      </c>
      <c r="B23" s="625" t="s">
        <v>728</v>
      </c>
      <c r="C23" s="167">
        <v>0</v>
      </c>
    </row>
    <row r="24" spans="1:3" s="2" customFormat="1" ht="30">
      <c r="A24" s="81">
        <v>19</v>
      </c>
      <c r="B24" s="36" t="s">
        <v>46</v>
      </c>
      <c r="C24" s="167">
        <v>0</v>
      </c>
    </row>
    <row r="25" spans="1:3" s="2" customFormat="1" ht="30">
      <c r="A25" s="81">
        <v>20</v>
      </c>
      <c r="B25" s="36" t="s">
        <v>47</v>
      </c>
      <c r="C25" s="167">
        <v>0</v>
      </c>
    </row>
    <row r="26" spans="1:3" s="2" customFormat="1" ht="30">
      <c r="A26" s="81">
        <v>21</v>
      </c>
      <c r="B26" s="38" t="s">
        <v>48</v>
      </c>
      <c r="C26" s="167">
        <v>0</v>
      </c>
    </row>
    <row r="27" spans="1:3" s="2" customFormat="1" ht="15">
      <c r="A27" s="81">
        <v>22</v>
      </c>
      <c r="B27" s="38" t="s">
        <v>49</v>
      </c>
      <c r="C27" s="167">
        <v>0</v>
      </c>
    </row>
    <row r="28" spans="1:3" s="2" customFormat="1" ht="30">
      <c r="A28" s="81">
        <v>23</v>
      </c>
      <c r="B28" s="38" t="s">
        <v>50</v>
      </c>
      <c r="C28" s="167">
        <v>0</v>
      </c>
    </row>
    <row r="29" spans="1:3" s="2" customFormat="1" ht="15">
      <c r="A29" s="81">
        <v>24</v>
      </c>
      <c r="B29" s="44" t="s">
        <v>24</v>
      </c>
      <c r="C29" s="168">
        <f>C6-C12</f>
        <v>2752035.4</v>
      </c>
    </row>
    <row r="30" spans="1:3" s="2" customFormat="1" ht="15">
      <c r="A30" s="83"/>
      <c r="B30" s="39"/>
      <c r="C30" s="169"/>
    </row>
    <row r="31" spans="1:3" s="2" customFormat="1" ht="15">
      <c r="A31" s="83">
        <v>25</v>
      </c>
      <c r="B31" s="44" t="s">
        <v>51</v>
      </c>
      <c r="C31" s="168">
        <f>C32+C35</f>
        <v>3790887.2800000003</v>
      </c>
    </row>
    <row r="32" spans="1:3" s="2" customFormat="1" ht="15">
      <c r="A32" s="83">
        <v>26</v>
      </c>
      <c r="B32" s="35" t="s">
        <v>52</v>
      </c>
      <c r="C32" s="170">
        <f>C33+C34</f>
        <v>0</v>
      </c>
    </row>
    <row r="33" spans="1:3" s="2" customFormat="1" ht="15">
      <c r="A33" s="83">
        <v>27</v>
      </c>
      <c r="B33" s="112" t="s">
        <v>53</v>
      </c>
      <c r="C33" s="167">
        <v>0</v>
      </c>
    </row>
    <row r="34" spans="1:3" s="2" customFormat="1" ht="15">
      <c r="A34" s="83">
        <v>28</v>
      </c>
      <c r="B34" s="112" t="s">
        <v>54</v>
      </c>
      <c r="C34" s="167">
        <v>0</v>
      </c>
    </row>
    <row r="35" spans="1:3" s="2" customFormat="1" ht="15">
      <c r="A35" s="83">
        <v>29</v>
      </c>
      <c r="B35" s="35" t="s">
        <v>55</v>
      </c>
      <c r="C35" s="167">
        <v>3790887.2800000003</v>
      </c>
    </row>
    <row r="36" spans="1:3" s="2" customFormat="1" ht="15">
      <c r="A36" s="83">
        <v>30</v>
      </c>
      <c r="B36" s="44" t="s">
        <v>56</v>
      </c>
      <c r="C36" s="168">
        <f>SUM(C37:C41)</f>
        <v>0</v>
      </c>
    </row>
    <row r="37" spans="1:3" s="2" customFormat="1" ht="15">
      <c r="A37" s="83">
        <v>31</v>
      </c>
      <c r="B37" s="36" t="s">
        <v>57</v>
      </c>
      <c r="C37" s="167">
        <v>0</v>
      </c>
    </row>
    <row r="38" spans="1:3" s="2" customFormat="1" ht="15">
      <c r="A38" s="83">
        <v>32</v>
      </c>
      <c r="B38" s="37" t="s">
        <v>58</v>
      </c>
      <c r="C38" s="167">
        <v>0</v>
      </c>
    </row>
    <row r="39" spans="1:3" s="2" customFormat="1" ht="30">
      <c r="A39" s="83">
        <v>33</v>
      </c>
      <c r="B39" s="36" t="s">
        <v>59</v>
      </c>
      <c r="C39" s="167">
        <v>0</v>
      </c>
    </row>
    <row r="40" spans="1:3" s="2" customFormat="1" ht="30">
      <c r="A40" s="83">
        <v>34</v>
      </c>
      <c r="B40" s="36" t="s">
        <v>47</v>
      </c>
      <c r="C40" s="167">
        <v>0</v>
      </c>
    </row>
    <row r="41" spans="1:3" s="2" customFormat="1" ht="15">
      <c r="A41" s="83">
        <v>35</v>
      </c>
      <c r="B41" s="38" t="s">
        <v>60</v>
      </c>
      <c r="C41" s="167">
        <v>0</v>
      </c>
    </row>
    <row r="42" spans="1:3" s="2" customFormat="1" ht="15">
      <c r="A42" s="83">
        <v>36</v>
      </c>
      <c r="B42" s="44" t="s">
        <v>25</v>
      </c>
      <c r="C42" s="168">
        <f>C31-C36</f>
        <v>3790887.2800000003</v>
      </c>
    </row>
    <row r="43" spans="1:3" s="2" customFormat="1" ht="15">
      <c r="A43" s="83"/>
      <c r="B43" s="39"/>
      <c r="C43" s="169"/>
    </row>
    <row r="44" spans="1:3" s="2" customFormat="1" ht="15">
      <c r="A44" s="83">
        <v>37</v>
      </c>
      <c r="B44" s="45" t="s">
        <v>61</v>
      </c>
      <c r="C44" s="168">
        <f>SUM(C45:C47)</f>
        <v>0</v>
      </c>
    </row>
    <row r="45" spans="1:3" s="2" customFormat="1" ht="15">
      <c r="A45" s="83">
        <v>38</v>
      </c>
      <c r="B45" s="35" t="s">
        <v>62</v>
      </c>
      <c r="C45" s="169"/>
    </row>
    <row r="46" spans="1:3" s="2" customFormat="1" ht="15">
      <c r="A46" s="83">
        <v>39</v>
      </c>
      <c r="B46" s="35" t="s">
        <v>63</v>
      </c>
      <c r="C46" s="169"/>
    </row>
    <row r="47" spans="1:3" s="2" customFormat="1" ht="15">
      <c r="A47" s="83">
        <v>40</v>
      </c>
      <c r="B47" s="626" t="s">
        <v>727</v>
      </c>
      <c r="C47" s="169"/>
    </row>
    <row r="48" spans="1:3" s="2" customFormat="1" ht="15">
      <c r="A48" s="83">
        <v>41</v>
      </c>
      <c r="B48" s="45" t="s">
        <v>64</v>
      </c>
      <c r="C48" s="168">
        <f>SUM(C49:C52)</f>
        <v>0</v>
      </c>
    </row>
    <row r="49" spans="1:3" s="2" customFormat="1" ht="15">
      <c r="A49" s="83">
        <v>42</v>
      </c>
      <c r="B49" s="36" t="s">
        <v>65</v>
      </c>
      <c r="C49" s="169"/>
    </row>
    <row r="50" spans="1:3" s="2" customFormat="1" ht="15">
      <c r="A50" s="83">
        <v>43</v>
      </c>
      <c r="B50" s="37" t="s">
        <v>66</v>
      </c>
      <c r="C50" s="169"/>
    </row>
    <row r="51" spans="1:3" s="2" customFormat="1" ht="30">
      <c r="A51" s="83">
        <v>44</v>
      </c>
      <c r="B51" s="36" t="s">
        <v>67</v>
      </c>
      <c r="C51" s="169"/>
    </row>
    <row r="52" spans="1:3" s="2" customFormat="1" ht="30">
      <c r="A52" s="83">
        <v>45</v>
      </c>
      <c r="B52" s="36" t="s">
        <v>47</v>
      </c>
      <c r="C52" s="169"/>
    </row>
    <row r="53" spans="1:3" s="2" customFormat="1" thickBot="1">
      <c r="A53" s="83">
        <v>46</v>
      </c>
      <c r="B53" s="84" t="s">
        <v>26</v>
      </c>
      <c r="C53" s="171">
        <f>C44-C48</f>
        <v>0</v>
      </c>
    </row>
    <row r="56" spans="1:3">
      <c r="B56" s="1" t="s">
        <v>143</v>
      </c>
    </row>
  </sheetData>
  <dataValidations count="1">
    <dataValidation operator="lessThanOrEqual" allowBlank="1" showInputMessage="1" showErrorMessage="1" errorTitle="Should be negative number" error="Should be whole negative number or 0" sqref="C29:C32 C36 C42: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D7" sqref="D7"/>
    </sheetView>
  </sheetViews>
  <sheetFormatPr defaultColWidth="9.125" defaultRowHeight="15"/>
  <cols>
    <col min="1" max="1" width="10.875" style="1" bestFit="1" customWidth="1"/>
    <col min="2" max="2" width="59" style="1" customWidth="1"/>
    <col min="3" max="3" width="16.75" style="1" bestFit="1" customWidth="1"/>
    <col min="4" max="4" width="22.125" style="1" customWidth="1"/>
    <col min="5" max="16384" width="9.125" style="1"/>
  </cols>
  <sheetData>
    <row r="1" spans="1:4">
      <c r="A1" s="13" t="s">
        <v>110</v>
      </c>
      <c r="B1" s="12" t="str">
        <f>Info!C2</f>
        <v>სს "პეისერა ბანკი საქართველო"</v>
      </c>
    </row>
    <row r="2" spans="1:4" s="13" customFormat="1" ht="15.75" customHeight="1">
      <c r="A2" s="13" t="s">
        <v>111</v>
      </c>
      <c r="B2" s="694">
        <f>'1. key ratios'!B2</f>
        <v>45016</v>
      </c>
    </row>
    <row r="3" spans="1:4" s="13" customFormat="1" ht="15.75" customHeight="1"/>
    <row r="4" spans="1:4" ht="15.75" thickBot="1">
      <c r="A4" s="1" t="s">
        <v>359</v>
      </c>
      <c r="B4" s="249" t="s">
        <v>360</v>
      </c>
    </row>
    <row r="5" spans="1:4" s="31" customFormat="1">
      <c r="A5" s="757" t="s">
        <v>361</v>
      </c>
      <c r="B5" s="758"/>
      <c r="C5" s="239" t="s">
        <v>362</v>
      </c>
      <c r="D5" s="240" t="s">
        <v>363</v>
      </c>
    </row>
    <row r="6" spans="1:4" s="250" customFormat="1">
      <c r="A6" s="241">
        <v>1</v>
      </c>
      <c r="B6" s="242" t="s">
        <v>364</v>
      </c>
      <c r="C6" s="242"/>
      <c r="D6" s="243"/>
    </row>
    <row r="7" spans="1:4" s="250" customFormat="1">
      <c r="A7" s="244" t="s">
        <v>365</v>
      </c>
      <c r="B7" s="245" t="s">
        <v>366</v>
      </c>
      <c r="C7" s="292">
        <v>4.4999999999999998E-2</v>
      </c>
      <c r="D7" s="708">
        <f>C7*'5. RWA'!$C$13</f>
        <v>145017.00072000001</v>
      </c>
    </row>
    <row r="8" spans="1:4" s="250" customFormat="1">
      <c r="A8" s="244" t="s">
        <v>367</v>
      </c>
      <c r="B8" s="245" t="s">
        <v>368</v>
      </c>
      <c r="C8" s="293">
        <v>0.06</v>
      </c>
      <c r="D8" s="708">
        <f>C8*'5. RWA'!$C$13</f>
        <v>193356.00096</v>
      </c>
    </row>
    <row r="9" spans="1:4" s="250" customFormat="1">
      <c r="A9" s="244" t="s">
        <v>369</v>
      </c>
      <c r="B9" s="245" t="s">
        <v>370</v>
      </c>
      <c r="C9" s="293">
        <v>0.08</v>
      </c>
      <c r="D9" s="708">
        <f>C9*'5. RWA'!$C$13</f>
        <v>257808.00128000003</v>
      </c>
    </row>
    <row r="10" spans="1:4" s="250" customFormat="1">
      <c r="A10" s="241" t="s">
        <v>371</v>
      </c>
      <c r="B10" s="242" t="s">
        <v>372</v>
      </c>
      <c r="C10" s="294"/>
      <c r="D10" s="709"/>
    </row>
    <row r="11" spans="1:4" s="251" customFormat="1">
      <c r="A11" s="246" t="s">
        <v>373</v>
      </c>
      <c r="B11" s="247" t="s">
        <v>435</v>
      </c>
      <c r="C11" s="295">
        <v>2.5000000000000001E-2</v>
      </c>
      <c r="D11" s="710">
        <f>C11*'5. RWA'!$C$13</f>
        <v>80565.000400000019</v>
      </c>
    </row>
    <row r="12" spans="1:4" s="251" customFormat="1">
      <c r="A12" s="246" t="s">
        <v>374</v>
      </c>
      <c r="B12" s="247" t="s">
        <v>375</v>
      </c>
      <c r="C12" s="295">
        <v>0.01</v>
      </c>
      <c r="D12" s="710">
        <f>C12*'5. RWA'!$C$13</f>
        <v>32226.000160000003</v>
      </c>
    </row>
    <row r="13" spans="1:4" s="251" customFormat="1">
      <c r="A13" s="246" t="s">
        <v>376</v>
      </c>
      <c r="B13" s="247" t="s">
        <v>377</v>
      </c>
      <c r="C13" s="295"/>
      <c r="D13" s="710">
        <f>C13*'5. RWA'!$C$13</f>
        <v>0</v>
      </c>
    </row>
    <row r="14" spans="1:4" s="250" customFormat="1">
      <c r="A14" s="241" t="s">
        <v>378</v>
      </c>
      <c r="B14" s="242" t="s">
        <v>433</v>
      </c>
      <c r="C14" s="296"/>
      <c r="D14" s="709"/>
    </row>
    <row r="15" spans="1:4" s="250" customFormat="1">
      <c r="A15" s="260" t="s">
        <v>381</v>
      </c>
      <c r="B15" s="247" t="s">
        <v>434</v>
      </c>
      <c r="C15" s="295"/>
      <c r="D15" s="710">
        <f>C15*'5. RWA'!$C$13</f>
        <v>0</v>
      </c>
    </row>
    <row r="16" spans="1:4" s="250" customFormat="1">
      <c r="A16" s="260" t="s">
        <v>382</v>
      </c>
      <c r="B16" s="247" t="s">
        <v>384</v>
      </c>
      <c r="C16" s="295"/>
      <c r="D16" s="710">
        <f>C16*'5. RWA'!$C$13</f>
        <v>0</v>
      </c>
    </row>
    <row r="17" spans="1:4" s="250" customFormat="1">
      <c r="A17" s="260" t="s">
        <v>383</v>
      </c>
      <c r="B17" s="247" t="s">
        <v>431</v>
      </c>
      <c r="C17" s="295"/>
      <c r="D17" s="710">
        <f>C17*'5. RWA'!$C$13</f>
        <v>0</v>
      </c>
    </row>
    <row r="18" spans="1:4" s="31" customFormat="1">
      <c r="A18" s="759" t="s">
        <v>432</v>
      </c>
      <c r="B18" s="760"/>
      <c r="C18" s="297" t="s">
        <v>362</v>
      </c>
      <c r="D18" s="711" t="s">
        <v>363</v>
      </c>
    </row>
    <row r="19" spans="1:4" s="250" customFormat="1">
      <c r="A19" s="248">
        <v>4</v>
      </c>
      <c r="B19" s="247" t="s">
        <v>24</v>
      </c>
      <c r="C19" s="295">
        <f>C7+C11+C12+C13+C15</f>
        <v>0.08</v>
      </c>
      <c r="D19" s="708">
        <f>C19*'5. RWA'!$C$13</f>
        <v>257808.00128000003</v>
      </c>
    </row>
    <row r="20" spans="1:4" s="250" customFormat="1">
      <c r="A20" s="248">
        <v>5</v>
      </c>
      <c r="B20" s="247" t="s">
        <v>88</v>
      </c>
      <c r="C20" s="295">
        <f>C8+C11+C12+C13+C16</f>
        <v>9.4999999999999987E-2</v>
      </c>
      <c r="D20" s="708">
        <f>C20*'5. RWA'!$C$13</f>
        <v>306147.00151999999</v>
      </c>
    </row>
    <row r="21" spans="1:4" s="250" customFormat="1" ht="15.75" thickBot="1">
      <c r="A21" s="252" t="s">
        <v>379</v>
      </c>
      <c r="B21" s="253" t="s">
        <v>87</v>
      </c>
      <c r="C21" s="298">
        <f>C9+C11+C12+C13+C17</f>
        <v>0.115</v>
      </c>
      <c r="D21" s="712">
        <f>C21*'5. RWA'!$C$13</f>
        <v>370599.00184000004</v>
      </c>
    </row>
    <row r="23" spans="1:4" ht="60">
      <c r="B23" s="17" t="s">
        <v>436</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Normal="100" workbookViewId="0">
      <pane xSplit="1" ySplit="5" topLeftCell="B17" activePane="bottomRight" state="frozen"/>
      <selection pane="topRight" activeCell="B1" sqref="B1"/>
      <selection pane="bottomLeft" activeCell="A5" sqref="A5"/>
      <selection pane="bottomRight" activeCell="C66" sqref="C66"/>
    </sheetView>
  </sheetViews>
  <sheetFormatPr defaultRowHeight="15.75"/>
  <cols>
    <col min="1" max="1" width="10.75" style="32" customWidth="1"/>
    <col min="2" max="2" width="91.875" style="32" customWidth="1"/>
    <col min="3" max="3" width="53.125" style="666" customWidth="1"/>
    <col min="4" max="4" width="32.25" style="32" customWidth="1"/>
    <col min="5" max="5" width="9.5" customWidth="1"/>
  </cols>
  <sheetData>
    <row r="1" spans="1:6">
      <c r="A1" s="13" t="s">
        <v>110</v>
      </c>
      <c r="B1" s="14" t="str">
        <f>Info!C2</f>
        <v>სს "პეისერა ბანკი საქართველო"</v>
      </c>
      <c r="E1" s="1"/>
      <c r="F1" s="1"/>
    </row>
    <row r="2" spans="1:6" s="13" customFormat="1" ht="15.75" customHeight="1">
      <c r="A2" s="13" t="s">
        <v>111</v>
      </c>
      <c r="B2" s="334">
        <f>'1. key ratios'!B2</f>
        <v>45016</v>
      </c>
      <c r="C2" s="651"/>
    </row>
    <row r="3" spans="1:6" s="13" customFormat="1" ht="15.75" customHeight="1">
      <c r="A3" s="20"/>
      <c r="C3" s="651"/>
    </row>
    <row r="4" spans="1:6" s="13" customFormat="1" ht="15.75" customHeight="1" thickBot="1">
      <c r="A4" s="13" t="s">
        <v>260</v>
      </c>
      <c r="B4" s="132" t="s">
        <v>174</v>
      </c>
      <c r="C4" s="651"/>
      <c r="D4" s="134" t="s">
        <v>89</v>
      </c>
    </row>
    <row r="5" spans="1:6" ht="30">
      <c r="A5" s="90" t="s">
        <v>27</v>
      </c>
      <c r="B5" s="91" t="s">
        <v>146</v>
      </c>
      <c r="C5" s="667" t="s">
        <v>860</v>
      </c>
      <c r="D5" s="133" t="s">
        <v>175</v>
      </c>
    </row>
    <row r="6" spans="1:6">
      <c r="A6" s="437">
        <v>1</v>
      </c>
      <c r="B6" s="398" t="s">
        <v>845</v>
      </c>
      <c r="C6" s="668">
        <f>SUM(C7:C9)</f>
        <v>5978245.3200000003</v>
      </c>
      <c r="D6" s="85"/>
      <c r="E6" s="4"/>
    </row>
    <row r="7" spans="1:6">
      <c r="A7" s="437">
        <v>1.1000000000000001</v>
      </c>
      <c r="B7" s="399" t="s">
        <v>98</v>
      </c>
      <c r="C7" s="669"/>
      <c r="D7" s="86"/>
      <c r="E7" s="4"/>
    </row>
    <row r="8" spans="1:6">
      <c r="A8" s="437">
        <v>1.2</v>
      </c>
      <c r="B8" s="399" t="s">
        <v>99</v>
      </c>
      <c r="C8" s="669"/>
      <c r="D8" s="86"/>
      <c r="E8" s="4"/>
    </row>
    <row r="9" spans="1:6">
      <c r="A9" s="437">
        <v>1.3</v>
      </c>
      <c r="B9" s="399" t="s">
        <v>100</v>
      </c>
      <c r="C9" s="669">
        <v>5978245.3200000003</v>
      </c>
      <c r="D9" s="86"/>
      <c r="E9" s="4"/>
    </row>
    <row r="10" spans="1:6">
      <c r="A10" s="437">
        <v>2</v>
      </c>
      <c r="B10" s="400" t="s">
        <v>732</v>
      </c>
      <c r="C10" s="670"/>
      <c r="D10" s="86"/>
      <c r="E10" s="4"/>
    </row>
    <row r="11" spans="1:6">
      <c r="A11" s="437">
        <v>2.1</v>
      </c>
      <c r="B11" s="401" t="s">
        <v>733</v>
      </c>
      <c r="C11" s="671"/>
      <c r="D11" s="87"/>
      <c r="E11" s="5"/>
    </row>
    <row r="12" spans="1:6" ht="23.45" customHeight="1">
      <c r="A12" s="437">
        <v>3</v>
      </c>
      <c r="B12" s="402" t="s">
        <v>734</v>
      </c>
      <c r="C12" s="672"/>
      <c r="D12" s="87"/>
      <c r="E12" s="5"/>
    </row>
    <row r="13" spans="1:6" ht="23.1" customHeight="1">
      <c r="A13" s="437">
        <v>4</v>
      </c>
      <c r="B13" s="403" t="s">
        <v>735</v>
      </c>
      <c r="C13" s="672"/>
      <c r="D13" s="87"/>
      <c r="E13" s="5"/>
    </row>
    <row r="14" spans="1:6">
      <c r="A14" s="437">
        <v>5</v>
      </c>
      <c r="B14" s="403" t="s">
        <v>736</v>
      </c>
      <c r="C14" s="672">
        <f>SUM(C15:C17)</f>
        <v>0</v>
      </c>
      <c r="D14" s="87"/>
      <c r="E14" s="5"/>
    </row>
    <row r="15" spans="1:6">
      <c r="A15" s="437">
        <v>5.0999999999999996</v>
      </c>
      <c r="B15" s="404" t="s">
        <v>737</v>
      </c>
      <c r="C15" s="669"/>
      <c r="D15" s="87"/>
      <c r="E15" s="4"/>
    </row>
    <row r="16" spans="1:6">
      <c r="A16" s="437">
        <v>5.2</v>
      </c>
      <c r="B16" s="404" t="s">
        <v>571</v>
      </c>
      <c r="C16" s="669"/>
      <c r="D16" s="86"/>
      <c r="E16" s="4"/>
    </row>
    <row r="17" spans="1:5">
      <c r="A17" s="437">
        <v>5.3</v>
      </c>
      <c r="B17" s="404" t="s">
        <v>738</v>
      </c>
      <c r="C17" s="669"/>
      <c r="D17" s="86"/>
      <c r="E17" s="4"/>
    </row>
    <row r="18" spans="1:5">
      <c r="A18" s="437">
        <v>6</v>
      </c>
      <c r="B18" s="402" t="s">
        <v>739</v>
      </c>
      <c r="C18" s="673">
        <f>SUM(C19:C20)</f>
        <v>0</v>
      </c>
      <c r="D18" s="86"/>
      <c r="E18" s="4"/>
    </row>
    <row r="19" spans="1:5">
      <c r="A19" s="437">
        <v>6.1</v>
      </c>
      <c r="B19" s="404" t="s">
        <v>571</v>
      </c>
      <c r="C19" s="671"/>
      <c r="D19" s="86"/>
      <c r="E19" s="4"/>
    </row>
    <row r="20" spans="1:5">
      <c r="A20" s="437">
        <v>6.2</v>
      </c>
      <c r="B20" s="404" t="s">
        <v>738</v>
      </c>
      <c r="C20" s="671"/>
      <c r="D20" s="86"/>
      <c r="E20" s="4"/>
    </row>
    <row r="21" spans="1:5">
      <c r="A21" s="437">
        <v>7</v>
      </c>
      <c r="B21" s="405" t="s">
        <v>740</v>
      </c>
      <c r="C21" s="672"/>
      <c r="D21" s="86"/>
      <c r="E21" s="4"/>
    </row>
    <row r="22" spans="1:5">
      <c r="A22" s="437">
        <v>8</v>
      </c>
      <c r="B22" s="406" t="s">
        <v>741</v>
      </c>
      <c r="C22" s="673"/>
      <c r="D22" s="86"/>
      <c r="E22" s="4"/>
    </row>
    <row r="23" spans="1:5">
      <c r="A23" s="437">
        <v>9</v>
      </c>
      <c r="B23" s="403" t="s">
        <v>742</v>
      </c>
      <c r="C23" s="673">
        <f>SUM(C24:C25)</f>
        <v>531496.53</v>
      </c>
      <c r="D23" s="461"/>
      <c r="E23" s="4"/>
    </row>
    <row r="24" spans="1:5">
      <c r="A24" s="437">
        <v>9.1</v>
      </c>
      <c r="B24" s="407" t="s">
        <v>743</v>
      </c>
      <c r="C24" s="674">
        <v>531496.53</v>
      </c>
      <c r="D24" s="88"/>
      <c r="E24" s="4"/>
    </row>
    <row r="25" spans="1:5">
      <c r="A25" s="437">
        <v>9.1999999999999993</v>
      </c>
      <c r="B25" s="407" t="s">
        <v>744</v>
      </c>
      <c r="C25" s="675"/>
      <c r="D25" s="460"/>
      <c r="E25" s="3"/>
    </row>
    <row r="26" spans="1:5">
      <c r="A26" s="437">
        <v>10</v>
      </c>
      <c r="B26" s="403" t="s">
        <v>38</v>
      </c>
      <c r="C26" s="676">
        <f>SUM(C27:C28)</f>
        <v>201292.66</v>
      </c>
      <c r="D26" s="604" t="s">
        <v>938</v>
      </c>
      <c r="E26" s="4"/>
    </row>
    <row r="27" spans="1:5">
      <c r="A27" s="437">
        <v>10.1</v>
      </c>
      <c r="B27" s="407" t="s">
        <v>745</v>
      </c>
      <c r="C27" s="669"/>
      <c r="D27" s="86"/>
      <c r="E27" s="4"/>
    </row>
    <row r="28" spans="1:5">
      <c r="A28" s="437">
        <v>10.199999999999999</v>
      </c>
      <c r="B28" s="407" t="s">
        <v>746</v>
      </c>
      <c r="C28" s="669">
        <v>201292.66</v>
      </c>
      <c r="D28" s="86"/>
      <c r="E28" s="4"/>
    </row>
    <row r="29" spans="1:5">
      <c r="A29" s="437">
        <v>11</v>
      </c>
      <c r="B29" s="403" t="s">
        <v>747</v>
      </c>
      <c r="C29" s="673">
        <f>SUM(C30:C31)</f>
        <v>0</v>
      </c>
      <c r="D29" s="86"/>
      <c r="E29" s="4"/>
    </row>
    <row r="30" spans="1:5">
      <c r="A30" s="437">
        <v>11.1</v>
      </c>
      <c r="B30" s="407" t="s">
        <v>748</v>
      </c>
      <c r="C30" s="669"/>
      <c r="D30" s="86"/>
      <c r="E30" s="4"/>
    </row>
    <row r="31" spans="1:5">
      <c r="A31" s="437">
        <v>11.2</v>
      </c>
      <c r="B31" s="407" t="s">
        <v>749</v>
      </c>
      <c r="C31" s="669"/>
      <c r="D31" s="86"/>
      <c r="E31" s="4"/>
    </row>
    <row r="32" spans="1:5">
      <c r="A32" s="437">
        <v>13</v>
      </c>
      <c r="B32" s="403" t="s">
        <v>101</v>
      </c>
      <c r="C32" s="673">
        <v>102526.7</v>
      </c>
      <c r="D32" s="86"/>
      <c r="E32" s="4"/>
    </row>
    <row r="33" spans="1:5">
      <c r="A33" s="437">
        <v>13.1</v>
      </c>
      <c r="B33" s="408" t="s">
        <v>750</v>
      </c>
      <c r="C33" s="669"/>
      <c r="D33" s="86"/>
      <c r="E33" s="4"/>
    </row>
    <row r="34" spans="1:5">
      <c r="A34" s="437">
        <v>13.2</v>
      </c>
      <c r="B34" s="408" t="s">
        <v>751</v>
      </c>
      <c r="C34" s="674"/>
      <c r="D34" s="88"/>
      <c r="E34" s="4"/>
    </row>
    <row r="35" spans="1:5">
      <c r="A35" s="437">
        <v>14</v>
      </c>
      <c r="B35" s="409" t="s">
        <v>752</v>
      </c>
      <c r="C35" s="677">
        <f>SUM(C6,C10,C12,C13,C14,C18,C21,C22,C23,C26,C29,C32)</f>
        <v>6813561.2100000009</v>
      </c>
      <c r="D35" s="88"/>
      <c r="E35" s="4"/>
    </row>
    <row r="36" spans="1:5">
      <c r="A36" s="437"/>
      <c r="B36" s="410" t="s">
        <v>106</v>
      </c>
      <c r="C36" s="678"/>
      <c r="D36" s="89"/>
      <c r="E36" s="4"/>
    </row>
    <row r="37" spans="1:5">
      <c r="A37" s="437">
        <v>15</v>
      </c>
      <c r="B37" s="411" t="s">
        <v>753</v>
      </c>
      <c r="C37" s="675"/>
      <c r="D37" s="460"/>
      <c r="E37" s="3"/>
    </row>
    <row r="38" spans="1:5">
      <c r="A38" s="437">
        <v>15.1</v>
      </c>
      <c r="B38" s="412" t="s">
        <v>733</v>
      </c>
      <c r="C38" s="669"/>
      <c r="D38" s="86"/>
      <c r="E38" s="4"/>
    </row>
    <row r="39" spans="1:5" ht="21">
      <c r="A39" s="437">
        <v>16</v>
      </c>
      <c r="B39" s="405" t="s">
        <v>754</v>
      </c>
      <c r="C39" s="673"/>
      <c r="D39" s="86"/>
      <c r="E39" s="4"/>
    </row>
    <row r="40" spans="1:5">
      <c r="A40" s="437">
        <v>17</v>
      </c>
      <c r="B40" s="405" t="s">
        <v>755</v>
      </c>
      <c r="C40" s="673">
        <f>SUM(C41:C44)</f>
        <v>0</v>
      </c>
      <c r="D40" s="86"/>
      <c r="E40" s="4"/>
    </row>
    <row r="41" spans="1:5">
      <c r="A41" s="437">
        <v>17.100000000000001</v>
      </c>
      <c r="B41" s="413" t="s">
        <v>756</v>
      </c>
      <c r="C41" s="669"/>
      <c r="D41" s="86"/>
      <c r="E41" s="4"/>
    </row>
    <row r="42" spans="1:5">
      <c r="A42" s="452">
        <v>17.2</v>
      </c>
      <c r="B42" s="453" t="s">
        <v>102</v>
      </c>
      <c r="C42" s="674"/>
      <c r="D42" s="88"/>
      <c r="E42" s="4"/>
    </row>
    <row r="43" spans="1:5">
      <c r="A43" s="437">
        <v>17.3</v>
      </c>
      <c r="B43" s="454" t="s">
        <v>757</v>
      </c>
      <c r="C43" s="679"/>
      <c r="D43" s="455"/>
      <c r="E43" s="4"/>
    </row>
    <row r="44" spans="1:5">
      <c r="A44" s="437">
        <v>17.399999999999999</v>
      </c>
      <c r="B44" s="454" t="s">
        <v>758</v>
      </c>
      <c r="C44" s="679"/>
      <c r="D44" s="455"/>
      <c r="E44" s="4"/>
    </row>
    <row r="45" spans="1:5">
      <c r="A45" s="437">
        <v>18</v>
      </c>
      <c r="B45" s="421" t="s">
        <v>759</v>
      </c>
      <c r="C45" s="680"/>
      <c r="D45" s="455"/>
      <c r="E45" s="3"/>
    </row>
    <row r="46" spans="1:5">
      <c r="A46" s="437">
        <v>19</v>
      </c>
      <c r="B46" s="421" t="s">
        <v>760</v>
      </c>
      <c r="C46" s="665">
        <f>SUM(C47:C48)</f>
        <v>14665.59</v>
      </c>
      <c r="D46" s="456"/>
    </row>
    <row r="47" spans="1:5">
      <c r="A47" s="437">
        <v>19.100000000000001</v>
      </c>
      <c r="B47" s="457" t="s">
        <v>761</v>
      </c>
      <c r="C47" s="664"/>
      <c r="D47" s="456"/>
    </row>
    <row r="48" spans="1:5">
      <c r="A48" s="437">
        <v>19.2</v>
      </c>
      <c r="B48" s="457" t="s">
        <v>762</v>
      </c>
      <c r="C48" s="664">
        <f>'2. SOFP'!E49</f>
        <v>14665.59</v>
      </c>
      <c r="D48" s="456"/>
    </row>
    <row r="49" spans="1:4">
      <c r="A49" s="437">
        <v>20</v>
      </c>
      <c r="B49" s="417" t="s">
        <v>103</v>
      </c>
      <c r="C49" s="665">
        <f>'2. SOFP'!E50</f>
        <v>3790887.2800000003</v>
      </c>
      <c r="D49" s="604" t="s">
        <v>970</v>
      </c>
    </row>
    <row r="50" spans="1:4">
      <c r="A50" s="437">
        <v>21</v>
      </c>
      <c r="B50" s="418" t="s">
        <v>91</v>
      </c>
      <c r="C50" s="665">
        <v>255972.93</v>
      </c>
      <c r="D50" s="456"/>
    </row>
    <row r="51" spans="1:4">
      <c r="A51" s="437">
        <v>21.1</v>
      </c>
      <c r="B51" s="414" t="s">
        <v>763</v>
      </c>
      <c r="C51" s="664"/>
      <c r="D51" s="456"/>
    </row>
    <row r="52" spans="1:4">
      <c r="A52" s="437">
        <v>22</v>
      </c>
      <c r="B52" s="417" t="s">
        <v>764</v>
      </c>
      <c r="C52" s="665">
        <f>SUM(C37,C39,C40,C45,C46,C49,C50)</f>
        <v>4061525.8000000003</v>
      </c>
      <c r="D52" s="456"/>
    </row>
    <row r="53" spans="1:4">
      <c r="A53" s="437"/>
      <c r="B53" s="419" t="s">
        <v>765</v>
      </c>
      <c r="C53" s="681"/>
      <c r="D53" s="456"/>
    </row>
    <row r="54" spans="1:4">
      <c r="A54" s="437">
        <v>23</v>
      </c>
      <c r="B54" s="417" t="s">
        <v>107</v>
      </c>
      <c r="C54" s="680">
        <v>3250005</v>
      </c>
      <c r="D54" s="604" t="s">
        <v>968</v>
      </c>
    </row>
    <row r="55" spans="1:4">
      <c r="A55" s="437">
        <v>24</v>
      </c>
      <c r="B55" s="417" t="s">
        <v>766</v>
      </c>
      <c r="C55" s="680"/>
      <c r="D55" s="456"/>
    </row>
    <row r="56" spans="1:4">
      <c r="A56" s="437">
        <v>25</v>
      </c>
      <c r="B56" s="417" t="s">
        <v>104</v>
      </c>
      <c r="C56" s="680"/>
      <c r="D56" s="456"/>
    </row>
    <row r="57" spans="1:4">
      <c r="A57" s="437">
        <v>26</v>
      </c>
      <c r="B57" s="421" t="s">
        <v>767</v>
      </c>
      <c r="C57" s="680"/>
      <c r="D57" s="456"/>
    </row>
    <row r="58" spans="1:4">
      <c r="A58" s="437">
        <v>27</v>
      </c>
      <c r="B58" s="421" t="s">
        <v>768</v>
      </c>
      <c r="C58" s="680">
        <f>SUM(C59:C60)</f>
        <v>0</v>
      </c>
      <c r="D58" s="456"/>
    </row>
    <row r="59" spans="1:4">
      <c r="A59" s="437">
        <v>27.1</v>
      </c>
      <c r="B59" s="457" t="s">
        <v>769</v>
      </c>
      <c r="C59" s="679"/>
      <c r="D59" s="456"/>
    </row>
    <row r="60" spans="1:4">
      <c r="A60" s="437">
        <v>27.2</v>
      </c>
      <c r="B60" s="454" t="s">
        <v>770</v>
      </c>
      <c r="C60" s="679"/>
      <c r="D60" s="456"/>
    </row>
    <row r="61" spans="1:4">
      <c r="A61" s="437">
        <v>28</v>
      </c>
      <c r="B61" s="418" t="s">
        <v>771</v>
      </c>
      <c r="C61" s="680"/>
      <c r="D61" s="456"/>
    </row>
    <row r="62" spans="1:4">
      <c r="A62" s="437">
        <v>29</v>
      </c>
      <c r="B62" s="421" t="s">
        <v>772</v>
      </c>
      <c r="C62" s="680">
        <f>SUM(C63:C65)</f>
        <v>0</v>
      </c>
      <c r="D62" s="456"/>
    </row>
    <row r="63" spans="1:4">
      <c r="A63" s="437">
        <v>29.1</v>
      </c>
      <c r="B63" s="458" t="s">
        <v>773</v>
      </c>
      <c r="C63" s="679"/>
      <c r="D63" s="456"/>
    </row>
    <row r="64" spans="1:4" ht="24" customHeight="1">
      <c r="A64" s="437">
        <v>29.2</v>
      </c>
      <c r="B64" s="457" t="s">
        <v>774</v>
      </c>
      <c r="C64" s="679"/>
      <c r="D64" s="456"/>
    </row>
    <row r="65" spans="1:4" ht="21.95" customHeight="1">
      <c r="A65" s="437">
        <v>29.3</v>
      </c>
      <c r="B65" s="459" t="s">
        <v>775</v>
      </c>
      <c r="C65" s="679"/>
      <c r="D65" s="456"/>
    </row>
    <row r="66" spans="1:4">
      <c r="A66" s="437">
        <v>30</v>
      </c>
      <c r="B66" s="421" t="s">
        <v>105</v>
      </c>
      <c r="C66" s="682">
        <v>-497969.6</v>
      </c>
      <c r="D66" s="604" t="s">
        <v>969</v>
      </c>
    </row>
    <row r="67" spans="1:4">
      <c r="A67" s="437">
        <v>31</v>
      </c>
      <c r="B67" s="420" t="s">
        <v>776</v>
      </c>
      <c r="C67" s="680">
        <f>SUM(C54,C55,C56,C57,C58,C61,C62,C66)</f>
        <v>2752035.4</v>
      </c>
      <c r="D67" s="456"/>
    </row>
    <row r="68" spans="1:4">
      <c r="A68" s="437">
        <v>32</v>
      </c>
      <c r="B68" s="421" t="s">
        <v>777</v>
      </c>
      <c r="C68" s="680">
        <f>SUM(C52,C67)</f>
        <v>6813561.2000000002</v>
      </c>
      <c r="D68" s="45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C8" sqref="C8"/>
    </sheetView>
  </sheetViews>
  <sheetFormatPr defaultColWidth="9.125" defaultRowHeight="15"/>
  <cols>
    <col min="1" max="1" width="10.5" style="1" bestFit="1" customWidth="1"/>
    <col min="2" max="2" width="95" style="1" customWidth="1"/>
    <col min="3" max="3" width="9.5" style="1" bestFit="1" customWidth="1"/>
    <col min="4" max="4" width="13.25" style="1" bestFit="1" customWidth="1"/>
    <col min="5" max="5" width="9.5" style="1" bestFit="1" customWidth="1"/>
    <col min="6" max="6" width="13.25" style="1" bestFit="1" customWidth="1"/>
    <col min="7" max="7" width="9.5" style="1" bestFit="1" customWidth="1"/>
    <col min="8" max="8" width="13.25" style="1" bestFit="1" customWidth="1"/>
    <col min="9" max="9" width="9.5" style="1" bestFit="1" customWidth="1"/>
    <col min="10" max="10" width="13.25" style="1" bestFit="1" customWidth="1"/>
    <col min="11" max="11" width="9.5" style="1" bestFit="1" customWidth="1"/>
    <col min="12" max="12" width="13.25" style="1" bestFit="1" customWidth="1"/>
    <col min="13" max="13" width="9.5" style="1" bestFit="1" customWidth="1"/>
    <col min="14" max="14" width="13.25" style="1" bestFit="1" customWidth="1"/>
    <col min="15" max="15" width="9.5" style="1" bestFit="1" customWidth="1"/>
    <col min="16" max="16" width="13.25" style="1" bestFit="1" customWidth="1"/>
    <col min="17" max="17" width="9.5" style="1" bestFit="1" customWidth="1"/>
    <col min="18" max="18" width="13.25" style="1" bestFit="1" customWidth="1"/>
    <col min="19" max="19" width="31.5" style="1" bestFit="1" customWidth="1"/>
    <col min="20" max="16384" width="9.125" style="8"/>
  </cols>
  <sheetData>
    <row r="1" spans="1:19">
      <c r="A1" s="1" t="s">
        <v>110</v>
      </c>
      <c r="B1" s="1" t="str">
        <f>Info!C2</f>
        <v>სს "პეისერა ბანკი საქართველო"</v>
      </c>
    </row>
    <row r="2" spans="1:19">
      <c r="A2" s="1" t="s">
        <v>111</v>
      </c>
      <c r="B2" s="334">
        <f>'1. key ratios'!B2</f>
        <v>45016</v>
      </c>
    </row>
    <row r="4" spans="1:19" ht="30.75" thickBot="1">
      <c r="A4" s="31" t="s">
        <v>261</v>
      </c>
      <c r="B4" s="195" t="s">
        <v>296</v>
      </c>
    </row>
    <row r="5" spans="1:19">
      <c r="A5" s="75"/>
      <c r="B5" s="77"/>
      <c r="C5" s="69" t="s">
        <v>0</v>
      </c>
      <c r="D5" s="69" t="s">
        <v>1</v>
      </c>
      <c r="E5" s="69" t="s">
        <v>2</v>
      </c>
      <c r="F5" s="69" t="s">
        <v>3</v>
      </c>
      <c r="G5" s="69" t="s">
        <v>4</v>
      </c>
      <c r="H5" s="69" t="s">
        <v>6</v>
      </c>
      <c r="I5" s="69" t="s">
        <v>147</v>
      </c>
      <c r="J5" s="69" t="s">
        <v>148</v>
      </c>
      <c r="K5" s="69" t="s">
        <v>149</v>
      </c>
      <c r="L5" s="69" t="s">
        <v>150</v>
      </c>
      <c r="M5" s="69" t="s">
        <v>151</v>
      </c>
      <c r="N5" s="69" t="s">
        <v>152</v>
      </c>
      <c r="O5" s="69" t="s">
        <v>283</v>
      </c>
      <c r="P5" s="69" t="s">
        <v>284</v>
      </c>
      <c r="Q5" s="69" t="s">
        <v>285</v>
      </c>
      <c r="R5" s="188" t="s">
        <v>286</v>
      </c>
      <c r="S5" s="70" t="s">
        <v>287</v>
      </c>
    </row>
    <row r="6" spans="1:19" ht="46.5" customHeight="1">
      <c r="A6" s="92"/>
      <c r="B6" s="765" t="s">
        <v>288</v>
      </c>
      <c r="C6" s="763">
        <v>0</v>
      </c>
      <c r="D6" s="764"/>
      <c r="E6" s="763">
        <v>0.2</v>
      </c>
      <c r="F6" s="764"/>
      <c r="G6" s="763">
        <v>0.35</v>
      </c>
      <c r="H6" s="764"/>
      <c r="I6" s="763">
        <v>0.5</v>
      </c>
      <c r="J6" s="764"/>
      <c r="K6" s="763">
        <v>0.75</v>
      </c>
      <c r="L6" s="764"/>
      <c r="M6" s="763">
        <v>1</v>
      </c>
      <c r="N6" s="764"/>
      <c r="O6" s="763">
        <v>1.5</v>
      </c>
      <c r="P6" s="764"/>
      <c r="Q6" s="763">
        <v>2.5</v>
      </c>
      <c r="R6" s="764"/>
      <c r="S6" s="761" t="s">
        <v>158</v>
      </c>
    </row>
    <row r="7" spans="1:19">
      <c r="A7" s="92"/>
      <c r="B7" s="766"/>
      <c r="C7" s="194" t="s">
        <v>281</v>
      </c>
      <c r="D7" s="194" t="s">
        <v>282</v>
      </c>
      <c r="E7" s="194" t="s">
        <v>281</v>
      </c>
      <c r="F7" s="194" t="s">
        <v>282</v>
      </c>
      <c r="G7" s="194" t="s">
        <v>281</v>
      </c>
      <c r="H7" s="194" t="s">
        <v>282</v>
      </c>
      <c r="I7" s="194" t="s">
        <v>281</v>
      </c>
      <c r="J7" s="194" t="s">
        <v>282</v>
      </c>
      <c r="K7" s="194" t="s">
        <v>281</v>
      </c>
      <c r="L7" s="194" t="s">
        <v>282</v>
      </c>
      <c r="M7" s="194" t="s">
        <v>281</v>
      </c>
      <c r="N7" s="194" t="s">
        <v>282</v>
      </c>
      <c r="O7" s="194" t="s">
        <v>281</v>
      </c>
      <c r="P7" s="194" t="s">
        <v>282</v>
      </c>
      <c r="Q7" s="194" t="s">
        <v>281</v>
      </c>
      <c r="R7" s="194" t="s">
        <v>282</v>
      </c>
      <c r="S7" s="762"/>
    </row>
    <row r="8" spans="1:19">
      <c r="A8" s="73">
        <v>1</v>
      </c>
      <c r="B8" s="720" t="s">
        <v>136</v>
      </c>
      <c r="C8" s="663">
        <v>0</v>
      </c>
      <c r="D8" s="663">
        <v>0</v>
      </c>
      <c r="E8" s="663">
        <v>0</v>
      </c>
      <c r="F8" s="663">
        <v>0</v>
      </c>
      <c r="G8" s="663">
        <v>0</v>
      </c>
      <c r="H8" s="663">
        <v>0</v>
      </c>
      <c r="I8" s="663">
        <v>0</v>
      </c>
      <c r="J8" s="663">
        <v>0</v>
      </c>
      <c r="K8" s="663">
        <v>0</v>
      </c>
      <c r="L8" s="663">
        <v>0</v>
      </c>
      <c r="M8" s="663">
        <v>0</v>
      </c>
      <c r="N8" s="663">
        <v>0</v>
      </c>
      <c r="O8" s="663">
        <v>0</v>
      </c>
      <c r="P8" s="663">
        <v>0</v>
      </c>
      <c r="Q8" s="663">
        <v>0</v>
      </c>
      <c r="R8" s="663">
        <v>0</v>
      </c>
      <c r="S8" s="198">
        <f>$C$6*SUM(C8:D8)+$E$6*SUM(E8:F8)+$G$6*SUM(G8:H8)+$I$6*SUM(I8:J8)+$K$6*SUM(K8:L8)+$M$6*SUM(M8:N8)+$O$6*SUM(O8:P8)+$Q$6*SUM(Q8:R8)</f>
        <v>0</v>
      </c>
    </row>
    <row r="9" spans="1:19">
      <c r="A9" s="73">
        <v>2</v>
      </c>
      <c r="B9" s="720" t="s">
        <v>137</v>
      </c>
      <c r="C9" s="663">
        <v>0</v>
      </c>
      <c r="D9" s="663">
        <v>0</v>
      </c>
      <c r="E9" s="663">
        <v>0</v>
      </c>
      <c r="F9" s="663">
        <v>0</v>
      </c>
      <c r="G9" s="663">
        <v>0</v>
      </c>
      <c r="H9" s="663">
        <v>0</v>
      </c>
      <c r="I9" s="663">
        <v>0</v>
      </c>
      <c r="J9" s="663">
        <v>0</v>
      </c>
      <c r="K9" s="663">
        <v>0</v>
      </c>
      <c r="L9" s="663">
        <v>0</v>
      </c>
      <c r="M9" s="663">
        <v>0</v>
      </c>
      <c r="N9" s="663">
        <v>0</v>
      </c>
      <c r="O9" s="663">
        <v>0</v>
      </c>
      <c r="P9" s="663">
        <v>0</v>
      </c>
      <c r="Q9" s="663">
        <v>0</v>
      </c>
      <c r="R9" s="663">
        <v>0</v>
      </c>
      <c r="S9" s="198">
        <f t="shared" ref="S9:S21" si="0">$C$6*SUM(C9:D9)+$E$6*SUM(E9:F9)+$G$6*SUM(G9:H9)+$I$6*SUM(I9:J9)+$K$6*SUM(K9:L9)+$M$6*SUM(M9:N9)+$O$6*SUM(O9:P9)+$Q$6*SUM(Q9:R9)</f>
        <v>0</v>
      </c>
    </row>
    <row r="10" spans="1:19">
      <c r="A10" s="73">
        <v>3</v>
      </c>
      <c r="B10" s="720" t="s">
        <v>138</v>
      </c>
      <c r="C10" s="663">
        <v>0</v>
      </c>
      <c r="D10" s="663">
        <v>0</v>
      </c>
      <c r="E10" s="663">
        <v>0</v>
      </c>
      <c r="F10" s="663">
        <v>0</v>
      </c>
      <c r="G10" s="663">
        <v>0</v>
      </c>
      <c r="H10" s="663">
        <v>0</v>
      </c>
      <c r="I10" s="663">
        <v>0</v>
      </c>
      <c r="J10" s="663">
        <v>0</v>
      </c>
      <c r="K10" s="663">
        <v>0</v>
      </c>
      <c r="L10" s="663">
        <v>0</v>
      </c>
      <c r="M10" s="663">
        <v>0</v>
      </c>
      <c r="N10" s="663">
        <v>0</v>
      </c>
      <c r="O10" s="663">
        <v>0</v>
      </c>
      <c r="P10" s="663">
        <v>0</v>
      </c>
      <c r="Q10" s="663">
        <v>0</v>
      </c>
      <c r="R10" s="663">
        <v>0</v>
      </c>
      <c r="S10" s="198">
        <f t="shared" si="0"/>
        <v>0</v>
      </c>
    </row>
    <row r="11" spans="1:19">
      <c r="A11" s="73">
        <v>4</v>
      </c>
      <c r="B11" s="720" t="s">
        <v>139</v>
      </c>
      <c r="C11" s="663">
        <v>0</v>
      </c>
      <c r="D11" s="663">
        <v>0</v>
      </c>
      <c r="E11" s="663">
        <v>0</v>
      </c>
      <c r="F11" s="663">
        <v>0</v>
      </c>
      <c r="G11" s="663">
        <v>0</v>
      </c>
      <c r="H11" s="663">
        <v>0</v>
      </c>
      <c r="I11" s="663">
        <v>0</v>
      </c>
      <c r="J11" s="663">
        <v>0</v>
      </c>
      <c r="K11" s="663">
        <v>0</v>
      </c>
      <c r="L11" s="663">
        <v>0</v>
      </c>
      <c r="M11" s="663">
        <v>0</v>
      </c>
      <c r="N11" s="663">
        <v>0</v>
      </c>
      <c r="O11" s="663">
        <v>0</v>
      </c>
      <c r="P11" s="663">
        <v>0</v>
      </c>
      <c r="Q11" s="663">
        <v>0</v>
      </c>
      <c r="R11" s="663">
        <v>0</v>
      </c>
      <c r="S11" s="198">
        <f t="shared" si="0"/>
        <v>0</v>
      </c>
    </row>
    <row r="12" spans="1:19">
      <c r="A12" s="73">
        <v>5</v>
      </c>
      <c r="B12" s="720" t="s">
        <v>971</v>
      </c>
      <c r="C12" s="663">
        <v>0</v>
      </c>
      <c r="D12" s="663">
        <v>0</v>
      </c>
      <c r="E12" s="663">
        <v>0</v>
      </c>
      <c r="F12" s="663">
        <v>0</v>
      </c>
      <c r="G12" s="663">
        <v>0</v>
      </c>
      <c r="H12" s="663">
        <v>0</v>
      </c>
      <c r="I12" s="663">
        <v>0</v>
      </c>
      <c r="J12" s="663">
        <v>0</v>
      </c>
      <c r="K12" s="663">
        <v>0</v>
      </c>
      <c r="L12" s="663">
        <v>0</v>
      </c>
      <c r="M12" s="663">
        <v>0</v>
      </c>
      <c r="N12" s="663">
        <v>0</v>
      </c>
      <c r="O12" s="663">
        <v>0</v>
      </c>
      <c r="P12" s="663">
        <v>0</v>
      </c>
      <c r="Q12" s="663">
        <v>0</v>
      </c>
      <c r="R12" s="663">
        <v>0</v>
      </c>
      <c r="S12" s="198">
        <f t="shared" si="0"/>
        <v>0</v>
      </c>
    </row>
    <row r="13" spans="1:19">
      <c r="A13" s="73">
        <v>6</v>
      </c>
      <c r="B13" s="720" t="s">
        <v>140</v>
      </c>
      <c r="C13" s="663">
        <v>0</v>
      </c>
      <c r="D13" s="663">
        <v>0</v>
      </c>
      <c r="E13" s="172">
        <v>2124065.48</v>
      </c>
      <c r="F13" s="663">
        <v>0</v>
      </c>
      <c r="G13" s="663">
        <v>0</v>
      </c>
      <c r="H13" s="663">
        <v>0</v>
      </c>
      <c r="I13" s="172">
        <v>3854179.84</v>
      </c>
      <c r="J13" s="663">
        <v>0</v>
      </c>
      <c r="K13" s="663">
        <v>0</v>
      </c>
      <c r="L13" s="663">
        <v>0</v>
      </c>
      <c r="M13" s="663">
        <v>0</v>
      </c>
      <c r="N13" s="663">
        <v>0</v>
      </c>
      <c r="O13" s="663">
        <v>0</v>
      </c>
      <c r="P13" s="663">
        <v>0</v>
      </c>
      <c r="Q13" s="663">
        <v>0</v>
      </c>
      <c r="R13" s="663">
        <v>0</v>
      </c>
      <c r="S13" s="198">
        <f t="shared" si="0"/>
        <v>2351903.0159999998</v>
      </c>
    </row>
    <row r="14" spans="1:19">
      <c r="A14" s="73">
        <v>7</v>
      </c>
      <c r="B14" s="720" t="s">
        <v>73</v>
      </c>
      <c r="C14" s="663">
        <v>0</v>
      </c>
      <c r="D14" s="663">
        <v>0</v>
      </c>
      <c r="E14" s="663">
        <v>0</v>
      </c>
      <c r="F14" s="663">
        <v>0</v>
      </c>
      <c r="G14" s="663">
        <v>0</v>
      </c>
      <c r="H14" s="663">
        <v>0</v>
      </c>
      <c r="I14" s="663">
        <v>0</v>
      </c>
      <c r="J14" s="663">
        <v>0</v>
      </c>
      <c r="K14" s="663">
        <v>0</v>
      </c>
      <c r="L14" s="663">
        <v>0</v>
      </c>
      <c r="M14" s="663">
        <v>0</v>
      </c>
      <c r="N14" s="663">
        <v>0</v>
      </c>
      <c r="O14" s="663">
        <v>0</v>
      </c>
      <c r="P14" s="663">
        <v>0</v>
      </c>
      <c r="Q14" s="663">
        <v>0</v>
      </c>
      <c r="R14" s="663">
        <v>0</v>
      </c>
      <c r="S14" s="198">
        <f t="shared" si="0"/>
        <v>0</v>
      </c>
    </row>
    <row r="15" spans="1:19">
      <c r="A15" s="73">
        <v>8</v>
      </c>
      <c r="B15" s="720" t="s">
        <v>74</v>
      </c>
      <c r="C15" s="663">
        <v>0</v>
      </c>
      <c r="D15" s="663">
        <v>0</v>
      </c>
      <c r="E15" s="663">
        <v>0</v>
      </c>
      <c r="F15" s="663">
        <v>0</v>
      </c>
      <c r="G15" s="663">
        <v>0</v>
      </c>
      <c r="H15" s="663">
        <v>0</v>
      </c>
      <c r="I15" s="663">
        <v>0</v>
      </c>
      <c r="J15" s="663">
        <v>0</v>
      </c>
      <c r="K15" s="663">
        <v>0</v>
      </c>
      <c r="L15" s="663">
        <v>0</v>
      </c>
      <c r="M15" s="663">
        <v>0</v>
      </c>
      <c r="N15" s="663">
        <v>0</v>
      </c>
      <c r="O15" s="663">
        <v>0</v>
      </c>
      <c r="P15" s="663">
        <v>0</v>
      </c>
      <c r="Q15" s="663">
        <v>0</v>
      </c>
      <c r="R15" s="663">
        <v>0</v>
      </c>
      <c r="S15" s="198">
        <f t="shared" si="0"/>
        <v>0</v>
      </c>
    </row>
    <row r="16" spans="1:19">
      <c r="A16" s="73">
        <v>9</v>
      </c>
      <c r="B16" s="720" t="s">
        <v>972</v>
      </c>
      <c r="C16" s="663">
        <v>0</v>
      </c>
      <c r="D16" s="663">
        <v>0</v>
      </c>
      <c r="E16" s="663">
        <v>0</v>
      </c>
      <c r="F16" s="663">
        <v>0</v>
      </c>
      <c r="G16" s="663">
        <v>0</v>
      </c>
      <c r="H16" s="663">
        <v>0</v>
      </c>
      <c r="I16" s="663">
        <v>0</v>
      </c>
      <c r="J16" s="663">
        <v>0</v>
      </c>
      <c r="K16" s="663">
        <v>0</v>
      </c>
      <c r="L16" s="663">
        <v>0</v>
      </c>
      <c r="M16" s="663">
        <v>0</v>
      </c>
      <c r="N16" s="663">
        <v>0</v>
      </c>
      <c r="O16" s="663">
        <v>0</v>
      </c>
      <c r="P16" s="663">
        <v>0</v>
      </c>
      <c r="Q16" s="663">
        <v>0</v>
      </c>
      <c r="R16" s="663">
        <v>0</v>
      </c>
      <c r="S16" s="198">
        <f t="shared" si="0"/>
        <v>0</v>
      </c>
    </row>
    <row r="17" spans="1:19">
      <c r="A17" s="73">
        <v>10</v>
      </c>
      <c r="B17" s="720" t="s">
        <v>69</v>
      </c>
      <c r="C17" s="663">
        <v>0</v>
      </c>
      <c r="D17" s="663">
        <v>0</v>
      </c>
      <c r="E17" s="663">
        <v>0</v>
      </c>
      <c r="F17" s="663">
        <v>0</v>
      </c>
      <c r="G17" s="663">
        <v>0</v>
      </c>
      <c r="H17" s="663">
        <v>0</v>
      </c>
      <c r="I17" s="663">
        <v>0</v>
      </c>
      <c r="J17" s="663">
        <v>0</v>
      </c>
      <c r="K17" s="663">
        <v>0</v>
      </c>
      <c r="L17" s="663">
        <v>0</v>
      </c>
      <c r="M17" s="663">
        <v>0</v>
      </c>
      <c r="N17" s="663">
        <v>0</v>
      </c>
      <c r="O17" s="663">
        <v>0</v>
      </c>
      <c r="P17" s="663">
        <v>0</v>
      </c>
      <c r="Q17" s="663">
        <v>0</v>
      </c>
      <c r="R17" s="663">
        <v>0</v>
      </c>
      <c r="S17" s="198">
        <f t="shared" si="0"/>
        <v>0</v>
      </c>
    </row>
    <row r="18" spans="1:19">
      <c r="A18" s="73">
        <v>11</v>
      </c>
      <c r="B18" s="720" t="s">
        <v>70</v>
      </c>
      <c r="C18" s="663">
        <v>0</v>
      </c>
      <c r="D18" s="663">
        <v>0</v>
      </c>
      <c r="E18" s="663">
        <v>0</v>
      </c>
      <c r="F18" s="663">
        <v>0</v>
      </c>
      <c r="G18" s="663">
        <v>0</v>
      </c>
      <c r="H18" s="663">
        <v>0</v>
      </c>
      <c r="I18" s="663">
        <v>0</v>
      </c>
      <c r="J18" s="663">
        <v>0</v>
      </c>
      <c r="K18" s="663">
        <v>0</v>
      </c>
      <c r="L18" s="663">
        <v>0</v>
      </c>
      <c r="M18" s="663">
        <v>0</v>
      </c>
      <c r="N18" s="663">
        <v>0</v>
      </c>
      <c r="O18" s="663">
        <v>0</v>
      </c>
      <c r="P18" s="663">
        <v>0</v>
      </c>
      <c r="Q18" s="663">
        <v>0</v>
      </c>
      <c r="R18" s="663">
        <v>0</v>
      </c>
      <c r="S18" s="198">
        <f t="shared" si="0"/>
        <v>0</v>
      </c>
    </row>
    <row r="19" spans="1:19">
      <c r="A19" s="73">
        <v>12</v>
      </c>
      <c r="B19" s="720" t="s">
        <v>71</v>
      </c>
      <c r="C19" s="663">
        <v>0</v>
      </c>
      <c r="D19" s="663">
        <v>0</v>
      </c>
      <c r="E19" s="663">
        <v>0</v>
      </c>
      <c r="F19" s="663">
        <v>0</v>
      </c>
      <c r="G19" s="663">
        <v>0</v>
      </c>
      <c r="H19" s="663">
        <v>0</v>
      </c>
      <c r="I19" s="663">
        <v>0</v>
      </c>
      <c r="J19" s="663">
        <v>0</v>
      </c>
      <c r="K19" s="663">
        <v>0</v>
      </c>
      <c r="L19" s="663">
        <v>0</v>
      </c>
      <c r="M19" s="663">
        <v>0</v>
      </c>
      <c r="N19" s="663">
        <v>0</v>
      </c>
      <c r="O19" s="663">
        <v>0</v>
      </c>
      <c r="P19" s="663">
        <v>0</v>
      </c>
      <c r="Q19" s="663">
        <v>0</v>
      </c>
      <c r="R19" s="663">
        <v>0</v>
      </c>
      <c r="S19" s="198">
        <f t="shared" si="0"/>
        <v>0</v>
      </c>
    </row>
    <row r="20" spans="1:19">
      <c r="A20" s="73">
        <v>13</v>
      </c>
      <c r="B20" s="720" t="s">
        <v>72</v>
      </c>
      <c r="C20" s="663">
        <v>0</v>
      </c>
      <c r="D20" s="663">
        <v>0</v>
      </c>
      <c r="E20" s="663">
        <v>0</v>
      </c>
      <c r="F20" s="663">
        <v>0</v>
      </c>
      <c r="G20" s="663">
        <v>0</v>
      </c>
      <c r="H20" s="663">
        <v>0</v>
      </c>
      <c r="I20" s="663">
        <v>0</v>
      </c>
      <c r="J20" s="663">
        <v>0</v>
      </c>
      <c r="K20" s="663">
        <v>0</v>
      </c>
      <c r="L20" s="663">
        <v>0</v>
      </c>
      <c r="M20" s="663">
        <v>0</v>
      </c>
      <c r="N20" s="663">
        <v>0</v>
      </c>
      <c r="O20" s="663">
        <v>0</v>
      </c>
      <c r="P20" s="663">
        <v>0</v>
      </c>
      <c r="Q20" s="663">
        <v>0</v>
      </c>
      <c r="R20" s="663">
        <v>0</v>
      </c>
      <c r="S20" s="198">
        <f t="shared" si="0"/>
        <v>0</v>
      </c>
    </row>
    <row r="21" spans="1:19">
      <c r="A21" s="73">
        <v>14</v>
      </c>
      <c r="B21" s="720" t="s">
        <v>156</v>
      </c>
      <c r="C21" s="663">
        <v>0</v>
      </c>
      <c r="D21" s="663">
        <v>0</v>
      </c>
      <c r="E21" s="663">
        <v>0</v>
      </c>
      <c r="F21" s="663">
        <v>0</v>
      </c>
      <c r="G21" s="663">
        <v>0</v>
      </c>
      <c r="H21" s="663">
        <v>0</v>
      </c>
      <c r="I21" s="663">
        <v>0</v>
      </c>
      <c r="J21" s="663">
        <v>0</v>
      </c>
      <c r="K21" s="663">
        <v>0</v>
      </c>
      <c r="L21" s="663">
        <v>0</v>
      </c>
      <c r="M21" s="663">
        <v>634023.23</v>
      </c>
      <c r="N21" s="663">
        <v>0</v>
      </c>
      <c r="O21" s="663">
        <v>0</v>
      </c>
      <c r="P21" s="663">
        <v>0</v>
      </c>
      <c r="Q21" s="663">
        <v>0</v>
      </c>
      <c r="R21" s="663">
        <v>0</v>
      </c>
      <c r="S21" s="198">
        <f t="shared" si="0"/>
        <v>634023.23</v>
      </c>
    </row>
    <row r="22" spans="1:19" ht="15.75" thickBot="1">
      <c r="A22" s="56"/>
      <c r="B22" s="96" t="s">
        <v>68</v>
      </c>
      <c r="C22" s="173">
        <f>SUM(C8:C21)</f>
        <v>0</v>
      </c>
      <c r="D22" s="173">
        <f t="shared" ref="D22:S22" si="1">SUM(D8:D21)</f>
        <v>0</v>
      </c>
      <c r="E22" s="173">
        <f t="shared" si="1"/>
        <v>2124065.48</v>
      </c>
      <c r="F22" s="173">
        <f t="shared" si="1"/>
        <v>0</v>
      </c>
      <c r="G22" s="173">
        <f t="shared" si="1"/>
        <v>0</v>
      </c>
      <c r="H22" s="173">
        <f t="shared" si="1"/>
        <v>0</v>
      </c>
      <c r="I22" s="173">
        <f t="shared" si="1"/>
        <v>3854179.84</v>
      </c>
      <c r="J22" s="173">
        <f t="shared" si="1"/>
        <v>0</v>
      </c>
      <c r="K22" s="173">
        <f t="shared" si="1"/>
        <v>0</v>
      </c>
      <c r="L22" s="173">
        <f t="shared" si="1"/>
        <v>0</v>
      </c>
      <c r="M22" s="173">
        <f t="shared" si="1"/>
        <v>634023.23</v>
      </c>
      <c r="N22" s="173">
        <f t="shared" si="1"/>
        <v>0</v>
      </c>
      <c r="O22" s="173">
        <f t="shared" si="1"/>
        <v>0</v>
      </c>
      <c r="P22" s="173">
        <f t="shared" si="1"/>
        <v>0</v>
      </c>
      <c r="Q22" s="173">
        <f t="shared" si="1"/>
        <v>0</v>
      </c>
      <c r="R22" s="173">
        <f t="shared" si="1"/>
        <v>0</v>
      </c>
      <c r="S22" s="683">
        <f t="shared" si="1"/>
        <v>2985926.2459999998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14" sqref="C14"/>
    </sheetView>
  </sheetViews>
  <sheetFormatPr defaultColWidth="9.125" defaultRowHeight="15"/>
  <cols>
    <col min="1" max="1" width="10.5" style="1" bestFit="1" customWidth="1"/>
    <col min="2" max="2" width="74.5" style="1" customWidth="1"/>
    <col min="3" max="3" width="19" style="1" customWidth="1"/>
    <col min="4" max="4" width="19.5" style="1" customWidth="1"/>
    <col min="5" max="5" width="31.125" style="1" customWidth="1"/>
    <col min="6" max="6" width="29.125" style="1" customWidth="1"/>
    <col min="7" max="7" width="28.5" style="1" customWidth="1"/>
    <col min="8" max="8" width="26.5" style="1" customWidth="1"/>
    <col min="9" max="9" width="23.75" style="1" customWidth="1"/>
    <col min="10" max="10" width="21.5" style="1" customWidth="1"/>
    <col min="11" max="11" width="15.75" style="1" customWidth="1"/>
    <col min="12" max="12" width="13.25" style="1" customWidth="1"/>
    <col min="13" max="13" width="20.875" style="1" customWidth="1"/>
    <col min="14" max="14" width="19.25" style="1" customWidth="1"/>
    <col min="15" max="15" width="18.5" style="1" customWidth="1"/>
    <col min="16" max="16" width="19" style="1" customWidth="1"/>
    <col min="17" max="17" width="20.25" style="1" customWidth="1"/>
    <col min="18" max="18" width="18" style="1" customWidth="1"/>
    <col min="19" max="19" width="36" style="1" customWidth="1"/>
    <col min="20" max="20" width="19.5" style="1" customWidth="1"/>
    <col min="21" max="21" width="19.125" style="1" customWidth="1"/>
    <col min="22" max="22" width="20" style="1" customWidth="1"/>
    <col min="23" max="16384" width="9.125" style="8"/>
  </cols>
  <sheetData>
    <row r="1" spans="1:22">
      <c r="A1" s="1" t="s">
        <v>110</v>
      </c>
      <c r="B1" s="1" t="str">
        <f>Info!C2</f>
        <v>სს "პეისერა ბანკი საქართველო"</v>
      </c>
    </row>
    <row r="2" spans="1:22">
      <c r="A2" s="1" t="s">
        <v>111</v>
      </c>
      <c r="B2" s="334">
        <f>'1. key ratios'!B2</f>
        <v>45016</v>
      </c>
    </row>
    <row r="4" spans="1:22" ht="30.75" thickBot="1">
      <c r="A4" s="1" t="s">
        <v>262</v>
      </c>
      <c r="B4" s="195" t="s">
        <v>297</v>
      </c>
      <c r="V4" s="134" t="s">
        <v>89</v>
      </c>
    </row>
    <row r="5" spans="1:22">
      <c r="A5" s="54"/>
      <c r="B5" s="55"/>
      <c r="C5" s="767" t="s">
        <v>118</v>
      </c>
      <c r="D5" s="768"/>
      <c r="E5" s="768"/>
      <c r="F5" s="768"/>
      <c r="G5" s="768"/>
      <c r="H5" s="768"/>
      <c r="I5" s="768"/>
      <c r="J5" s="768"/>
      <c r="K5" s="768"/>
      <c r="L5" s="769"/>
      <c r="M5" s="767" t="s">
        <v>119</v>
      </c>
      <c r="N5" s="768"/>
      <c r="O5" s="768"/>
      <c r="P5" s="768"/>
      <c r="Q5" s="768"/>
      <c r="R5" s="768"/>
      <c r="S5" s="769"/>
      <c r="T5" s="772" t="s">
        <v>295</v>
      </c>
      <c r="U5" s="772" t="s">
        <v>294</v>
      </c>
      <c r="V5" s="770" t="s">
        <v>120</v>
      </c>
    </row>
    <row r="6" spans="1:22" s="31" customFormat="1" ht="135">
      <c r="A6" s="71"/>
      <c r="B6" s="113"/>
      <c r="C6" s="52" t="s">
        <v>121</v>
      </c>
      <c r="D6" s="51" t="s">
        <v>122</v>
      </c>
      <c r="E6" s="49" t="s">
        <v>123</v>
      </c>
      <c r="F6" s="49" t="s">
        <v>289</v>
      </c>
      <c r="G6" s="51" t="s">
        <v>124</v>
      </c>
      <c r="H6" s="51" t="s">
        <v>125</v>
      </c>
      <c r="I6" s="51" t="s">
        <v>126</v>
      </c>
      <c r="J6" s="51" t="s">
        <v>155</v>
      </c>
      <c r="K6" s="51" t="s">
        <v>127</v>
      </c>
      <c r="L6" s="53" t="s">
        <v>128</v>
      </c>
      <c r="M6" s="52" t="s">
        <v>129</v>
      </c>
      <c r="N6" s="51" t="s">
        <v>130</v>
      </c>
      <c r="O6" s="51" t="s">
        <v>131</v>
      </c>
      <c r="P6" s="51" t="s">
        <v>132</v>
      </c>
      <c r="Q6" s="51" t="s">
        <v>133</v>
      </c>
      <c r="R6" s="51" t="s">
        <v>134</v>
      </c>
      <c r="S6" s="53" t="s">
        <v>135</v>
      </c>
      <c r="T6" s="773"/>
      <c r="U6" s="773"/>
      <c r="V6" s="771"/>
    </row>
    <row r="7" spans="1:22">
      <c r="A7" s="95">
        <v>1</v>
      </c>
      <c r="B7" s="720" t="s">
        <v>136</v>
      </c>
      <c r="C7" s="174"/>
      <c r="D7" s="172"/>
      <c r="E7" s="172"/>
      <c r="F7" s="172"/>
      <c r="G7" s="172"/>
      <c r="H7" s="172"/>
      <c r="I7" s="172"/>
      <c r="J7" s="172"/>
      <c r="K7" s="172"/>
      <c r="L7" s="175"/>
      <c r="M7" s="174"/>
      <c r="N7" s="172"/>
      <c r="O7" s="172"/>
      <c r="P7" s="172"/>
      <c r="Q7" s="172"/>
      <c r="R7" s="172"/>
      <c r="S7" s="175"/>
      <c r="T7" s="192"/>
      <c r="U7" s="191"/>
      <c r="V7" s="176">
        <f>SUM(C7:S7)</f>
        <v>0</v>
      </c>
    </row>
    <row r="8" spans="1:22">
      <c r="A8" s="95">
        <v>2</v>
      </c>
      <c r="B8" s="720" t="s">
        <v>137</v>
      </c>
      <c r="C8" s="174"/>
      <c r="D8" s="172"/>
      <c r="E8" s="172"/>
      <c r="F8" s="172"/>
      <c r="G8" s="172"/>
      <c r="H8" s="172"/>
      <c r="I8" s="172"/>
      <c r="J8" s="172"/>
      <c r="K8" s="172"/>
      <c r="L8" s="175"/>
      <c r="M8" s="174"/>
      <c r="N8" s="172"/>
      <c r="O8" s="172"/>
      <c r="P8" s="172"/>
      <c r="Q8" s="172"/>
      <c r="R8" s="172"/>
      <c r="S8" s="175"/>
      <c r="T8" s="191"/>
      <c r="U8" s="191"/>
      <c r="V8" s="176">
        <f t="shared" ref="V8:V20" si="0">SUM(C8:S8)</f>
        <v>0</v>
      </c>
    </row>
    <row r="9" spans="1:22">
      <c r="A9" s="95">
        <v>3</v>
      </c>
      <c r="B9" s="720" t="s">
        <v>138</v>
      </c>
      <c r="C9" s="174"/>
      <c r="D9" s="172"/>
      <c r="E9" s="172"/>
      <c r="F9" s="172"/>
      <c r="G9" s="172"/>
      <c r="H9" s="172"/>
      <c r="I9" s="172"/>
      <c r="J9" s="172"/>
      <c r="K9" s="172"/>
      <c r="L9" s="175"/>
      <c r="M9" s="174"/>
      <c r="N9" s="172"/>
      <c r="O9" s="172"/>
      <c r="P9" s="172"/>
      <c r="Q9" s="172"/>
      <c r="R9" s="172"/>
      <c r="S9" s="175"/>
      <c r="T9" s="191"/>
      <c r="U9" s="191"/>
      <c r="V9" s="176">
        <f>SUM(C9:S9)</f>
        <v>0</v>
      </c>
    </row>
    <row r="10" spans="1:22">
      <c r="A10" s="95">
        <v>4</v>
      </c>
      <c r="B10" s="720" t="s">
        <v>139</v>
      </c>
      <c r="C10" s="174"/>
      <c r="D10" s="172"/>
      <c r="E10" s="172"/>
      <c r="F10" s="172"/>
      <c r="G10" s="172"/>
      <c r="H10" s="172"/>
      <c r="I10" s="172"/>
      <c r="J10" s="172"/>
      <c r="K10" s="172"/>
      <c r="L10" s="175"/>
      <c r="M10" s="174"/>
      <c r="N10" s="172"/>
      <c r="O10" s="172"/>
      <c r="P10" s="172"/>
      <c r="Q10" s="172"/>
      <c r="R10" s="172"/>
      <c r="S10" s="175"/>
      <c r="T10" s="191"/>
      <c r="U10" s="191"/>
      <c r="V10" s="176">
        <f t="shared" si="0"/>
        <v>0</v>
      </c>
    </row>
    <row r="11" spans="1:22">
      <c r="A11" s="95">
        <v>5</v>
      </c>
      <c r="B11" s="720" t="s">
        <v>971</v>
      </c>
      <c r="C11" s="174"/>
      <c r="D11" s="172"/>
      <c r="E11" s="172"/>
      <c r="F11" s="172"/>
      <c r="G11" s="172"/>
      <c r="H11" s="172"/>
      <c r="I11" s="172"/>
      <c r="J11" s="172"/>
      <c r="K11" s="172"/>
      <c r="L11" s="175"/>
      <c r="M11" s="174"/>
      <c r="N11" s="172"/>
      <c r="O11" s="172"/>
      <c r="P11" s="172"/>
      <c r="Q11" s="172"/>
      <c r="R11" s="172"/>
      <c r="S11" s="175"/>
      <c r="T11" s="191"/>
      <c r="U11" s="191"/>
      <c r="V11" s="176">
        <f t="shared" si="0"/>
        <v>0</v>
      </c>
    </row>
    <row r="12" spans="1:22">
      <c r="A12" s="95">
        <v>6</v>
      </c>
      <c r="B12" s="720" t="s">
        <v>140</v>
      </c>
      <c r="C12" s="174"/>
      <c r="D12" s="172"/>
      <c r="E12" s="172"/>
      <c r="F12" s="172"/>
      <c r="G12" s="172"/>
      <c r="H12" s="172"/>
      <c r="I12" s="172"/>
      <c r="J12" s="172"/>
      <c r="K12" s="172"/>
      <c r="L12" s="175"/>
      <c r="M12" s="174"/>
      <c r="N12" s="172"/>
      <c r="O12" s="172"/>
      <c r="P12" s="172"/>
      <c r="Q12" s="172"/>
      <c r="R12" s="172"/>
      <c r="S12" s="175"/>
      <c r="T12" s="191"/>
      <c r="U12" s="191"/>
      <c r="V12" s="176">
        <f t="shared" si="0"/>
        <v>0</v>
      </c>
    </row>
    <row r="13" spans="1:22">
      <c r="A13" s="95">
        <v>7</v>
      </c>
      <c r="B13" s="720" t="s">
        <v>73</v>
      </c>
      <c r="C13" s="174"/>
      <c r="D13" s="172"/>
      <c r="E13" s="172"/>
      <c r="F13" s="172"/>
      <c r="G13" s="172"/>
      <c r="H13" s="172"/>
      <c r="I13" s="172"/>
      <c r="J13" s="172"/>
      <c r="K13" s="172"/>
      <c r="L13" s="175"/>
      <c r="M13" s="174"/>
      <c r="N13" s="172"/>
      <c r="O13" s="172"/>
      <c r="P13" s="172"/>
      <c r="Q13" s="172"/>
      <c r="R13" s="172"/>
      <c r="S13" s="175"/>
      <c r="T13" s="191"/>
      <c r="U13" s="191"/>
      <c r="V13" s="176">
        <f t="shared" si="0"/>
        <v>0</v>
      </c>
    </row>
    <row r="14" spans="1:22">
      <c r="A14" s="95">
        <v>8</v>
      </c>
      <c r="B14" s="720" t="s">
        <v>74</v>
      </c>
      <c r="C14" s="174"/>
      <c r="D14" s="172"/>
      <c r="E14" s="172"/>
      <c r="F14" s="172"/>
      <c r="G14" s="172"/>
      <c r="H14" s="172"/>
      <c r="I14" s="172"/>
      <c r="J14" s="172"/>
      <c r="K14" s="172"/>
      <c r="L14" s="175"/>
      <c r="M14" s="174"/>
      <c r="N14" s="172"/>
      <c r="O14" s="172"/>
      <c r="P14" s="172"/>
      <c r="Q14" s="172"/>
      <c r="R14" s="172"/>
      <c r="S14" s="175"/>
      <c r="T14" s="191"/>
      <c r="U14" s="191"/>
      <c r="V14" s="176">
        <f t="shared" si="0"/>
        <v>0</v>
      </c>
    </row>
    <row r="15" spans="1:22">
      <c r="A15" s="95">
        <v>9</v>
      </c>
      <c r="B15" s="720" t="s">
        <v>972</v>
      </c>
      <c r="C15" s="174"/>
      <c r="D15" s="172"/>
      <c r="E15" s="172"/>
      <c r="F15" s="172"/>
      <c r="G15" s="172"/>
      <c r="H15" s="172"/>
      <c r="I15" s="172"/>
      <c r="J15" s="172"/>
      <c r="K15" s="172"/>
      <c r="L15" s="175"/>
      <c r="M15" s="174"/>
      <c r="N15" s="172"/>
      <c r="O15" s="172"/>
      <c r="P15" s="172"/>
      <c r="Q15" s="172"/>
      <c r="R15" s="172"/>
      <c r="S15" s="175"/>
      <c r="T15" s="191"/>
      <c r="U15" s="191"/>
      <c r="V15" s="176">
        <f t="shared" si="0"/>
        <v>0</v>
      </c>
    </row>
    <row r="16" spans="1:22">
      <c r="A16" s="95">
        <v>10</v>
      </c>
      <c r="B16" s="720" t="s">
        <v>69</v>
      </c>
      <c r="C16" s="174"/>
      <c r="D16" s="172"/>
      <c r="E16" s="172"/>
      <c r="F16" s="172"/>
      <c r="G16" s="172"/>
      <c r="H16" s="172"/>
      <c r="I16" s="172"/>
      <c r="J16" s="172"/>
      <c r="K16" s="172"/>
      <c r="L16" s="175"/>
      <c r="M16" s="174"/>
      <c r="N16" s="172"/>
      <c r="O16" s="172"/>
      <c r="P16" s="172"/>
      <c r="Q16" s="172"/>
      <c r="R16" s="172"/>
      <c r="S16" s="175"/>
      <c r="T16" s="191"/>
      <c r="U16" s="191"/>
      <c r="V16" s="176">
        <f t="shared" si="0"/>
        <v>0</v>
      </c>
    </row>
    <row r="17" spans="1:22">
      <c r="A17" s="95">
        <v>11</v>
      </c>
      <c r="B17" s="720" t="s">
        <v>70</v>
      </c>
      <c r="C17" s="174"/>
      <c r="D17" s="172"/>
      <c r="E17" s="172"/>
      <c r="F17" s="172"/>
      <c r="G17" s="172"/>
      <c r="H17" s="172"/>
      <c r="I17" s="172"/>
      <c r="J17" s="172"/>
      <c r="K17" s="172"/>
      <c r="L17" s="175"/>
      <c r="M17" s="174"/>
      <c r="N17" s="172"/>
      <c r="O17" s="172"/>
      <c r="P17" s="172"/>
      <c r="Q17" s="172"/>
      <c r="R17" s="172"/>
      <c r="S17" s="175"/>
      <c r="T17" s="191"/>
      <c r="U17" s="191"/>
      <c r="V17" s="176">
        <f t="shared" si="0"/>
        <v>0</v>
      </c>
    </row>
    <row r="18" spans="1:22">
      <c r="A18" s="95">
        <v>12</v>
      </c>
      <c r="B18" s="720" t="s">
        <v>71</v>
      </c>
      <c r="C18" s="174"/>
      <c r="D18" s="172"/>
      <c r="E18" s="172"/>
      <c r="F18" s="172"/>
      <c r="G18" s="172"/>
      <c r="H18" s="172"/>
      <c r="I18" s="172"/>
      <c r="J18" s="172"/>
      <c r="K18" s="172"/>
      <c r="L18" s="175"/>
      <c r="M18" s="174"/>
      <c r="N18" s="172"/>
      <c r="O18" s="172"/>
      <c r="P18" s="172"/>
      <c r="Q18" s="172"/>
      <c r="R18" s="172"/>
      <c r="S18" s="175"/>
      <c r="T18" s="191"/>
      <c r="U18" s="191"/>
      <c r="V18" s="176">
        <f t="shared" si="0"/>
        <v>0</v>
      </c>
    </row>
    <row r="19" spans="1:22">
      <c r="A19" s="95">
        <v>13</v>
      </c>
      <c r="B19" s="720" t="s">
        <v>72</v>
      </c>
      <c r="C19" s="174"/>
      <c r="D19" s="172"/>
      <c r="E19" s="172"/>
      <c r="F19" s="172"/>
      <c r="G19" s="172"/>
      <c r="H19" s="172"/>
      <c r="I19" s="172"/>
      <c r="J19" s="172"/>
      <c r="K19" s="172"/>
      <c r="L19" s="175"/>
      <c r="M19" s="174"/>
      <c r="N19" s="172"/>
      <c r="O19" s="172"/>
      <c r="P19" s="172"/>
      <c r="Q19" s="172"/>
      <c r="R19" s="172"/>
      <c r="S19" s="175"/>
      <c r="T19" s="191"/>
      <c r="U19" s="191"/>
      <c r="V19" s="176">
        <f t="shared" si="0"/>
        <v>0</v>
      </c>
    </row>
    <row r="20" spans="1:22">
      <c r="A20" s="95">
        <v>14</v>
      </c>
      <c r="B20" s="720" t="s">
        <v>156</v>
      </c>
      <c r="C20" s="174"/>
      <c r="D20" s="172"/>
      <c r="E20" s="172"/>
      <c r="F20" s="172"/>
      <c r="G20" s="172"/>
      <c r="H20" s="172"/>
      <c r="I20" s="172"/>
      <c r="J20" s="172"/>
      <c r="K20" s="172"/>
      <c r="L20" s="175"/>
      <c r="M20" s="174"/>
      <c r="N20" s="172"/>
      <c r="O20" s="172"/>
      <c r="P20" s="172"/>
      <c r="Q20" s="172"/>
      <c r="R20" s="172"/>
      <c r="S20" s="175"/>
      <c r="T20" s="191"/>
      <c r="U20" s="191"/>
      <c r="V20" s="176">
        <f t="shared" si="0"/>
        <v>0</v>
      </c>
    </row>
    <row r="21" spans="1:22" ht="15.75" thickBot="1">
      <c r="A21" s="56"/>
      <c r="B21" s="57" t="s">
        <v>68</v>
      </c>
      <c r="C21" s="177">
        <f>SUM(C7:C20)</f>
        <v>0</v>
      </c>
      <c r="D21" s="173">
        <f t="shared" ref="D21:V21" si="1">SUM(D7:D20)</f>
        <v>0</v>
      </c>
      <c r="E21" s="173">
        <f t="shared" si="1"/>
        <v>0</v>
      </c>
      <c r="F21" s="173">
        <f t="shared" si="1"/>
        <v>0</v>
      </c>
      <c r="G21" s="173">
        <f t="shared" si="1"/>
        <v>0</v>
      </c>
      <c r="H21" s="173">
        <f t="shared" si="1"/>
        <v>0</v>
      </c>
      <c r="I21" s="173">
        <f t="shared" si="1"/>
        <v>0</v>
      </c>
      <c r="J21" s="173">
        <f t="shared" si="1"/>
        <v>0</v>
      </c>
      <c r="K21" s="173">
        <f t="shared" si="1"/>
        <v>0</v>
      </c>
      <c r="L21" s="178">
        <f t="shared" si="1"/>
        <v>0</v>
      </c>
      <c r="M21" s="177">
        <f t="shared" si="1"/>
        <v>0</v>
      </c>
      <c r="N21" s="173">
        <f t="shared" si="1"/>
        <v>0</v>
      </c>
      <c r="O21" s="173">
        <f t="shared" si="1"/>
        <v>0</v>
      </c>
      <c r="P21" s="173">
        <f t="shared" si="1"/>
        <v>0</v>
      </c>
      <c r="Q21" s="173">
        <f t="shared" si="1"/>
        <v>0</v>
      </c>
      <c r="R21" s="173">
        <f t="shared" si="1"/>
        <v>0</v>
      </c>
      <c r="S21" s="178">
        <f t="shared" si="1"/>
        <v>0</v>
      </c>
      <c r="T21" s="178">
        <f>SUM(T7:T20)</f>
        <v>0</v>
      </c>
      <c r="U21" s="178">
        <f t="shared" si="1"/>
        <v>0</v>
      </c>
      <c r="V21" s="179">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D16" sqref="D16"/>
    </sheetView>
  </sheetViews>
  <sheetFormatPr defaultColWidth="9.125" defaultRowHeight="15"/>
  <cols>
    <col min="1" max="1" width="10.5" style="1" bestFit="1" customWidth="1"/>
    <col min="2" max="2" width="101.875" style="1" customWidth="1"/>
    <col min="3" max="3" width="13.75" style="1" customWidth="1"/>
    <col min="4" max="4" width="14.875" style="1" bestFit="1" customWidth="1"/>
    <col min="5" max="5" width="17.75" style="1" customWidth="1"/>
    <col min="6" max="6" width="15.875" style="1" customWidth="1"/>
    <col min="7" max="7" width="17.5" style="1" customWidth="1"/>
    <col min="8" max="8" width="15.25" style="1" customWidth="1"/>
    <col min="9" max="16384" width="9.125" style="8"/>
  </cols>
  <sheetData>
    <row r="1" spans="1:9">
      <c r="A1" s="1" t="s">
        <v>110</v>
      </c>
      <c r="B1" s="1" t="str">
        <f>Info!C2</f>
        <v>სს "პეისერა ბანკი საქართველო"</v>
      </c>
    </row>
    <row r="2" spans="1:9">
      <c r="A2" s="1" t="s">
        <v>111</v>
      </c>
      <c r="B2" s="334">
        <f>'1. key ratios'!B2</f>
        <v>45016</v>
      </c>
    </row>
    <row r="4" spans="1:9" ht="15.75" thickBot="1">
      <c r="A4" s="1" t="s">
        <v>263</v>
      </c>
      <c r="B4" s="23" t="s">
        <v>298</v>
      </c>
    </row>
    <row r="5" spans="1:9">
      <c r="A5" s="54"/>
      <c r="B5" s="93"/>
      <c r="C5" s="97" t="s">
        <v>0</v>
      </c>
      <c r="D5" s="97" t="s">
        <v>1</v>
      </c>
      <c r="E5" s="97" t="s">
        <v>2</v>
      </c>
      <c r="F5" s="97" t="s">
        <v>3</v>
      </c>
      <c r="G5" s="190" t="s">
        <v>4</v>
      </c>
      <c r="H5" s="98" t="s">
        <v>6</v>
      </c>
      <c r="I5" s="18"/>
    </row>
    <row r="6" spans="1:9" ht="15" customHeight="1">
      <c r="A6" s="92"/>
      <c r="B6" s="16"/>
      <c r="C6" s="765" t="s">
        <v>290</v>
      </c>
      <c r="D6" s="776" t="s">
        <v>311</v>
      </c>
      <c r="E6" s="777"/>
      <c r="F6" s="765" t="s">
        <v>317</v>
      </c>
      <c r="G6" s="765" t="s">
        <v>318</v>
      </c>
      <c r="H6" s="774" t="s">
        <v>292</v>
      </c>
      <c r="I6" s="18"/>
    </row>
    <row r="7" spans="1:9" ht="75">
      <c r="A7" s="92"/>
      <c r="B7" s="16"/>
      <c r="C7" s="766"/>
      <c r="D7" s="193" t="s">
        <v>293</v>
      </c>
      <c r="E7" s="193" t="s">
        <v>291</v>
      </c>
      <c r="F7" s="766"/>
      <c r="G7" s="766"/>
      <c r="H7" s="775"/>
      <c r="I7" s="18"/>
    </row>
    <row r="8" spans="1:9">
      <c r="A8" s="46">
        <v>1</v>
      </c>
      <c r="B8" s="36" t="s">
        <v>136</v>
      </c>
      <c r="C8" s="663">
        <v>0</v>
      </c>
      <c r="D8" s="172"/>
      <c r="E8" s="172"/>
      <c r="F8" s="172"/>
      <c r="G8" s="189"/>
      <c r="H8" s="196" t="e">
        <f>G8/(C8+E8)</f>
        <v>#DIV/0!</v>
      </c>
    </row>
    <row r="9" spans="1:9" ht="15" customHeight="1">
      <c r="A9" s="46">
        <v>2</v>
      </c>
      <c r="B9" s="36" t="s">
        <v>137</v>
      </c>
      <c r="C9" s="172"/>
      <c r="D9" s="172"/>
      <c r="E9" s="172"/>
      <c r="F9" s="172"/>
      <c r="G9" s="189"/>
      <c r="H9" s="196" t="e">
        <f t="shared" ref="H9:H21" si="0">G9/(C9+E9)</f>
        <v>#DIV/0!</v>
      </c>
    </row>
    <row r="10" spans="1:9">
      <c r="A10" s="46">
        <v>3</v>
      </c>
      <c r="B10" s="36" t="s">
        <v>138</v>
      </c>
      <c r="C10" s="172"/>
      <c r="D10" s="172"/>
      <c r="E10" s="172"/>
      <c r="F10" s="172"/>
      <c r="G10" s="189"/>
      <c r="H10" s="196" t="e">
        <f t="shared" si="0"/>
        <v>#DIV/0!</v>
      </c>
    </row>
    <row r="11" spans="1:9">
      <c r="A11" s="46">
        <v>4</v>
      </c>
      <c r="B11" s="36" t="s">
        <v>139</v>
      </c>
      <c r="C11" s="172"/>
      <c r="D11" s="172"/>
      <c r="E11" s="172"/>
      <c r="F11" s="172"/>
      <c r="G11" s="189"/>
      <c r="H11" s="196" t="e">
        <f t="shared" si="0"/>
        <v>#DIV/0!</v>
      </c>
    </row>
    <row r="12" spans="1:9">
      <c r="A12" s="46">
        <v>5</v>
      </c>
      <c r="B12" s="36" t="s">
        <v>971</v>
      </c>
      <c r="C12" s="172"/>
      <c r="D12" s="172"/>
      <c r="E12" s="172"/>
      <c r="F12" s="172"/>
      <c r="G12" s="189"/>
      <c r="H12" s="196" t="e">
        <f t="shared" si="0"/>
        <v>#DIV/0!</v>
      </c>
    </row>
    <row r="13" spans="1:9">
      <c r="A13" s="46">
        <v>6</v>
      </c>
      <c r="B13" s="36" t="s">
        <v>140</v>
      </c>
      <c r="C13" s="172">
        <f>'11. CRWA'!E13+'11. CRWA'!I13</f>
        <v>5978245.3200000003</v>
      </c>
      <c r="D13" s="172"/>
      <c r="E13" s="172"/>
      <c r="F13" s="172">
        <f>'11. CRWA'!S13</f>
        <v>2351903.0159999998</v>
      </c>
      <c r="G13" s="189">
        <f>'11. CRWA'!S13</f>
        <v>2351903.0159999998</v>
      </c>
      <c r="H13" s="196">
        <f t="shared" si="0"/>
        <v>0.39341025503449895</v>
      </c>
    </row>
    <row r="14" spans="1:9">
      <c r="A14" s="46">
        <v>7</v>
      </c>
      <c r="B14" s="36" t="s">
        <v>73</v>
      </c>
      <c r="C14" s="172"/>
      <c r="D14" s="172"/>
      <c r="E14" s="172"/>
      <c r="F14" s="172"/>
      <c r="G14" s="189"/>
      <c r="H14" s="196" t="e">
        <f>G14/(C14+E14)</f>
        <v>#DIV/0!</v>
      </c>
    </row>
    <row r="15" spans="1:9">
      <c r="A15" s="46">
        <v>8</v>
      </c>
      <c r="B15" s="36" t="s">
        <v>74</v>
      </c>
      <c r="C15" s="172"/>
      <c r="D15" s="172"/>
      <c r="E15" s="172"/>
      <c r="F15" s="172"/>
      <c r="G15" s="189"/>
      <c r="H15" s="196" t="e">
        <f t="shared" si="0"/>
        <v>#DIV/0!</v>
      </c>
    </row>
    <row r="16" spans="1:9">
      <c r="A16" s="46">
        <v>9</v>
      </c>
      <c r="B16" s="36" t="s">
        <v>972</v>
      </c>
      <c r="C16" s="172"/>
      <c r="D16" s="172"/>
      <c r="E16" s="172"/>
      <c r="F16" s="172"/>
      <c r="G16" s="189"/>
      <c r="H16" s="196" t="e">
        <f t="shared" si="0"/>
        <v>#DIV/0!</v>
      </c>
    </row>
    <row r="17" spans="1:8">
      <c r="A17" s="46">
        <v>10</v>
      </c>
      <c r="B17" s="36" t="s">
        <v>69</v>
      </c>
      <c r="C17" s="172"/>
      <c r="D17" s="172"/>
      <c r="E17" s="172"/>
      <c r="F17" s="172"/>
      <c r="G17" s="189"/>
      <c r="H17" s="196" t="e">
        <f t="shared" si="0"/>
        <v>#DIV/0!</v>
      </c>
    </row>
    <row r="18" spans="1:8">
      <c r="A18" s="46">
        <v>11</v>
      </c>
      <c r="B18" s="36" t="s">
        <v>70</v>
      </c>
      <c r="C18" s="172"/>
      <c r="D18" s="172"/>
      <c r="E18" s="172"/>
      <c r="F18" s="172"/>
      <c r="G18" s="189"/>
      <c r="H18" s="196" t="e">
        <f t="shared" si="0"/>
        <v>#DIV/0!</v>
      </c>
    </row>
    <row r="19" spans="1:8">
      <c r="A19" s="46">
        <v>12</v>
      </c>
      <c r="B19" s="36" t="s">
        <v>71</v>
      </c>
      <c r="C19" s="172"/>
      <c r="D19" s="172"/>
      <c r="E19" s="172"/>
      <c r="F19" s="172"/>
      <c r="G19" s="189"/>
      <c r="H19" s="196" t="e">
        <f t="shared" si="0"/>
        <v>#DIV/0!</v>
      </c>
    </row>
    <row r="20" spans="1:8">
      <c r="A20" s="46">
        <v>13</v>
      </c>
      <c r="B20" s="36" t="s">
        <v>72</v>
      </c>
      <c r="C20" s="172"/>
      <c r="D20" s="172"/>
      <c r="E20" s="172"/>
      <c r="F20" s="172"/>
      <c r="G20" s="189"/>
      <c r="H20" s="196" t="e">
        <f t="shared" si="0"/>
        <v>#DIV/0!</v>
      </c>
    </row>
    <row r="21" spans="1:8">
      <c r="A21" s="46">
        <v>14</v>
      </c>
      <c r="B21" s="36" t="s">
        <v>156</v>
      </c>
      <c r="C21" s="172">
        <f>'11. CRWA'!M21</f>
        <v>634023.23</v>
      </c>
      <c r="D21" s="172"/>
      <c r="E21" s="172"/>
      <c r="F21" s="172">
        <f>'11. CRWA'!S21</f>
        <v>634023.23</v>
      </c>
      <c r="G21" s="189">
        <f>'11. CRWA'!S21</f>
        <v>634023.23</v>
      </c>
      <c r="H21" s="196">
        <f t="shared" si="0"/>
        <v>1</v>
      </c>
    </row>
    <row r="22" spans="1:8" ht="15.75" thickBot="1">
      <c r="A22" s="94"/>
      <c r="B22" s="99" t="s">
        <v>68</v>
      </c>
      <c r="C22" s="173">
        <f>SUM(C8:C21)</f>
        <v>6612268.5500000007</v>
      </c>
      <c r="D22" s="173">
        <f>SUM(D8:D21)</f>
        <v>0</v>
      </c>
      <c r="E22" s="173">
        <f>SUM(E8:E21)</f>
        <v>0</v>
      </c>
      <c r="F22" s="173">
        <f>SUM(F8:F21)</f>
        <v>2985926.2459999998</v>
      </c>
      <c r="G22" s="173">
        <f>SUM(G8:G21)</f>
        <v>2985926.2459999998</v>
      </c>
      <c r="H22" s="197">
        <f>G22/(C22+E22)</f>
        <v>0.45157365031703067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M18" sqref="M18"/>
    </sheetView>
  </sheetViews>
  <sheetFormatPr defaultColWidth="9.125" defaultRowHeight="15"/>
  <cols>
    <col min="1" max="1" width="10.5" style="1" bestFit="1" customWidth="1"/>
    <col min="2" max="2" width="104.125" style="1" customWidth="1"/>
    <col min="3" max="11" width="12.75" style="1" customWidth="1"/>
    <col min="12" max="16384" width="9.125" style="1"/>
  </cols>
  <sheetData>
    <row r="1" spans="1:11">
      <c r="A1" s="1" t="s">
        <v>110</v>
      </c>
      <c r="B1" s="1" t="str">
        <f>Info!C2</f>
        <v>სს "პეისერა ბანკი საქართველო"</v>
      </c>
    </row>
    <row r="2" spans="1:11">
      <c r="A2" s="1" t="s">
        <v>111</v>
      </c>
      <c r="B2" s="334">
        <f>'1. key ratios'!B2</f>
        <v>45016</v>
      </c>
    </row>
    <row r="4" spans="1:11" ht="15.75" thickBot="1">
      <c r="A4" s="1" t="s">
        <v>354</v>
      </c>
      <c r="B4" s="23" t="s">
        <v>353</v>
      </c>
    </row>
    <row r="5" spans="1:11" ht="30" customHeight="1">
      <c r="A5" s="783"/>
      <c r="B5" s="784"/>
      <c r="C5" s="779" t="s">
        <v>386</v>
      </c>
      <c r="D5" s="779"/>
      <c r="E5" s="779"/>
      <c r="F5" s="779" t="s">
        <v>387</v>
      </c>
      <c r="G5" s="779"/>
      <c r="H5" s="779"/>
      <c r="I5" s="779" t="s">
        <v>388</v>
      </c>
      <c r="J5" s="779"/>
      <c r="K5" s="785"/>
    </row>
    <row r="6" spans="1:11">
      <c r="A6" s="221"/>
      <c r="B6" s="222"/>
      <c r="C6" s="223" t="s">
        <v>28</v>
      </c>
      <c r="D6" s="223" t="s">
        <v>92</v>
      </c>
      <c r="E6" s="223" t="s">
        <v>68</v>
      </c>
      <c r="F6" s="223" t="s">
        <v>28</v>
      </c>
      <c r="G6" s="223" t="s">
        <v>92</v>
      </c>
      <c r="H6" s="223" t="s">
        <v>68</v>
      </c>
      <c r="I6" s="223" t="s">
        <v>28</v>
      </c>
      <c r="J6" s="223" t="s">
        <v>92</v>
      </c>
      <c r="K6" s="225" t="s">
        <v>68</v>
      </c>
    </row>
    <row r="7" spans="1:11">
      <c r="A7" s="226" t="s">
        <v>324</v>
      </c>
      <c r="B7" s="220"/>
      <c r="C7" s="220"/>
      <c r="D7" s="220"/>
      <c r="E7" s="220"/>
      <c r="F7" s="220"/>
      <c r="G7" s="220"/>
      <c r="H7" s="220"/>
      <c r="I7" s="220"/>
      <c r="J7" s="220"/>
      <c r="K7" s="227"/>
    </row>
    <row r="8" spans="1:11">
      <c r="A8" s="219">
        <v>1</v>
      </c>
      <c r="B8" s="203" t="s">
        <v>324</v>
      </c>
      <c r="C8" s="201"/>
      <c r="D8" s="201"/>
      <c r="E8" s="201"/>
      <c r="F8" s="684">
        <v>2033977.47</v>
      </c>
      <c r="G8" s="684">
        <v>3843938.2399999998</v>
      </c>
      <c r="H8" s="684">
        <v>5877915.71</v>
      </c>
      <c r="I8" s="684">
        <v>-90088.010000000009</v>
      </c>
      <c r="J8" s="684">
        <v>-10241.6</v>
      </c>
      <c r="K8" s="695">
        <v>-100329.61000000002</v>
      </c>
    </row>
    <row r="9" spans="1:11">
      <c r="A9" s="226" t="s">
        <v>325</v>
      </c>
      <c r="B9" s="220"/>
      <c r="C9" s="220"/>
      <c r="D9" s="220"/>
      <c r="E9" s="220"/>
      <c r="F9" s="220"/>
      <c r="G9" s="220"/>
      <c r="H9" s="220"/>
      <c r="I9" s="699"/>
      <c r="J9" s="699"/>
      <c r="K9" s="700"/>
    </row>
    <row r="10" spans="1:11">
      <c r="A10" s="228">
        <v>2</v>
      </c>
      <c r="B10" s="204" t="s">
        <v>326</v>
      </c>
      <c r="C10" s="204"/>
      <c r="D10" s="205"/>
      <c r="E10" s="205"/>
      <c r="F10" s="205"/>
      <c r="G10" s="205"/>
      <c r="H10" s="205"/>
      <c r="I10" s="685"/>
      <c r="J10" s="685"/>
      <c r="K10" s="696"/>
    </row>
    <row r="11" spans="1:11">
      <c r="A11" s="228">
        <v>3</v>
      </c>
      <c r="B11" s="204" t="s">
        <v>327</v>
      </c>
      <c r="C11" s="204"/>
      <c r="D11" s="205"/>
      <c r="E11" s="205"/>
      <c r="F11" s="205"/>
      <c r="G11" s="205"/>
      <c r="H11" s="205"/>
      <c r="I11" s="685"/>
      <c r="J11" s="685"/>
      <c r="K11" s="696"/>
    </row>
    <row r="12" spans="1:11">
      <c r="A12" s="228">
        <v>4</v>
      </c>
      <c r="B12" s="204" t="s">
        <v>328</v>
      </c>
      <c r="C12" s="204"/>
      <c r="D12" s="205"/>
      <c r="E12" s="205"/>
      <c r="F12" s="205"/>
      <c r="G12" s="205"/>
      <c r="H12" s="205"/>
      <c r="I12" s="685"/>
      <c r="J12" s="685"/>
      <c r="K12" s="696"/>
    </row>
    <row r="13" spans="1:11">
      <c r="A13" s="228">
        <v>5</v>
      </c>
      <c r="B13" s="204" t="s">
        <v>329</v>
      </c>
      <c r="C13" s="204"/>
      <c r="D13" s="205"/>
      <c r="E13" s="205"/>
      <c r="F13" s="205"/>
      <c r="G13" s="205"/>
      <c r="H13" s="205"/>
      <c r="I13" s="685"/>
      <c r="J13" s="685"/>
      <c r="K13" s="696"/>
    </row>
    <row r="14" spans="1:11">
      <c r="A14" s="228">
        <v>6</v>
      </c>
      <c r="B14" s="204" t="s">
        <v>344</v>
      </c>
      <c r="C14" s="204"/>
      <c r="D14" s="205"/>
      <c r="E14" s="205"/>
      <c r="F14" s="205"/>
      <c r="G14" s="205"/>
      <c r="H14" s="205"/>
      <c r="I14" s="685"/>
      <c r="J14" s="685"/>
      <c r="K14" s="696"/>
    </row>
    <row r="15" spans="1:11">
      <c r="A15" s="228">
        <v>7</v>
      </c>
      <c r="B15" s="204" t="s">
        <v>331</v>
      </c>
      <c r="C15" s="204"/>
      <c r="D15" s="205"/>
      <c r="E15" s="205"/>
      <c r="F15" s="685">
        <v>7483.4299999999994</v>
      </c>
      <c r="G15" s="685">
        <v>0</v>
      </c>
      <c r="H15" s="685">
        <v>7483.4299999999994</v>
      </c>
      <c r="I15" s="685">
        <v>7483.4299999999994</v>
      </c>
      <c r="J15" s="685">
        <v>0</v>
      </c>
      <c r="K15" s="696">
        <v>7483.4299999999994</v>
      </c>
    </row>
    <row r="16" spans="1:11">
      <c r="A16" s="228">
        <v>8</v>
      </c>
      <c r="B16" s="206" t="s">
        <v>332</v>
      </c>
      <c r="C16" s="204"/>
      <c r="D16" s="205"/>
      <c r="E16" s="205"/>
      <c r="F16" s="685">
        <f t="shared" ref="F16:K16" si="0">SUM(F10:F15)</f>
        <v>7483.4299999999994</v>
      </c>
      <c r="G16" s="685">
        <f t="shared" si="0"/>
        <v>0</v>
      </c>
      <c r="H16" s="685">
        <f t="shared" si="0"/>
        <v>7483.4299999999994</v>
      </c>
      <c r="I16" s="685">
        <f t="shared" si="0"/>
        <v>7483.4299999999994</v>
      </c>
      <c r="J16" s="685">
        <f t="shared" si="0"/>
        <v>0</v>
      </c>
      <c r="K16" s="696">
        <f t="shared" si="0"/>
        <v>7483.4299999999994</v>
      </c>
    </row>
    <row r="17" spans="1:11">
      <c r="A17" s="226" t="s">
        <v>333</v>
      </c>
      <c r="B17" s="220"/>
      <c r="C17" s="220"/>
      <c r="D17" s="220"/>
      <c r="E17" s="220"/>
      <c r="F17" s="220"/>
      <c r="G17" s="220"/>
      <c r="H17" s="220"/>
      <c r="I17" s="699"/>
      <c r="J17" s="699"/>
      <c r="K17" s="700"/>
    </row>
    <row r="18" spans="1:11">
      <c r="A18" s="228">
        <v>9</v>
      </c>
      <c r="B18" s="204" t="s">
        <v>334</v>
      </c>
      <c r="C18" s="204"/>
      <c r="D18" s="205"/>
      <c r="E18" s="205"/>
      <c r="F18" s="205"/>
      <c r="G18" s="205"/>
      <c r="H18" s="205"/>
      <c r="I18" s="685"/>
      <c r="J18" s="685"/>
      <c r="K18" s="696"/>
    </row>
    <row r="19" spans="1:11">
      <c r="A19" s="228">
        <v>10</v>
      </c>
      <c r="B19" s="204" t="s">
        <v>335</v>
      </c>
      <c r="C19" s="204"/>
      <c r="D19" s="205"/>
      <c r="E19" s="205"/>
      <c r="F19" s="205"/>
      <c r="G19" s="205"/>
      <c r="H19" s="205"/>
      <c r="I19" s="685"/>
      <c r="J19" s="685"/>
      <c r="K19" s="696"/>
    </row>
    <row r="20" spans="1:11">
      <c r="A20" s="228">
        <v>11</v>
      </c>
      <c r="B20" s="204" t="s">
        <v>336</v>
      </c>
      <c r="C20" s="204"/>
      <c r="D20" s="205"/>
      <c r="E20" s="205"/>
      <c r="F20" s="205"/>
      <c r="G20" s="205"/>
      <c r="H20" s="205"/>
      <c r="I20" s="685">
        <v>2124065.48</v>
      </c>
      <c r="J20" s="685">
        <v>3854179.84</v>
      </c>
      <c r="K20" s="696">
        <v>5978245.3200000003</v>
      </c>
    </row>
    <row r="21" spans="1:11" ht="15.75" thickBot="1">
      <c r="A21" s="141">
        <v>12</v>
      </c>
      <c r="B21" s="229" t="s">
        <v>337</v>
      </c>
      <c r="C21" s="230"/>
      <c r="D21" s="231"/>
      <c r="E21" s="230"/>
      <c r="F21" s="231"/>
      <c r="G21" s="231"/>
      <c r="H21" s="231"/>
      <c r="I21" s="697">
        <v>2124065.48</v>
      </c>
      <c r="J21" s="697">
        <v>3854179.84</v>
      </c>
      <c r="K21" s="698">
        <v>5978245.3200000003</v>
      </c>
    </row>
    <row r="22" spans="1:11" ht="38.25" customHeight="1" thickBot="1">
      <c r="A22" s="217"/>
      <c r="B22" s="218"/>
      <c r="C22" s="218"/>
      <c r="D22" s="218"/>
      <c r="E22" s="218"/>
      <c r="F22" s="778" t="s">
        <v>338</v>
      </c>
      <c r="G22" s="779"/>
      <c r="H22" s="779"/>
      <c r="I22" s="780" t="s">
        <v>339</v>
      </c>
      <c r="J22" s="781"/>
      <c r="K22" s="782"/>
    </row>
    <row r="23" spans="1:11">
      <c r="A23" s="210">
        <v>13</v>
      </c>
      <c r="B23" s="207" t="s">
        <v>324</v>
      </c>
      <c r="C23" s="216"/>
      <c r="D23" s="216"/>
      <c r="E23" s="216"/>
      <c r="F23" s="686">
        <f>F8</f>
        <v>2033977.47</v>
      </c>
      <c r="G23" s="686">
        <f t="shared" ref="G23:H23" si="1">G8</f>
        <v>3843938.2399999998</v>
      </c>
      <c r="H23" s="686">
        <f t="shared" si="1"/>
        <v>5877915.71</v>
      </c>
      <c r="I23" s="686">
        <f>I8</f>
        <v>-90088.010000000009</v>
      </c>
      <c r="J23" s="686">
        <f>J8</f>
        <v>-10241.6</v>
      </c>
      <c r="K23" s="687">
        <f>K8</f>
        <v>-100329.61000000002</v>
      </c>
    </row>
    <row r="24" spans="1:11" ht="16.5" thickBot="1">
      <c r="A24" s="211">
        <v>14</v>
      </c>
      <c r="B24" s="208" t="s">
        <v>340</v>
      </c>
      <c r="C24" s="232"/>
      <c r="D24" s="214"/>
      <c r="E24" s="215"/>
      <c r="F24" s="688">
        <f>F15</f>
        <v>7483.4299999999994</v>
      </c>
      <c r="G24" s="688">
        <f t="shared" ref="G24:H24" si="2">G15</f>
        <v>0</v>
      </c>
      <c r="H24" s="702">
        <f t="shared" si="2"/>
        <v>7483.4299999999994</v>
      </c>
      <c r="I24" s="703">
        <f>MAX(I16-I21,I16*0.25)</f>
        <v>1870.8574999999998</v>
      </c>
      <c r="J24" s="701">
        <f t="shared" ref="J24:K24" si="3">MAX(J16-J21,J16*0.25)</f>
        <v>0</v>
      </c>
      <c r="K24" s="696">
        <f t="shared" si="3"/>
        <v>1870.8574999999998</v>
      </c>
    </row>
    <row r="25" spans="1:11" ht="15.75" thickBot="1">
      <c r="A25" s="212">
        <v>15</v>
      </c>
      <c r="B25" s="209" t="s">
        <v>341</v>
      </c>
      <c r="C25" s="213"/>
      <c r="D25" s="213"/>
      <c r="E25" s="213"/>
      <c r="F25" s="689">
        <f t="shared" ref="F25:K25" si="4">IFERROR(F23/F24,0)</f>
        <v>271.79748724849435</v>
      </c>
      <c r="G25" s="689">
        <f t="shared" si="4"/>
        <v>0</v>
      </c>
      <c r="H25" s="689">
        <f t="shared" si="4"/>
        <v>785.45743195299485</v>
      </c>
      <c r="I25" s="689">
        <f t="shared" si="4"/>
        <v>-48.153325413613821</v>
      </c>
      <c r="J25" s="689">
        <f t="shared" si="4"/>
        <v>0</v>
      </c>
      <c r="K25" s="690">
        <f t="shared" si="4"/>
        <v>-53.627606592164298</v>
      </c>
    </row>
    <row r="28" spans="1:11" ht="30">
      <c r="B28" s="17" t="s">
        <v>385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12" sqref="C12"/>
    </sheetView>
  </sheetViews>
  <sheetFormatPr defaultColWidth="9.125" defaultRowHeight="15"/>
  <cols>
    <col min="1" max="1" width="10.5" style="32" bestFit="1" customWidth="1"/>
    <col min="2" max="2" width="95" style="32" customWidth="1"/>
    <col min="3" max="3" width="12.5" style="32" bestFit="1" customWidth="1"/>
    <col min="4" max="4" width="10" style="32" bestFit="1" customWidth="1"/>
    <col min="5" max="5" width="18.25" style="32" bestFit="1" customWidth="1"/>
    <col min="6" max="13" width="10.75" style="32" customWidth="1"/>
    <col min="14" max="14" width="31" style="32" bestFit="1" customWidth="1"/>
    <col min="15" max="16384" width="9.125" style="8"/>
  </cols>
  <sheetData>
    <row r="1" spans="1:14">
      <c r="A1" s="1" t="s">
        <v>110</v>
      </c>
      <c r="B1" s="32" t="str">
        <f>Info!C2</f>
        <v>სს "პეისერა ბანკი საქართველო"</v>
      </c>
    </row>
    <row r="2" spans="1:14" ht="14.25" customHeight="1">
      <c r="A2" s="32" t="s">
        <v>111</v>
      </c>
      <c r="B2" s="334">
        <f>'1. key ratios'!B2</f>
        <v>45016</v>
      </c>
    </row>
    <row r="3" spans="1:14" ht="14.25" customHeight="1"/>
    <row r="4" spans="1:14" ht="15.75" thickBot="1">
      <c r="A4" s="1" t="s">
        <v>264</v>
      </c>
      <c r="B4" s="48" t="s">
        <v>76</v>
      </c>
    </row>
    <row r="5" spans="1:14" s="19" customFormat="1">
      <c r="A5" s="108"/>
      <c r="B5" s="109"/>
      <c r="C5" s="110" t="s">
        <v>0</v>
      </c>
      <c r="D5" s="110" t="s">
        <v>1</v>
      </c>
      <c r="E5" s="110" t="s">
        <v>2</v>
      </c>
      <c r="F5" s="110" t="s">
        <v>3</v>
      </c>
      <c r="G5" s="110" t="s">
        <v>4</v>
      </c>
      <c r="H5" s="110" t="s">
        <v>6</v>
      </c>
      <c r="I5" s="110" t="s">
        <v>147</v>
      </c>
      <c r="J5" s="110" t="s">
        <v>148</v>
      </c>
      <c r="K5" s="110" t="s">
        <v>149</v>
      </c>
      <c r="L5" s="110" t="s">
        <v>150</v>
      </c>
      <c r="M5" s="110" t="s">
        <v>151</v>
      </c>
      <c r="N5" s="111" t="s">
        <v>152</v>
      </c>
    </row>
    <row r="6" spans="1:14" ht="45">
      <c r="A6" s="100"/>
      <c r="B6" s="58"/>
      <c r="C6" s="59" t="s">
        <v>86</v>
      </c>
      <c r="D6" s="60" t="s">
        <v>75</v>
      </c>
      <c r="E6" s="61" t="s">
        <v>85</v>
      </c>
      <c r="F6" s="62">
        <v>0</v>
      </c>
      <c r="G6" s="62">
        <v>0.2</v>
      </c>
      <c r="H6" s="62">
        <v>0.35</v>
      </c>
      <c r="I6" s="62">
        <v>0.5</v>
      </c>
      <c r="J6" s="62">
        <v>0.75</v>
      </c>
      <c r="K6" s="62">
        <v>1</v>
      </c>
      <c r="L6" s="62">
        <v>1.5</v>
      </c>
      <c r="M6" s="62">
        <v>2.5</v>
      </c>
      <c r="N6" s="101" t="s">
        <v>76</v>
      </c>
    </row>
    <row r="7" spans="1:14">
      <c r="A7" s="102">
        <v>1</v>
      </c>
      <c r="B7" s="63" t="s">
        <v>77</v>
      </c>
      <c r="C7" s="180">
        <f>SUM(C8:C13)</f>
        <v>0</v>
      </c>
      <c r="D7" s="58"/>
      <c r="E7" s="183">
        <f t="shared" ref="E7:M7" si="0">SUM(E8:E13)</f>
        <v>0</v>
      </c>
      <c r="F7" s="180">
        <f>SUM(F8:F13)</f>
        <v>0</v>
      </c>
      <c r="G7" s="180">
        <f t="shared" si="0"/>
        <v>0</v>
      </c>
      <c r="H7" s="180">
        <f t="shared" si="0"/>
        <v>0</v>
      </c>
      <c r="I7" s="180">
        <f t="shared" si="0"/>
        <v>0</v>
      </c>
      <c r="J7" s="180">
        <f t="shared" si="0"/>
        <v>0</v>
      </c>
      <c r="K7" s="180">
        <f t="shared" si="0"/>
        <v>0</v>
      </c>
      <c r="L7" s="180">
        <f t="shared" si="0"/>
        <v>0</v>
      </c>
      <c r="M7" s="180">
        <f t="shared" si="0"/>
        <v>0</v>
      </c>
      <c r="N7" s="103">
        <f>SUM(N8:N13)</f>
        <v>0</v>
      </c>
    </row>
    <row r="8" spans="1:14">
      <c r="A8" s="102">
        <v>1.1000000000000001</v>
      </c>
      <c r="B8" s="64" t="s">
        <v>78</v>
      </c>
      <c r="C8" s="181">
        <v>0</v>
      </c>
      <c r="D8" s="65">
        <v>0.02</v>
      </c>
      <c r="E8" s="183">
        <f>C8*D8</f>
        <v>0</v>
      </c>
      <c r="F8" s="181"/>
      <c r="G8" s="181"/>
      <c r="H8" s="181"/>
      <c r="I8" s="181"/>
      <c r="J8" s="181"/>
      <c r="K8" s="181"/>
      <c r="L8" s="181"/>
      <c r="M8" s="181"/>
      <c r="N8" s="103">
        <f>SUMPRODUCT($F$6:$M$6,F8:M8)</f>
        <v>0</v>
      </c>
    </row>
    <row r="9" spans="1:14">
      <c r="A9" s="102">
        <v>1.2</v>
      </c>
      <c r="B9" s="64" t="s">
        <v>79</v>
      </c>
      <c r="C9" s="181">
        <v>0</v>
      </c>
      <c r="D9" s="65">
        <v>0.05</v>
      </c>
      <c r="E9" s="183">
        <f>C9*D9</f>
        <v>0</v>
      </c>
      <c r="F9" s="181"/>
      <c r="G9" s="181"/>
      <c r="H9" s="181"/>
      <c r="I9" s="181"/>
      <c r="J9" s="181"/>
      <c r="K9" s="181"/>
      <c r="L9" s="181"/>
      <c r="M9" s="181"/>
      <c r="N9" s="103">
        <f t="shared" ref="N9:N12" si="1">SUMPRODUCT($F$6:$M$6,F9:M9)</f>
        <v>0</v>
      </c>
    </row>
    <row r="10" spans="1:14">
      <c r="A10" s="102">
        <v>1.3</v>
      </c>
      <c r="B10" s="64" t="s">
        <v>80</v>
      </c>
      <c r="C10" s="181">
        <v>0</v>
      </c>
      <c r="D10" s="65">
        <v>0.08</v>
      </c>
      <c r="E10" s="183">
        <f>C10*D10</f>
        <v>0</v>
      </c>
      <c r="F10" s="181"/>
      <c r="G10" s="181"/>
      <c r="H10" s="181"/>
      <c r="I10" s="181"/>
      <c r="J10" s="181"/>
      <c r="K10" s="181"/>
      <c r="L10" s="181"/>
      <c r="M10" s="181"/>
      <c r="N10" s="103">
        <f>SUMPRODUCT($F$6:$M$6,F10:M10)</f>
        <v>0</v>
      </c>
    </row>
    <row r="11" spans="1:14">
      <c r="A11" s="102">
        <v>1.4</v>
      </c>
      <c r="B11" s="64" t="s">
        <v>81</v>
      </c>
      <c r="C11" s="181">
        <v>0</v>
      </c>
      <c r="D11" s="65">
        <v>0.11</v>
      </c>
      <c r="E11" s="183">
        <f>C11*D11</f>
        <v>0</v>
      </c>
      <c r="F11" s="181"/>
      <c r="G11" s="181"/>
      <c r="H11" s="181"/>
      <c r="I11" s="181"/>
      <c r="J11" s="181"/>
      <c r="K11" s="181"/>
      <c r="L11" s="181"/>
      <c r="M11" s="181"/>
      <c r="N11" s="103">
        <f t="shared" si="1"/>
        <v>0</v>
      </c>
    </row>
    <row r="12" spans="1:14">
      <c r="A12" s="102">
        <v>1.5</v>
      </c>
      <c r="B12" s="64" t="s">
        <v>82</v>
      </c>
      <c r="C12" s="181">
        <v>0</v>
      </c>
      <c r="D12" s="65">
        <v>0.14000000000000001</v>
      </c>
      <c r="E12" s="183">
        <f>C12*D12</f>
        <v>0</v>
      </c>
      <c r="F12" s="181"/>
      <c r="G12" s="181"/>
      <c r="H12" s="181"/>
      <c r="I12" s="181"/>
      <c r="J12" s="181"/>
      <c r="K12" s="181"/>
      <c r="L12" s="181"/>
      <c r="M12" s="181"/>
      <c r="N12" s="103">
        <f t="shared" si="1"/>
        <v>0</v>
      </c>
    </row>
    <row r="13" spans="1:14">
      <c r="A13" s="102">
        <v>1.6</v>
      </c>
      <c r="B13" s="66" t="s">
        <v>83</v>
      </c>
      <c r="C13" s="181">
        <v>0</v>
      </c>
      <c r="D13" s="67"/>
      <c r="E13" s="181"/>
      <c r="F13" s="181"/>
      <c r="G13" s="181"/>
      <c r="H13" s="181"/>
      <c r="I13" s="181"/>
      <c r="J13" s="181"/>
      <c r="K13" s="181"/>
      <c r="L13" s="181"/>
      <c r="M13" s="181"/>
      <c r="N13" s="103">
        <f>SUMPRODUCT($F$6:$M$6,F13:M13)</f>
        <v>0</v>
      </c>
    </row>
    <row r="14" spans="1:14">
      <c r="A14" s="102">
        <v>2</v>
      </c>
      <c r="B14" s="68" t="s">
        <v>84</v>
      </c>
      <c r="C14" s="180">
        <f>SUM(C15:C20)</f>
        <v>0</v>
      </c>
      <c r="D14" s="58"/>
      <c r="E14" s="183">
        <f t="shared" ref="E14:M14" si="2">SUM(E15:E20)</f>
        <v>0</v>
      </c>
      <c r="F14" s="181">
        <f t="shared" si="2"/>
        <v>0</v>
      </c>
      <c r="G14" s="181">
        <f t="shared" si="2"/>
        <v>0</v>
      </c>
      <c r="H14" s="181">
        <f t="shared" si="2"/>
        <v>0</v>
      </c>
      <c r="I14" s="181">
        <f t="shared" si="2"/>
        <v>0</v>
      </c>
      <c r="J14" s="181">
        <f t="shared" si="2"/>
        <v>0</v>
      </c>
      <c r="K14" s="181">
        <f t="shared" si="2"/>
        <v>0</v>
      </c>
      <c r="L14" s="181">
        <f t="shared" si="2"/>
        <v>0</v>
      </c>
      <c r="M14" s="181">
        <f t="shared" si="2"/>
        <v>0</v>
      </c>
      <c r="N14" s="103">
        <f>SUM(N15:N20)</f>
        <v>0</v>
      </c>
    </row>
    <row r="15" spans="1:14">
      <c r="A15" s="102">
        <v>2.1</v>
      </c>
      <c r="B15" s="66" t="s">
        <v>78</v>
      </c>
      <c r="C15" s="181"/>
      <c r="D15" s="65">
        <v>5.0000000000000001E-3</v>
      </c>
      <c r="E15" s="183">
        <f>C15*D15</f>
        <v>0</v>
      </c>
      <c r="F15" s="181"/>
      <c r="G15" s="181"/>
      <c r="H15" s="181"/>
      <c r="I15" s="181"/>
      <c r="J15" s="181"/>
      <c r="K15" s="181"/>
      <c r="L15" s="181"/>
      <c r="M15" s="181"/>
      <c r="N15" s="103">
        <f>SUMPRODUCT($F$6:$M$6,F15:M15)</f>
        <v>0</v>
      </c>
    </row>
    <row r="16" spans="1:14">
      <c r="A16" s="102">
        <v>2.2000000000000002</v>
      </c>
      <c r="B16" s="66" t="s">
        <v>79</v>
      </c>
      <c r="C16" s="181"/>
      <c r="D16" s="65">
        <v>0.01</v>
      </c>
      <c r="E16" s="183">
        <f>C16*D16</f>
        <v>0</v>
      </c>
      <c r="F16" s="181"/>
      <c r="G16" s="181"/>
      <c r="H16" s="181"/>
      <c r="I16" s="181"/>
      <c r="J16" s="181"/>
      <c r="K16" s="181"/>
      <c r="L16" s="181"/>
      <c r="M16" s="181"/>
      <c r="N16" s="103">
        <f t="shared" ref="N16:N20" si="3">SUMPRODUCT($F$6:$M$6,F16:M16)</f>
        <v>0</v>
      </c>
    </row>
    <row r="17" spans="1:14">
      <c r="A17" s="102">
        <v>2.2999999999999998</v>
      </c>
      <c r="B17" s="66" t="s">
        <v>80</v>
      </c>
      <c r="C17" s="181"/>
      <c r="D17" s="65">
        <v>0.02</v>
      </c>
      <c r="E17" s="183">
        <f>C17*D17</f>
        <v>0</v>
      </c>
      <c r="F17" s="181"/>
      <c r="G17" s="181"/>
      <c r="H17" s="181"/>
      <c r="I17" s="181"/>
      <c r="J17" s="181"/>
      <c r="K17" s="181"/>
      <c r="L17" s="181"/>
      <c r="M17" s="181"/>
      <c r="N17" s="103">
        <f t="shared" si="3"/>
        <v>0</v>
      </c>
    </row>
    <row r="18" spans="1:14">
      <c r="A18" s="102">
        <v>2.4</v>
      </c>
      <c r="B18" s="66" t="s">
        <v>81</v>
      </c>
      <c r="C18" s="181"/>
      <c r="D18" s="65">
        <v>0.03</v>
      </c>
      <c r="E18" s="183">
        <f>C18*D18</f>
        <v>0</v>
      </c>
      <c r="F18" s="181"/>
      <c r="G18" s="181"/>
      <c r="H18" s="181"/>
      <c r="I18" s="181"/>
      <c r="J18" s="181"/>
      <c r="K18" s="181"/>
      <c r="L18" s="181"/>
      <c r="M18" s="181"/>
      <c r="N18" s="103">
        <f t="shared" si="3"/>
        <v>0</v>
      </c>
    </row>
    <row r="19" spans="1:14">
      <c r="A19" s="102">
        <v>2.5</v>
      </c>
      <c r="B19" s="66" t="s">
        <v>82</v>
      </c>
      <c r="C19" s="181"/>
      <c r="D19" s="65">
        <v>0.04</v>
      </c>
      <c r="E19" s="183">
        <f>C19*D19</f>
        <v>0</v>
      </c>
      <c r="F19" s="181"/>
      <c r="G19" s="181"/>
      <c r="H19" s="181"/>
      <c r="I19" s="181"/>
      <c r="J19" s="181"/>
      <c r="K19" s="181"/>
      <c r="L19" s="181"/>
      <c r="M19" s="181"/>
      <c r="N19" s="103">
        <f t="shared" si="3"/>
        <v>0</v>
      </c>
    </row>
    <row r="20" spans="1:14">
      <c r="A20" s="102">
        <v>2.6</v>
      </c>
      <c r="B20" s="66" t="s">
        <v>83</v>
      </c>
      <c r="C20" s="181"/>
      <c r="D20" s="67"/>
      <c r="E20" s="184"/>
      <c r="F20" s="181"/>
      <c r="G20" s="181"/>
      <c r="H20" s="181"/>
      <c r="I20" s="181"/>
      <c r="J20" s="181"/>
      <c r="K20" s="181"/>
      <c r="L20" s="181"/>
      <c r="M20" s="181"/>
      <c r="N20" s="103">
        <f t="shared" si="3"/>
        <v>0</v>
      </c>
    </row>
    <row r="21" spans="1:14" ht="15.75" thickBot="1">
      <c r="A21" s="104">
        <v>3</v>
      </c>
      <c r="B21" s="105" t="s">
        <v>68</v>
      </c>
      <c r="C21" s="182">
        <f>C14+C7</f>
        <v>0</v>
      </c>
      <c r="D21" s="106"/>
      <c r="E21" s="185">
        <f>E14+E7</f>
        <v>0</v>
      </c>
      <c r="F21" s="186">
        <f>F7+F14</f>
        <v>0</v>
      </c>
      <c r="G21" s="186">
        <f t="shared" ref="G21:L21" si="4">G7+G14</f>
        <v>0</v>
      </c>
      <c r="H21" s="186">
        <f t="shared" si="4"/>
        <v>0</v>
      </c>
      <c r="I21" s="186">
        <f t="shared" si="4"/>
        <v>0</v>
      </c>
      <c r="J21" s="186">
        <f t="shared" si="4"/>
        <v>0</v>
      </c>
      <c r="K21" s="186">
        <f t="shared" si="4"/>
        <v>0</v>
      </c>
      <c r="L21" s="186">
        <f t="shared" si="4"/>
        <v>0</v>
      </c>
      <c r="M21" s="186">
        <f>M7+M14</f>
        <v>0</v>
      </c>
      <c r="N21" s="107">
        <f>N14+N7</f>
        <v>0</v>
      </c>
    </row>
    <row r="22" spans="1:14">
      <c r="E22" s="187"/>
      <c r="F22" s="187"/>
      <c r="G22" s="187"/>
      <c r="H22" s="187"/>
      <c r="I22" s="187"/>
      <c r="J22" s="187"/>
      <c r="K22" s="187"/>
      <c r="L22" s="187"/>
      <c r="M22" s="187"/>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5" workbookViewId="0">
      <selection activeCell="H26" sqref="H26"/>
    </sheetView>
  </sheetViews>
  <sheetFormatPr defaultRowHeight="15"/>
  <cols>
    <col min="1" max="1" width="11.5" customWidth="1"/>
    <col min="2" max="2" width="76.875" style="2" customWidth="1"/>
    <col min="3" max="3" width="22.875" customWidth="1"/>
  </cols>
  <sheetData>
    <row r="1" spans="1:3" ht="15.75">
      <c r="A1" s="1" t="s">
        <v>110</v>
      </c>
      <c r="B1" t="str">
        <f>Info!C2</f>
        <v>სს "პეისერა ბანკი საქართველო"</v>
      </c>
    </row>
    <row r="2" spans="1:3" ht="15.75">
      <c r="A2" s="1" t="s">
        <v>111</v>
      </c>
      <c r="B2" s="694">
        <f>'1. key ratios'!B2</f>
        <v>45016</v>
      </c>
    </row>
    <row r="3" spans="1:3" ht="15.75">
      <c r="A3" s="1"/>
      <c r="B3"/>
    </row>
    <row r="4" spans="1:3" ht="15.75">
      <c r="A4" s="1" t="s">
        <v>430</v>
      </c>
      <c r="B4" t="s">
        <v>389</v>
      </c>
    </row>
    <row r="5" spans="1:3">
      <c r="A5" s="267"/>
      <c r="B5" s="267" t="s">
        <v>390</v>
      </c>
      <c r="C5" s="279"/>
    </row>
    <row r="6" spans="1:3">
      <c r="A6" s="268">
        <v>1</v>
      </c>
      <c r="B6" s="280" t="s">
        <v>442</v>
      </c>
      <c r="C6" s="281">
        <v>6813561.21</v>
      </c>
    </row>
    <row r="7" spans="1:3">
      <c r="A7" s="268">
        <v>2</v>
      </c>
      <c r="B7" s="280" t="s">
        <v>391</v>
      </c>
      <c r="C7" s="281">
        <v>-201292.66</v>
      </c>
    </row>
    <row r="8" spans="1:3">
      <c r="A8" s="269">
        <v>3</v>
      </c>
      <c r="B8" s="282" t="s">
        <v>392</v>
      </c>
      <c r="C8" s="283">
        <f>C6+C7</f>
        <v>6612268.5499999998</v>
      </c>
    </row>
    <row r="9" spans="1:3">
      <c r="A9" s="270"/>
      <c r="B9" s="270" t="s">
        <v>393</v>
      </c>
      <c r="C9" s="284"/>
    </row>
    <row r="10" spans="1:3">
      <c r="A10" s="271">
        <v>4</v>
      </c>
      <c r="B10" s="285" t="s">
        <v>394</v>
      </c>
      <c r="C10" s="281"/>
    </row>
    <row r="11" spans="1:3">
      <c r="A11" s="271">
        <v>5</v>
      </c>
      <c r="B11" s="286" t="s">
        <v>395</v>
      </c>
      <c r="C11" s="281"/>
    </row>
    <row r="12" spans="1:3">
      <c r="A12" s="271" t="s">
        <v>396</v>
      </c>
      <c r="B12" s="280" t="s">
        <v>397</v>
      </c>
      <c r="C12" s="283">
        <f>'15. CCR'!E21</f>
        <v>0</v>
      </c>
    </row>
    <row r="13" spans="1:3">
      <c r="A13" s="272">
        <v>6</v>
      </c>
      <c r="B13" s="287" t="s">
        <v>398</v>
      </c>
      <c r="C13" s="281"/>
    </row>
    <row r="14" spans="1:3">
      <c r="A14" s="272">
        <v>7</v>
      </c>
      <c r="B14" s="288" t="s">
        <v>399</v>
      </c>
      <c r="C14" s="281"/>
    </row>
    <row r="15" spans="1:3">
      <c r="A15" s="273">
        <v>8</v>
      </c>
      <c r="B15" s="280" t="s">
        <v>400</v>
      </c>
      <c r="C15" s="281"/>
    </row>
    <row r="16" spans="1:3" ht="24">
      <c r="A16" s="272">
        <v>9</v>
      </c>
      <c r="B16" s="288" t="s">
        <v>401</v>
      </c>
      <c r="C16" s="281"/>
    </row>
    <row r="17" spans="1:3">
      <c r="A17" s="272">
        <v>10</v>
      </c>
      <c r="B17" s="288" t="s">
        <v>402</v>
      </c>
      <c r="C17" s="281"/>
    </row>
    <row r="18" spans="1:3">
      <c r="A18" s="274">
        <v>11</v>
      </c>
      <c r="B18" s="289" t="s">
        <v>403</v>
      </c>
      <c r="C18" s="283">
        <f>SUM(C10:C17)</f>
        <v>0</v>
      </c>
    </row>
    <row r="19" spans="1:3">
      <c r="A19" s="270"/>
      <c r="B19" s="270" t="s">
        <v>404</v>
      </c>
      <c r="C19" s="290"/>
    </row>
    <row r="20" spans="1:3">
      <c r="A20" s="272">
        <v>12</v>
      </c>
      <c r="B20" s="285" t="s">
        <v>405</v>
      </c>
      <c r="C20" s="281"/>
    </row>
    <row r="21" spans="1:3">
      <c r="A21" s="272">
        <v>13</v>
      </c>
      <c r="B21" s="285" t="s">
        <v>406</v>
      </c>
      <c r="C21" s="281"/>
    </row>
    <row r="22" spans="1:3">
      <c r="A22" s="272">
        <v>14</v>
      </c>
      <c r="B22" s="285" t="s">
        <v>407</v>
      </c>
      <c r="C22" s="281"/>
    </row>
    <row r="23" spans="1:3" ht="24">
      <c r="A23" s="272" t="s">
        <v>408</v>
      </c>
      <c r="B23" s="285" t="s">
        <v>409</v>
      </c>
      <c r="C23" s="281"/>
    </row>
    <row r="24" spans="1:3">
      <c r="A24" s="272">
        <v>15</v>
      </c>
      <c r="B24" s="285" t="s">
        <v>410</v>
      </c>
      <c r="C24" s="281"/>
    </row>
    <row r="25" spans="1:3">
      <c r="A25" s="272" t="s">
        <v>411</v>
      </c>
      <c r="B25" s="280" t="s">
        <v>412</v>
      </c>
      <c r="C25" s="281"/>
    </row>
    <row r="26" spans="1:3">
      <c r="A26" s="274">
        <v>16</v>
      </c>
      <c r="B26" s="289" t="s">
        <v>413</v>
      </c>
      <c r="C26" s="283">
        <f>SUM(C20:C25)</f>
        <v>0</v>
      </c>
    </row>
    <row r="27" spans="1:3">
      <c r="A27" s="270"/>
      <c r="B27" s="270" t="s">
        <v>414</v>
      </c>
      <c r="C27" s="284"/>
    </row>
    <row r="28" spans="1:3">
      <c r="A28" s="271">
        <v>17</v>
      </c>
      <c r="B28" s="280" t="s">
        <v>415</v>
      </c>
      <c r="C28" s="281"/>
    </row>
    <row r="29" spans="1:3">
      <c r="A29" s="271">
        <v>18</v>
      </c>
      <c r="B29" s="280" t="s">
        <v>416</v>
      </c>
      <c r="C29" s="281"/>
    </row>
    <row r="30" spans="1:3">
      <c r="A30" s="274">
        <v>19</v>
      </c>
      <c r="B30" s="289" t="s">
        <v>417</v>
      </c>
      <c r="C30" s="283">
        <f>C28+C29</f>
        <v>0</v>
      </c>
    </row>
    <row r="31" spans="1:3">
      <c r="A31" s="275"/>
      <c r="B31" s="270" t="s">
        <v>418</v>
      </c>
      <c r="C31" s="284"/>
    </row>
    <row r="32" spans="1:3">
      <c r="A32" s="271" t="s">
        <v>419</v>
      </c>
      <c r="B32" s="285" t="s">
        <v>420</v>
      </c>
      <c r="C32" s="291"/>
    </row>
    <row r="33" spans="1:3">
      <c r="A33" s="271" t="s">
        <v>421</v>
      </c>
      <c r="B33" s="286" t="s">
        <v>422</v>
      </c>
      <c r="C33" s="291"/>
    </row>
    <row r="34" spans="1:3">
      <c r="A34" s="270"/>
      <c r="B34" s="270" t="s">
        <v>423</v>
      </c>
      <c r="C34" s="284"/>
    </row>
    <row r="35" spans="1:3">
      <c r="A35" s="274">
        <v>20</v>
      </c>
      <c r="B35" s="289" t="s">
        <v>88</v>
      </c>
      <c r="C35" s="283">
        <f>'1. key ratios'!C9</f>
        <v>6341630.0199999996</v>
      </c>
    </row>
    <row r="36" spans="1:3">
      <c r="A36" s="274">
        <v>21</v>
      </c>
      <c r="B36" s="289" t="s">
        <v>424</v>
      </c>
      <c r="C36" s="283">
        <f>C8+C18+C26+C30</f>
        <v>6612268.5499999998</v>
      </c>
    </row>
    <row r="37" spans="1:3">
      <c r="A37" s="276"/>
      <c r="B37" s="276" t="s">
        <v>389</v>
      </c>
      <c r="C37" s="284"/>
    </row>
    <row r="38" spans="1:3">
      <c r="A38" s="274">
        <v>22</v>
      </c>
      <c r="B38" s="289" t="s">
        <v>389</v>
      </c>
      <c r="C38" s="722">
        <f>IFERROR(C35/C36,0)</f>
        <v>0.95907024526400997</v>
      </c>
    </row>
    <row r="39" spans="1:3">
      <c r="A39" s="276"/>
      <c r="B39" s="276" t="s">
        <v>425</v>
      </c>
      <c r="C39" s="284"/>
    </row>
    <row r="40" spans="1:3">
      <c r="A40" s="277" t="s">
        <v>426</v>
      </c>
      <c r="B40" s="285" t="s">
        <v>427</v>
      </c>
      <c r="C40" s="291"/>
    </row>
    <row r="41" spans="1:3">
      <c r="A41" s="278" t="s">
        <v>428</v>
      </c>
      <c r="B41" s="286" t="s">
        <v>429</v>
      </c>
      <c r="C41" s="291"/>
    </row>
    <row r="43" spans="1:3">
      <c r="B43" s="300" t="s">
        <v>443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2"/>
  <sheetViews>
    <sheetView zoomScale="90" zoomScaleNormal="90" workbookViewId="0">
      <pane xSplit="2" ySplit="6" topLeftCell="C17" activePane="bottomRight" state="frozen"/>
      <selection pane="topRight" activeCell="C1" sqref="C1"/>
      <selection pane="bottomLeft" activeCell="A7" sqref="A7"/>
      <selection pane="bottomRight" activeCell="G30" sqref="G30"/>
    </sheetView>
  </sheetViews>
  <sheetFormatPr defaultRowHeight="15.75"/>
  <cols>
    <col min="1" max="1" width="9.875" style="1" bestFit="1" customWidth="1"/>
    <col min="2" max="2" width="82.625" style="17" customWidth="1"/>
    <col min="3" max="7" width="17.5" style="1" customWidth="1"/>
  </cols>
  <sheetData>
    <row r="1" spans="1:7">
      <c r="A1" s="1" t="s">
        <v>110</v>
      </c>
      <c r="B1" s="1" t="str">
        <f>Info!C2</f>
        <v>სს "პეისერა ბანკი საქართველო"</v>
      </c>
    </row>
    <row r="2" spans="1:7">
      <c r="A2" s="1" t="s">
        <v>111</v>
      </c>
      <c r="B2" s="334">
        <f>'1. key ratios'!B2</f>
        <v>45016</v>
      </c>
    </row>
    <row r="3" spans="1:7">
      <c r="B3" s="334"/>
    </row>
    <row r="4" spans="1:7" ht="16.5" thickBot="1">
      <c r="A4" s="1" t="s">
        <v>490</v>
      </c>
      <c r="B4" s="195" t="s">
        <v>455</v>
      </c>
    </row>
    <row r="5" spans="1:7">
      <c r="A5" s="337"/>
      <c r="B5" s="338"/>
      <c r="C5" s="786" t="s">
        <v>456</v>
      </c>
      <c r="D5" s="786"/>
      <c r="E5" s="786"/>
      <c r="F5" s="786"/>
      <c r="G5" s="787" t="s">
        <v>457</v>
      </c>
    </row>
    <row r="6" spans="1:7">
      <c r="A6" s="339"/>
      <c r="B6" s="340"/>
      <c r="C6" s="341" t="s">
        <v>458</v>
      </c>
      <c r="D6" s="341" t="s">
        <v>459</v>
      </c>
      <c r="E6" s="341" t="s">
        <v>460</v>
      </c>
      <c r="F6" s="341" t="s">
        <v>461</v>
      </c>
      <c r="G6" s="788"/>
    </row>
    <row r="7" spans="1:7">
      <c r="A7" s="342"/>
      <c r="B7" s="343" t="s">
        <v>462</v>
      </c>
      <c r="C7" s="344"/>
      <c r="D7" s="344"/>
      <c r="E7" s="344"/>
      <c r="F7" s="344"/>
      <c r="G7" s="345"/>
    </row>
    <row r="8" spans="1:7">
      <c r="A8" s="346">
        <v>1</v>
      </c>
      <c r="B8" s="347" t="s">
        <v>463</v>
      </c>
      <c r="C8" s="348">
        <f>SUM(C9:C10)</f>
        <v>6341630.0199999996</v>
      </c>
      <c r="D8" s="348">
        <f>SUM(D9:D10)</f>
        <v>0</v>
      </c>
      <c r="E8" s="348">
        <f>SUM(E9:E10)</f>
        <v>0</v>
      </c>
      <c r="F8" s="348">
        <f>SUM(F9:F10)</f>
        <v>0</v>
      </c>
      <c r="G8" s="349">
        <f>SUM(G9:G10)</f>
        <v>6820653.8456772361</v>
      </c>
    </row>
    <row r="9" spans="1:7">
      <c r="A9" s="346">
        <v>2</v>
      </c>
      <c r="B9" s="350" t="s">
        <v>87</v>
      </c>
      <c r="C9" s="348">
        <v>6341630.0199999996</v>
      </c>
      <c r="D9" s="348"/>
      <c r="E9" s="348"/>
      <c r="F9" s="348"/>
      <c r="G9" s="349">
        <v>6820653.8456772361</v>
      </c>
    </row>
    <row r="10" spans="1:7">
      <c r="A10" s="346">
        <v>3</v>
      </c>
      <c r="B10" s="350" t="s">
        <v>464</v>
      </c>
      <c r="C10" s="351"/>
      <c r="D10" s="351"/>
      <c r="E10" s="351"/>
      <c r="F10" s="348"/>
      <c r="G10" s="349"/>
    </row>
    <row r="11" spans="1:7" ht="30">
      <c r="A11" s="346">
        <v>4</v>
      </c>
      <c r="B11" s="347" t="s">
        <v>465</v>
      </c>
      <c r="C11" s="348">
        <f t="shared" ref="C11:F11" si="0">SUM(C12:C13)</f>
        <v>0</v>
      </c>
      <c r="D11" s="348">
        <f t="shared" si="0"/>
        <v>0</v>
      </c>
      <c r="E11" s="348">
        <f t="shared" si="0"/>
        <v>0</v>
      </c>
      <c r="F11" s="348">
        <f t="shared" si="0"/>
        <v>0</v>
      </c>
      <c r="G11" s="349">
        <f>SUM(G12:G13)</f>
        <v>0</v>
      </c>
    </row>
    <row r="12" spans="1:7">
      <c r="A12" s="346">
        <v>5</v>
      </c>
      <c r="B12" s="350" t="s">
        <v>466</v>
      </c>
      <c r="C12" s="348"/>
      <c r="D12" s="352"/>
      <c r="E12" s="348"/>
      <c r="F12" s="348"/>
      <c r="G12" s="349"/>
    </row>
    <row r="13" spans="1:7">
      <c r="A13" s="346">
        <v>6</v>
      </c>
      <c r="B13" s="350" t="s">
        <v>467</v>
      </c>
      <c r="C13" s="348"/>
      <c r="D13" s="352"/>
      <c r="E13" s="348"/>
      <c r="F13" s="348"/>
      <c r="G13" s="349"/>
    </row>
    <row r="14" spans="1:7">
      <c r="A14" s="346">
        <v>7</v>
      </c>
      <c r="B14" s="347" t="s">
        <v>468</v>
      </c>
      <c r="C14" s="348">
        <f t="shared" ref="C14:F14" si="1">SUM(C15:C16)</f>
        <v>0</v>
      </c>
      <c r="D14" s="348">
        <f t="shared" si="1"/>
        <v>0</v>
      </c>
      <c r="E14" s="348">
        <f t="shared" si="1"/>
        <v>0</v>
      </c>
      <c r="F14" s="348">
        <f t="shared" si="1"/>
        <v>0</v>
      </c>
      <c r="G14" s="349">
        <f>SUM(G15:G16)</f>
        <v>0</v>
      </c>
    </row>
    <row r="15" spans="1:7" ht="60">
      <c r="A15" s="346">
        <v>8</v>
      </c>
      <c r="B15" s="350" t="s">
        <v>469</v>
      </c>
      <c r="C15" s="348"/>
      <c r="D15" s="352"/>
      <c r="E15" s="348"/>
      <c r="F15" s="348"/>
      <c r="G15" s="349"/>
    </row>
    <row r="16" spans="1:7" ht="30">
      <c r="A16" s="346">
        <v>9</v>
      </c>
      <c r="B16" s="350" t="s">
        <v>470</v>
      </c>
      <c r="C16" s="348"/>
      <c r="D16" s="352"/>
      <c r="E16" s="348"/>
      <c r="F16" s="348"/>
      <c r="G16" s="349"/>
    </row>
    <row r="17" spans="1:9">
      <c r="A17" s="346">
        <v>10</v>
      </c>
      <c r="B17" s="347" t="s">
        <v>471</v>
      </c>
      <c r="C17" s="348"/>
      <c r="D17" s="352"/>
      <c r="E17" s="348"/>
      <c r="F17" s="348"/>
      <c r="G17" s="349"/>
    </row>
    <row r="18" spans="1:9">
      <c r="A18" s="346">
        <v>11</v>
      </c>
      <c r="B18" s="347" t="s">
        <v>91</v>
      </c>
      <c r="C18" s="348">
        <f>SUM(C19:C20)</f>
        <v>3790887.2800000003</v>
      </c>
      <c r="D18" s="352">
        <f t="shared" ref="D18:G18" si="2">SUM(D19:D20)</f>
        <v>22912.68</v>
      </c>
      <c r="E18" s="348">
        <f t="shared" si="2"/>
        <v>0</v>
      </c>
      <c r="F18" s="348">
        <f t="shared" si="2"/>
        <v>247725.84</v>
      </c>
      <c r="G18" s="349">
        <f t="shared" si="2"/>
        <v>0</v>
      </c>
    </row>
    <row r="19" spans="1:9">
      <c r="A19" s="346">
        <v>12</v>
      </c>
      <c r="B19" s="350" t="s">
        <v>472</v>
      </c>
      <c r="C19" s="351"/>
      <c r="D19" s="352"/>
      <c r="E19" s="348"/>
      <c r="F19" s="348"/>
      <c r="G19" s="349"/>
    </row>
    <row r="20" spans="1:9" ht="30">
      <c r="A20" s="346">
        <v>13</v>
      </c>
      <c r="B20" s="350" t="s">
        <v>473</v>
      </c>
      <c r="C20" s="348">
        <v>3790887.2800000003</v>
      </c>
      <c r="D20" s="348">
        <v>22912.68</v>
      </c>
      <c r="E20" s="348"/>
      <c r="F20" s="348">
        <v>247725.84</v>
      </c>
      <c r="G20" s="349"/>
    </row>
    <row r="21" spans="1:9">
      <c r="A21" s="353">
        <v>14</v>
      </c>
      <c r="B21" s="354" t="s">
        <v>474</v>
      </c>
      <c r="C21" s="351"/>
      <c r="D21" s="351"/>
      <c r="E21" s="351"/>
      <c r="F21" s="351"/>
      <c r="G21" s="355">
        <f>SUM(G8,G11,G14,G17,G18)</f>
        <v>6820653.8456772361</v>
      </c>
    </row>
    <row r="22" spans="1:9">
      <c r="A22" s="356"/>
      <c r="B22" s="375" t="s">
        <v>475</v>
      </c>
      <c r="C22" s="357"/>
      <c r="D22" s="358"/>
      <c r="E22" s="357"/>
      <c r="F22" s="357"/>
      <c r="G22" s="359"/>
    </row>
    <row r="23" spans="1:9">
      <c r="A23" s="346">
        <v>15</v>
      </c>
      <c r="B23" s="347" t="s">
        <v>324</v>
      </c>
      <c r="C23" s="360"/>
      <c r="D23" s="361">
        <v>5978245.3200000003</v>
      </c>
      <c r="E23" s="360"/>
      <c r="F23" s="360"/>
      <c r="G23" s="349">
        <v>298912.266</v>
      </c>
    </row>
    <row r="24" spans="1:9">
      <c r="A24" s="346">
        <v>16</v>
      </c>
      <c r="B24" s="347" t="s">
        <v>476</v>
      </c>
      <c r="C24" s="348">
        <f>SUM(C25:C27,C29,C31)</f>
        <v>0</v>
      </c>
      <c r="D24" s="352">
        <f t="shared" ref="D24:G24" si="3">SUM(D25:D27,D29,D31)</f>
        <v>0</v>
      </c>
      <c r="E24" s="348">
        <f t="shared" si="3"/>
        <v>0</v>
      </c>
      <c r="F24" s="348">
        <f t="shared" si="3"/>
        <v>0</v>
      </c>
      <c r="G24" s="349">
        <f t="shared" si="3"/>
        <v>0</v>
      </c>
    </row>
    <row r="25" spans="1:9" ht="30">
      <c r="A25" s="346">
        <v>17</v>
      </c>
      <c r="B25" s="350" t="s">
        <v>477</v>
      </c>
      <c r="C25" s="348"/>
      <c r="D25" s="352"/>
      <c r="E25" s="348"/>
      <c r="F25" s="348"/>
      <c r="G25" s="349"/>
    </row>
    <row r="26" spans="1:9" ht="30">
      <c r="A26" s="346">
        <v>18</v>
      </c>
      <c r="B26" s="350" t="s">
        <v>478</v>
      </c>
      <c r="C26" s="348"/>
      <c r="D26" s="352"/>
      <c r="E26" s="348"/>
      <c r="F26" s="348"/>
      <c r="G26" s="349"/>
    </row>
    <row r="27" spans="1:9">
      <c r="A27" s="346">
        <v>19</v>
      </c>
      <c r="B27" s="350" t="s">
        <v>479</v>
      </c>
      <c r="C27" s="348"/>
      <c r="D27" s="352"/>
      <c r="E27" s="348"/>
      <c r="F27" s="348"/>
      <c r="G27" s="349"/>
    </row>
    <row r="28" spans="1:9">
      <c r="A28" s="346">
        <v>20</v>
      </c>
      <c r="B28" s="362" t="s">
        <v>480</v>
      </c>
      <c r="C28" s="348"/>
      <c r="D28" s="352"/>
      <c r="E28" s="348"/>
      <c r="F28" s="348"/>
      <c r="G28" s="349"/>
      <c r="I28" t="s">
        <v>5</v>
      </c>
    </row>
    <row r="29" spans="1:9">
      <c r="A29" s="346">
        <v>21</v>
      </c>
      <c r="B29" s="350" t="s">
        <v>481</v>
      </c>
      <c r="C29" s="348"/>
      <c r="D29" s="352"/>
      <c r="E29" s="348"/>
      <c r="F29" s="348"/>
      <c r="G29" s="349"/>
    </row>
    <row r="30" spans="1:9">
      <c r="A30" s="346">
        <v>22</v>
      </c>
      <c r="B30" s="362" t="s">
        <v>480</v>
      </c>
      <c r="C30" s="348"/>
      <c r="D30" s="352"/>
      <c r="E30" s="348"/>
      <c r="F30" s="348"/>
      <c r="G30" s="349"/>
    </row>
    <row r="31" spans="1:9">
      <c r="A31" s="346">
        <v>23</v>
      </c>
      <c r="B31" s="350" t="s">
        <v>482</v>
      </c>
      <c r="C31" s="348"/>
      <c r="D31" s="352"/>
      <c r="E31" s="348"/>
      <c r="F31" s="348"/>
      <c r="G31" s="349"/>
    </row>
    <row r="32" spans="1:9">
      <c r="A32" s="346">
        <v>24</v>
      </c>
      <c r="B32" s="347" t="s">
        <v>483</v>
      </c>
      <c r="C32" s="348"/>
      <c r="D32" s="352"/>
      <c r="E32" s="348"/>
      <c r="F32" s="348"/>
      <c r="G32" s="349"/>
    </row>
    <row r="33" spans="1:7">
      <c r="A33" s="346">
        <v>25</v>
      </c>
      <c r="B33" s="347" t="s">
        <v>101</v>
      </c>
      <c r="C33" s="348">
        <f>SUM(C34:C36)</f>
        <v>200000</v>
      </c>
      <c r="D33" s="348">
        <f>SUM(D34:D35)</f>
        <v>102526.7</v>
      </c>
      <c r="E33" s="348">
        <f>SUM(E34:E35)</f>
        <v>84165.94</v>
      </c>
      <c r="F33" s="348">
        <f>SUM(F34:F35)</f>
        <v>448623.25000000006</v>
      </c>
      <c r="G33" s="349">
        <f>SUM(G34:G35)</f>
        <v>835315.89000000013</v>
      </c>
    </row>
    <row r="34" spans="1:7">
      <c r="A34" s="346">
        <v>26</v>
      </c>
      <c r="B34" s="350" t="s">
        <v>484</v>
      </c>
      <c r="C34" s="351"/>
      <c r="D34" s="352"/>
      <c r="E34" s="348"/>
      <c r="F34" s="348"/>
      <c r="G34" s="349"/>
    </row>
    <row r="35" spans="1:7">
      <c r="A35" s="346">
        <v>27</v>
      </c>
      <c r="B35" s="350" t="s">
        <v>485</v>
      </c>
      <c r="C35" s="1">
        <v>200000</v>
      </c>
      <c r="D35" s="352">
        <v>102526.7</v>
      </c>
      <c r="E35" s="348">
        <v>84165.94</v>
      </c>
      <c r="F35" s="348">
        <v>448623.25000000006</v>
      </c>
      <c r="G35" s="349">
        <f>SUM(C35:F35)</f>
        <v>835315.89000000013</v>
      </c>
    </row>
    <row r="36" spans="1:7">
      <c r="A36" s="346">
        <v>28</v>
      </c>
      <c r="B36" s="347" t="s">
        <v>486</v>
      </c>
      <c r="C36" s="348"/>
      <c r="D36" s="352"/>
      <c r="E36" s="348"/>
      <c r="F36" s="348"/>
      <c r="G36" s="349"/>
    </row>
    <row r="37" spans="1:7">
      <c r="A37" s="353">
        <v>29</v>
      </c>
      <c r="B37" s="354" t="s">
        <v>487</v>
      </c>
      <c r="C37" s="351"/>
      <c r="D37" s="351"/>
      <c r="E37" s="351"/>
      <c r="F37" s="351"/>
      <c r="G37" s="355">
        <f>SUM(G23:G24,G32:G33,G36)</f>
        <v>1134228.1560000002</v>
      </c>
    </row>
    <row r="38" spans="1:7">
      <c r="A38" s="342"/>
      <c r="B38" s="363"/>
      <c r="C38" s="364"/>
      <c r="D38" s="364"/>
      <c r="E38" s="364"/>
      <c r="F38" s="364"/>
      <c r="G38" s="365"/>
    </row>
    <row r="39" spans="1:7" ht="16.5" thickBot="1">
      <c r="A39" s="366">
        <v>30</v>
      </c>
      <c r="B39" s="367" t="s">
        <v>455</v>
      </c>
      <c r="C39" s="232"/>
      <c r="D39" s="214"/>
      <c r="E39" s="214"/>
      <c r="F39" s="368"/>
      <c r="G39" s="369">
        <f>IFERROR(G21/G37,0)</f>
        <v>6.0134760450059179</v>
      </c>
    </row>
    <row r="42" spans="1:7" ht="45">
      <c r="B42" s="17" t="s">
        <v>488</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Normal="100" workbookViewId="0">
      <pane xSplit="1" ySplit="5" topLeftCell="B6" activePane="bottomRight" state="frozen"/>
      <selection pane="topRight" activeCell="B1" sqref="B1"/>
      <selection pane="bottomLeft" activeCell="A6" sqref="A6"/>
      <selection pane="bottomRight" activeCell="D8" sqref="D8"/>
    </sheetView>
  </sheetViews>
  <sheetFormatPr defaultRowHeight="15.75"/>
  <cols>
    <col min="1" max="1" width="9.5" style="14" bestFit="1" customWidth="1"/>
    <col min="2" max="2" width="88.375" style="12" customWidth="1"/>
    <col min="3" max="3" width="12.75" style="12" customWidth="1"/>
    <col min="4" max="7" width="12.75" style="1" customWidth="1"/>
    <col min="8" max="8" width="6.75" customWidth="1"/>
    <col min="9" max="12" width="10.625" customWidth="1"/>
    <col min="13" max="13" width="6.75" customWidth="1"/>
  </cols>
  <sheetData>
    <row r="1" spans="1:12">
      <c r="A1" s="13" t="s">
        <v>110</v>
      </c>
      <c r="B1" s="299" t="str">
        <f>Info!C2</f>
        <v>სს "პეისერა ბანკი საქართველო"</v>
      </c>
    </row>
    <row r="2" spans="1:12">
      <c r="A2" s="13" t="s">
        <v>111</v>
      </c>
      <c r="B2" s="334">
        <v>45016</v>
      </c>
    </row>
    <row r="3" spans="1:12" ht="16.5" thickBot="1">
      <c r="A3" s="13"/>
    </row>
    <row r="4" spans="1:12" ht="63" customHeight="1" thickBot="1">
      <c r="A4" s="33" t="s">
        <v>254</v>
      </c>
      <c r="B4" s="135" t="s">
        <v>141</v>
      </c>
      <c r="C4" s="714"/>
      <c r="D4" s="725" t="s">
        <v>939</v>
      </c>
      <c r="E4" s="726"/>
      <c r="F4" s="726"/>
      <c r="G4" s="727"/>
      <c r="I4" s="728" t="s">
        <v>940</v>
      </c>
      <c r="J4" s="729"/>
      <c r="K4" s="729"/>
      <c r="L4" s="730"/>
    </row>
    <row r="5" spans="1:12" ht="15">
      <c r="A5" s="199" t="s">
        <v>27</v>
      </c>
      <c r="B5" s="200"/>
      <c r="C5" s="320" t="s">
        <v>984</v>
      </c>
      <c r="D5" s="320" t="s">
        <v>985</v>
      </c>
      <c r="E5" s="320" t="str">
        <f>IF(INT(MONTH($B$2))=3, "3"&amp;"Q"&amp;"-"&amp;YEAR($B$2)-1, IF(INT(MONTH($B$2))=6, "4"&amp;"Q"&amp;"-"&amp;YEAR($B$2)-1, IF(INT(MONTH($B$2))=9, "1"&amp;"Q"&amp;"-"&amp;YEAR($B$2),IF(INT(MONTH($B$2))=12, "2"&amp;"Q"&amp;"-"&amp;YEAR($B$2), 0))))</f>
        <v>3Q-2022</v>
      </c>
      <c r="F5" s="320" t="str">
        <f>IF(INT(MONTH($B$2))=3, "2"&amp;"Q"&amp;"-"&amp;YEAR($B$2)-1, IF(INT(MONTH($B$2))=6, "3"&amp;"Q"&amp;"-"&amp;YEAR($B$2)-1, IF(INT(MONTH($B$2))=9, "4"&amp;"Q"&amp;"-"&amp;YEAR($B$2)-1,IF(INT(MONTH($B$2))=12, "1"&amp;"Q"&amp;"-"&amp;YEAR($B$2), 0))))</f>
        <v>2Q-2022</v>
      </c>
      <c r="G5" s="321" t="str">
        <f>IF(INT(MONTH($B$2))=3, "1"&amp;"Q"&amp;"-"&amp;YEAR($B$2)-1, IF(INT(MONTH($B$2))=6, "2"&amp;"Q"&amp;"-"&amp;YEAR($B$2)-1, IF(INT(MONTH($B$2))=9, "3"&amp;"Q"&amp;"-"&amp;YEAR($B$2)-1,IF(INT(MONTH($B$2))=12, "4"&amp;"Q"&amp;"-"&amp;YEAR($B$2)-1, 0))))</f>
        <v>1Q-2022</v>
      </c>
      <c r="I5" s="605" t="str">
        <f>D5</f>
        <v>4Q-2022</v>
      </c>
      <c r="J5" s="320" t="str">
        <f t="shared" ref="J5:L5" si="0">E5</f>
        <v>3Q-2022</v>
      </c>
      <c r="K5" s="320" t="str">
        <f t="shared" si="0"/>
        <v>2Q-2022</v>
      </c>
      <c r="L5" s="321" t="str">
        <f t="shared" si="0"/>
        <v>1Q-2022</v>
      </c>
    </row>
    <row r="6" spans="1:12" ht="15">
      <c r="A6" s="322"/>
      <c r="B6" s="323" t="s">
        <v>108</v>
      </c>
      <c r="C6" s="201"/>
      <c r="D6" s="201"/>
      <c r="E6" s="201"/>
      <c r="F6" s="201"/>
      <c r="G6" s="202"/>
      <c r="I6" s="606"/>
      <c r="J6" s="201"/>
      <c r="K6" s="201"/>
      <c r="L6" s="202"/>
    </row>
    <row r="7" spans="1:12" ht="15">
      <c r="A7" s="322"/>
      <c r="B7" s="324" t="s">
        <v>112</v>
      </c>
      <c r="C7" s="201"/>
      <c r="D7" s="201"/>
      <c r="E7" s="201"/>
      <c r="F7" s="201"/>
      <c r="G7" s="202"/>
      <c r="I7" s="606"/>
      <c r="J7" s="201"/>
      <c r="K7" s="201"/>
      <c r="L7" s="202"/>
    </row>
    <row r="8" spans="1:12" ht="15">
      <c r="A8" s="303">
        <v>1</v>
      </c>
      <c r="B8" s="304" t="s">
        <v>24</v>
      </c>
      <c r="C8" s="715">
        <v>2550742.7399999998</v>
      </c>
      <c r="D8" s="325">
        <v>2778303.0956772366</v>
      </c>
      <c r="E8" s="325"/>
      <c r="F8" s="325"/>
      <c r="G8" s="326"/>
      <c r="I8" s="607"/>
      <c r="J8" s="608"/>
      <c r="K8" s="608"/>
      <c r="L8" s="609"/>
    </row>
    <row r="9" spans="1:12" ht="15">
      <c r="A9" s="303">
        <v>2</v>
      </c>
      <c r="B9" s="304" t="s">
        <v>88</v>
      </c>
      <c r="C9" s="715">
        <v>6341630.0199999996</v>
      </c>
      <c r="D9" s="325">
        <v>6778841.1956772357</v>
      </c>
      <c r="E9" s="325"/>
      <c r="F9" s="325"/>
      <c r="G9" s="326"/>
      <c r="I9" s="607"/>
      <c r="J9" s="608"/>
      <c r="K9" s="608"/>
      <c r="L9" s="609"/>
    </row>
    <row r="10" spans="1:12" ht="15">
      <c r="A10" s="303">
        <v>3</v>
      </c>
      <c r="B10" s="304" t="s">
        <v>87</v>
      </c>
      <c r="C10" s="715">
        <v>6341630.0199999996</v>
      </c>
      <c r="D10" s="325">
        <v>6778841.1956772357</v>
      </c>
      <c r="E10" s="325"/>
      <c r="F10" s="325"/>
      <c r="G10" s="326"/>
      <c r="I10" s="607"/>
      <c r="J10" s="608"/>
      <c r="K10" s="608"/>
      <c r="L10" s="609"/>
    </row>
    <row r="11" spans="1:12" ht="15">
      <c r="A11" s="303">
        <v>4</v>
      </c>
      <c r="B11" s="304" t="s">
        <v>447</v>
      </c>
      <c r="C11" s="715">
        <v>145017.00072000001</v>
      </c>
      <c r="D11" s="325">
        <v>222979.91671591179</v>
      </c>
      <c r="E11" s="325"/>
      <c r="F11" s="325"/>
      <c r="G11" s="326"/>
      <c r="I11" s="607"/>
      <c r="J11" s="608"/>
      <c r="K11" s="608"/>
      <c r="L11" s="609"/>
    </row>
    <row r="12" spans="1:12" ht="15">
      <c r="A12" s="303">
        <v>5</v>
      </c>
      <c r="B12" s="304" t="s">
        <v>448</v>
      </c>
      <c r="C12" s="715">
        <v>193356.00096</v>
      </c>
      <c r="D12" s="325">
        <v>270761.32744074997</v>
      </c>
      <c r="E12" s="325"/>
      <c r="F12" s="325"/>
      <c r="G12" s="326"/>
      <c r="I12" s="607"/>
      <c r="J12" s="608"/>
      <c r="K12" s="608"/>
      <c r="L12" s="609"/>
    </row>
    <row r="13" spans="1:12" ht="15">
      <c r="A13" s="303">
        <v>6</v>
      </c>
      <c r="B13" s="304" t="s">
        <v>449</v>
      </c>
      <c r="C13" s="715">
        <v>257808.00128000003</v>
      </c>
      <c r="D13" s="325">
        <v>334469.87507386768</v>
      </c>
      <c r="E13" s="325"/>
      <c r="F13" s="325"/>
      <c r="G13" s="326"/>
      <c r="I13" s="607"/>
      <c r="J13" s="608"/>
      <c r="K13" s="608"/>
      <c r="L13" s="609"/>
    </row>
    <row r="14" spans="1:12" ht="15">
      <c r="A14" s="322"/>
      <c r="B14" s="323" t="s">
        <v>451</v>
      </c>
      <c r="C14" s="201"/>
      <c r="D14" s="201"/>
      <c r="E14" s="201"/>
      <c r="F14" s="201"/>
      <c r="G14" s="202"/>
      <c r="I14" s="606"/>
      <c r="J14" s="201"/>
      <c r="K14" s="201"/>
      <c r="L14" s="202"/>
    </row>
    <row r="15" spans="1:12" ht="21.95" customHeight="1">
      <c r="A15" s="303">
        <v>7</v>
      </c>
      <c r="B15" s="304" t="s">
        <v>450</v>
      </c>
      <c r="C15" s="716">
        <v>3222600.0160000003</v>
      </c>
      <c r="D15" s="325">
        <v>3185427.3816558826</v>
      </c>
      <c r="E15" s="325"/>
      <c r="F15" s="325"/>
      <c r="G15" s="326"/>
      <c r="I15" s="607"/>
      <c r="J15" s="608"/>
      <c r="K15" s="608"/>
      <c r="L15" s="609"/>
    </row>
    <row r="16" spans="1:12" ht="15">
      <c r="A16" s="322"/>
      <c r="B16" s="323" t="s">
        <v>454</v>
      </c>
      <c r="C16" s="201"/>
      <c r="D16" s="201"/>
      <c r="E16" s="201"/>
      <c r="F16" s="201"/>
      <c r="G16" s="202"/>
      <c r="I16" s="606"/>
      <c r="J16" s="201"/>
      <c r="K16" s="201"/>
      <c r="L16" s="202"/>
    </row>
    <row r="17" spans="1:12" ht="15">
      <c r="A17" s="303"/>
      <c r="B17" s="324" t="s">
        <v>437</v>
      </c>
      <c r="C17" s="201"/>
      <c r="D17" s="201"/>
      <c r="E17" s="201"/>
      <c r="F17" s="201"/>
      <c r="G17" s="202"/>
      <c r="I17" s="606"/>
      <c r="J17" s="201"/>
      <c r="K17" s="201"/>
      <c r="L17" s="202"/>
    </row>
    <row r="18" spans="1:12" ht="15">
      <c r="A18" s="303">
        <v>8</v>
      </c>
      <c r="B18" s="304" t="s">
        <v>445</v>
      </c>
      <c r="C18" s="713">
        <v>0.7915170133853805</v>
      </c>
      <c r="D18" s="335">
        <v>0.8721916285635084</v>
      </c>
      <c r="E18" s="335"/>
      <c r="F18" s="335"/>
      <c r="G18" s="336"/>
      <c r="I18" s="610"/>
      <c r="J18" s="611"/>
      <c r="K18" s="611"/>
      <c r="L18" s="612"/>
    </row>
    <row r="19" spans="1:12" ht="15" customHeight="1">
      <c r="A19" s="303">
        <v>9</v>
      </c>
      <c r="B19" s="304" t="s">
        <v>444</v>
      </c>
      <c r="C19" s="713">
        <v>1.9678613506219256</v>
      </c>
      <c r="D19" s="335">
        <v>2.1280790247220724</v>
      </c>
      <c r="E19" s="335"/>
      <c r="F19" s="335"/>
      <c r="G19" s="336"/>
      <c r="I19" s="610"/>
      <c r="J19" s="611"/>
      <c r="K19" s="611"/>
      <c r="L19" s="612"/>
    </row>
    <row r="20" spans="1:12" ht="15">
      <c r="A20" s="303">
        <v>10</v>
      </c>
      <c r="B20" s="304" t="s">
        <v>446</v>
      </c>
      <c r="C20" s="713">
        <v>1.9678613506219256</v>
      </c>
      <c r="D20" s="335">
        <v>2.1280790247220724</v>
      </c>
      <c r="E20" s="335"/>
      <c r="F20" s="335"/>
      <c r="G20" s="336"/>
      <c r="I20" s="610"/>
      <c r="J20" s="611"/>
      <c r="K20" s="611"/>
      <c r="L20" s="612"/>
    </row>
    <row r="21" spans="1:12" ht="15">
      <c r="A21" s="303">
        <v>11</v>
      </c>
      <c r="B21" s="304" t="s">
        <v>447</v>
      </c>
      <c r="C21" s="713">
        <v>4.4999999999999998E-2</v>
      </c>
      <c r="D21" s="335">
        <v>7.0000000000000007E-2</v>
      </c>
      <c r="E21" s="335"/>
      <c r="F21" s="335"/>
      <c r="G21" s="336"/>
      <c r="I21" s="610"/>
      <c r="J21" s="611"/>
      <c r="K21" s="611"/>
      <c r="L21" s="612"/>
    </row>
    <row r="22" spans="1:12" ht="15">
      <c r="A22" s="303">
        <v>12</v>
      </c>
      <c r="B22" s="304" t="s">
        <v>448</v>
      </c>
      <c r="C22" s="713">
        <v>0.06</v>
      </c>
      <c r="D22" s="335">
        <v>8.4999999999999978E-2</v>
      </c>
      <c r="E22" s="335"/>
      <c r="F22" s="335"/>
      <c r="G22" s="336"/>
      <c r="I22" s="610"/>
      <c r="J22" s="611"/>
      <c r="K22" s="611"/>
      <c r="L22" s="612"/>
    </row>
    <row r="23" spans="1:12" ht="15">
      <c r="A23" s="303">
        <v>13</v>
      </c>
      <c r="B23" s="304" t="s">
        <v>449</v>
      </c>
      <c r="C23" s="713">
        <v>0.08</v>
      </c>
      <c r="D23" s="335">
        <v>0.105</v>
      </c>
      <c r="E23" s="335"/>
      <c r="F23" s="335"/>
      <c r="G23" s="336"/>
      <c r="I23" s="610"/>
      <c r="J23" s="611"/>
      <c r="K23" s="611"/>
      <c r="L23" s="612"/>
    </row>
    <row r="24" spans="1:12" ht="15">
      <c r="A24" s="322"/>
      <c r="B24" s="323" t="s">
        <v>7</v>
      </c>
      <c r="C24" s="201"/>
      <c r="D24" s="201"/>
      <c r="E24" s="201"/>
      <c r="F24" s="201"/>
      <c r="G24" s="202"/>
      <c r="I24" s="606"/>
      <c r="J24" s="201"/>
      <c r="K24" s="201"/>
      <c r="L24" s="202"/>
    </row>
    <row r="25" spans="1:12" ht="15" customHeight="1">
      <c r="A25" s="327">
        <v>14</v>
      </c>
      <c r="B25" s="328" t="s">
        <v>8</v>
      </c>
      <c r="C25" s="705">
        <v>7.0831404062207332E-3</v>
      </c>
      <c r="D25" s="704">
        <v>2.6718508444110074E-2</v>
      </c>
      <c r="E25" s="330"/>
      <c r="F25" s="330"/>
      <c r="G25" s="331"/>
      <c r="I25" s="613"/>
      <c r="J25" s="614"/>
      <c r="K25" s="614"/>
      <c r="L25" s="615"/>
    </row>
    <row r="26" spans="1:12" ht="15">
      <c r="A26" s="327">
        <v>15</v>
      </c>
      <c r="B26" s="328" t="s">
        <v>9</v>
      </c>
      <c r="C26" s="719">
        <v>3.5384200832297961E-4</v>
      </c>
      <c r="D26" s="704">
        <v>1.1127042555414135E-3</v>
      </c>
      <c r="E26" s="330"/>
      <c r="F26" s="330"/>
      <c r="G26" s="331"/>
      <c r="I26" s="613"/>
      <c r="J26" s="614"/>
      <c r="K26" s="614"/>
      <c r="L26" s="615"/>
    </row>
    <row r="27" spans="1:12" ht="15">
      <c r="A27" s="327">
        <v>16</v>
      </c>
      <c r="B27" s="328" t="s">
        <v>10</v>
      </c>
      <c r="C27" s="704">
        <v>-3.353400731354679E-2</v>
      </c>
      <c r="D27" s="704">
        <v>-6.2640848252923612E-2</v>
      </c>
      <c r="E27" s="330"/>
      <c r="F27" s="330"/>
      <c r="G27" s="331"/>
      <c r="I27" s="613"/>
      <c r="J27" s="614"/>
      <c r="K27" s="614"/>
      <c r="L27" s="615"/>
    </row>
    <row r="28" spans="1:12" ht="15">
      <c r="A28" s="327">
        <v>17</v>
      </c>
      <c r="B28" s="328" t="s">
        <v>142</v>
      </c>
      <c r="C28" s="704">
        <v>6.7292983978977537E-3</v>
      </c>
      <c r="D28" s="704">
        <v>2.5605804188568657E-2</v>
      </c>
      <c r="E28" s="330"/>
      <c r="F28" s="330"/>
      <c r="G28" s="331"/>
      <c r="I28" s="613"/>
      <c r="J28" s="614"/>
      <c r="K28" s="614"/>
      <c r="L28" s="615"/>
    </row>
    <row r="29" spans="1:12" ht="15">
      <c r="A29" s="327">
        <v>18</v>
      </c>
      <c r="B29" s="328" t="s">
        <v>11</v>
      </c>
      <c r="C29" s="704">
        <v>-2.983093068345832E-2</v>
      </c>
      <c r="D29" s="704">
        <v>-7.3706685025214769E-2</v>
      </c>
      <c r="E29" s="330"/>
      <c r="F29" s="330"/>
      <c r="G29" s="331"/>
      <c r="I29" s="613"/>
      <c r="J29" s="614"/>
      <c r="K29" s="614"/>
      <c r="L29" s="615"/>
    </row>
    <row r="30" spans="1:12" ht="15">
      <c r="A30" s="327">
        <v>19</v>
      </c>
      <c r="B30" s="328" t="s">
        <v>12</v>
      </c>
      <c r="C30" s="704">
        <v>-7.3565163730260674E-2</v>
      </c>
      <c r="D30" s="704">
        <v>-0.18110179633647297</v>
      </c>
      <c r="E30" s="330"/>
      <c r="F30" s="330"/>
      <c r="G30" s="331"/>
      <c r="I30" s="613"/>
      <c r="J30" s="614"/>
      <c r="K30" s="614"/>
      <c r="L30" s="615"/>
    </row>
    <row r="31" spans="1:12" ht="15">
      <c r="A31" s="322"/>
      <c r="B31" s="323" t="s">
        <v>13</v>
      </c>
      <c r="C31" s="201"/>
      <c r="D31" s="201"/>
      <c r="E31" s="201"/>
      <c r="F31" s="201"/>
      <c r="G31" s="202"/>
      <c r="I31" s="606"/>
      <c r="J31" s="201"/>
      <c r="K31" s="201"/>
      <c r="L31" s="202"/>
    </row>
    <row r="32" spans="1:12" ht="15">
      <c r="A32" s="327">
        <v>20</v>
      </c>
      <c r="B32" s="328" t="s">
        <v>14</v>
      </c>
      <c r="C32" s="704">
        <v>0</v>
      </c>
      <c r="D32" s="704">
        <v>0</v>
      </c>
      <c r="E32" s="330"/>
      <c r="F32" s="330"/>
      <c r="G32" s="331"/>
      <c r="I32" s="613"/>
      <c r="J32" s="614"/>
      <c r="K32" s="614"/>
      <c r="L32" s="615"/>
    </row>
    <row r="33" spans="1:12" ht="15" customHeight="1">
      <c r="A33" s="327">
        <v>21</v>
      </c>
      <c r="B33" s="328" t="s">
        <v>15</v>
      </c>
      <c r="C33" s="704">
        <v>0</v>
      </c>
      <c r="D33" s="704">
        <v>0</v>
      </c>
      <c r="E33" s="330"/>
      <c r="F33" s="330"/>
      <c r="G33" s="331"/>
      <c r="I33" s="613"/>
      <c r="J33" s="614"/>
      <c r="K33" s="614"/>
      <c r="L33" s="615"/>
    </row>
    <row r="34" spans="1:12" ht="15">
      <c r="A34" s="327">
        <v>22</v>
      </c>
      <c r="B34" s="328" t="s">
        <v>16</v>
      </c>
      <c r="C34" s="704">
        <v>0</v>
      </c>
      <c r="D34" s="704">
        <v>0</v>
      </c>
      <c r="E34" s="330"/>
      <c r="F34" s="330"/>
      <c r="G34" s="331"/>
      <c r="I34" s="613"/>
      <c r="J34" s="614"/>
      <c r="K34" s="614"/>
      <c r="L34" s="615"/>
    </row>
    <row r="35" spans="1:12" ht="15" customHeight="1">
      <c r="A35" s="327">
        <v>23</v>
      </c>
      <c r="B35" s="328" t="s">
        <v>17</v>
      </c>
      <c r="C35" s="704">
        <v>0.56566305360893643</v>
      </c>
      <c r="D35" s="704">
        <v>0.54971165197140937</v>
      </c>
      <c r="E35" s="330"/>
      <c r="F35" s="330"/>
      <c r="G35" s="331"/>
      <c r="I35" s="613"/>
      <c r="J35" s="614"/>
      <c r="K35" s="614"/>
      <c r="L35" s="615"/>
    </row>
    <row r="36" spans="1:12" ht="15">
      <c r="A36" s="327">
        <v>24</v>
      </c>
      <c r="B36" s="328" t="s">
        <v>18</v>
      </c>
      <c r="C36" s="704">
        <v>0</v>
      </c>
      <c r="D36" s="704">
        <v>0</v>
      </c>
      <c r="E36" s="330"/>
      <c r="F36" s="330"/>
      <c r="G36" s="331"/>
      <c r="I36" s="613"/>
      <c r="J36" s="614"/>
      <c r="K36" s="614"/>
      <c r="L36" s="615"/>
    </row>
    <row r="37" spans="1:12" ht="15" customHeight="1">
      <c r="A37" s="322"/>
      <c r="B37" s="323" t="s">
        <v>19</v>
      </c>
      <c r="C37" s="201"/>
      <c r="D37" s="201"/>
      <c r="E37" s="201"/>
      <c r="F37" s="201"/>
      <c r="G37" s="202"/>
      <c r="I37" s="606"/>
      <c r="J37" s="201"/>
      <c r="K37" s="201"/>
      <c r="L37" s="202"/>
    </row>
    <row r="38" spans="1:12" ht="15" customHeight="1">
      <c r="A38" s="327">
        <v>25</v>
      </c>
      <c r="B38" s="328" t="s">
        <v>20</v>
      </c>
      <c r="C38" s="705">
        <v>0.87740392076113749</v>
      </c>
      <c r="D38" s="705">
        <v>0.89494342779270275</v>
      </c>
      <c r="E38" s="329"/>
      <c r="F38" s="329"/>
      <c r="G38" s="332"/>
      <c r="I38" s="616"/>
      <c r="J38" s="617"/>
      <c r="K38" s="617"/>
      <c r="L38" s="618"/>
    </row>
    <row r="39" spans="1:12" ht="15" customHeight="1">
      <c r="A39" s="327">
        <v>26</v>
      </c>
      <c r="B39" s="328" t="s">
        <v>21</v>
      </c>
      <c r="C39" s="705">
        <v>0.99454662580254938</v>
      </c>
      <c r="D39" s="705">
        <v>0.98742657449241678</v>
      </c>
      <c r="E39" s="329"/>
      <c r="F39" s="329"/>
      <c r="G39" s="332"/>
      <c r="I39" s="616"/>
      <c r="J39" s="617"/>
      <c r="K39" s="617"/>
      <c r="L39" s="618"/>
    </row>
    <row r="40" spans="1:12" ht="15" customHeight="1">
      <c r="A40" s="327">
        <v>27</v>
      </c>
      <c r="B40" s="329" t="s">
        <v>22</v>
      </c>
      <c r="C40" s="705">
        <v>0</v>
      </c>
      <c r="D40" s="705">
        <v>0</v>
      </c>
      <c r="E40" s="329"/>
      <c r="F40" s="329"/>
      <c r="G40" s="332"/>
      <c r="I40" s="616"/>
      <c r="J40" s="617"/>
      <c r="K40" s="617"/>
      <c r="L40" s="618"/>
    </row>
    <row r="41" spans="1:12" ht="15" customHeight="1">
      <c r="A41" s="333"/>
      <c r="B41" s="323" t="s">
        <v>358</v>
      </c>
      <c r="C41" s="201"/>
      <c r="D41" s="201"/>
      <c r="E41" s="201"/>
      <c r="F41" s="201"/>
      <c r="G41" s="202"/>
      <c r="I41" s="606"/>
      <c r="J41" s="201"/>
      <c r="K41" s="201"/>
      <c r="L41" s="202"/>
    </row>
    <row r="42" spans="1:12" ht="15" customHeight="1">
      <c r="A42" s="327">
        <v>28</v>
      </c>
      <c r="B42" s="374" t="s">
        <v>342</v>
      </c>
      <c r="C42" s="717">
        <v>5877915.71</v>
      </c>
      <c r="D42" s="617">
        <v>6443624.5300000003</v>
      </c>
      <c r="E42" s="329"/>
      <c r="F42" s="329"/>
      <c r="G42" s="332"/>
      <c r="I42" s="616"/>
      <c r="J42" s="617"/>
      <c r="K42" s="617"/>
      <c r="L42" s="618"/>
    </row>
    <row r="43" spans="1:12" ht="15">
      <c r="A43" s="327">
        <v>29</v>
      </c>
      <c r="B43" s="328" t="s">
        <v>343</v>
      </c>
      <c r="C43" s="717">
        <v>7483.4299999999994</v>
      </c>
      <c r="D43" s="617">
        <v>62516.226681818182</v>
      </c>
      <c r="E43" s="330"/>
      <c r="F43" s="330"/>
      <c r="G43" s="331"/>
      <c r="I43" s="613"/>
      <c r="J43" s="614"/>
      <c r="K43" s="614"/>
      <c r="L43" s="615"/>
    </row>
    <row r="44" spans="1:12" ht="15">
      <c r="A44" s="370">
        <v>30</v>
      </c>
      <c r="B44" s="371" t="s">
        <v>341</v>
      </c>
      <c r="C44" s="705">
        <v>785.45743195299485</v>
      </c>
      <c r="D44" s="705">
        <v>103.07123241451204</v>
      </c>
      <c r="E44" s="329"/>
      <c r="F44" s="329"/>
      <c r="G44" s="332"/>
      <c r="I44" s="616"/>
      <c r="J44" s="617"/>
      <c r="K44" s="617"/>
      <c r="L44" s="618"/>
    </row>
    <row r="45" spans="1:12" ht="15">
      <c r="A45" s="370"/>
      <c r="B45" s="323" t="s">
        <v>455</v>
      </c>
      <c r="C45" s="201"/>
      <c r="D45" s="201"/>
      <c r="E45" s="201"/>
      <c r="F45" s="201"/>
      <c r="G45" s="202"/>
      <c r="I45" s="606"/>
      <c r="J45" s="201"/>
      <c r="K45" s="201"/>
      <c r="L45" s="202"/>
    </row>
    <row r="46" spans="1:12" ht="15">
      <c r="A46" s="370">
        <v>31</v>
      </c>
      <c r="B46" s="371" t="s">
        <v>462</v>
      </c>
      <c r="C46" s="718">
        <v>6820653.8456772361</v>
      </c>
      <c r="D46" s="706">
        <v>6778841.1956772357</v>
      </c>
      <c r="E46" s="372"/>
      <c r="F46" s="372"/>
      <c r="G46" s="373"/>
      <c r="I46" s="619"/>
      <c r="J46" s="620"/>
      <c r="K46" s="620"/>
      <c r="L46" s="373"/>
    </row>
    <row r="47" spans="1:12" ht="15">
      <c r="A47" s="370">
        <v>32</v>
      </c>
      <c r="B47" s="371" t="s">
        <v>475</v>
      </c>
      <c r="C47" s="718">
        <v>1134228.1560000002</v>
      </c>
      <c r="D47" s="706">
        <v>1200965.4458225493</v>
      </c>
      <c r="E47" s="372"/>
      <c r="F47" s="372"/>
      <c r="G47" s="373"/>
      <c r="I47" s="619"/>
      <c r="J47" s="620"/>
      <c r="K47" s="620"/>
      <c r="L47" s="373"/>
    </row>
    <row r="48" spans="1:12" thickBot="1">
      <c r="A48" s="74">
        <v>33</v>
      </c>
      <c r="B48" s="157" t="s">
        <v>489</v>
      </c>
      <c r="C48" s="707">
        <v>6.0134760450059179</v>
      </c>
      <c r="D48" s="707">
        <v>5.6444931194788559</v>
      </c>
      <c r="E48" s="158"/>
      <c r="F48" s="158"/>
      <c r="G48" s="159"/>
      <c r="I48" s="621"/>
      <c r="J48" s="622"/>
      <c r="K48" s="622"/>
      <c r="L48" s="623"/>
    </row>
    <row r="49" spans="1:2">
      <c r="A49" s="15"/>
    </row>
    <row r="50" spans="1:2" ht="45">
      <c r="B50" s="17" t="s">
        <v>948</v>
      </c>
    </row>
    <row r="51" spans="1:2" ht="75">
      <c r="B51" s="238" t="s">
        <v>357</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80" zoomScaleNormal="80" workbookViewId="0">
      <selection activeCell="C8" sqref="C8"/>
    </sheetView>
  </sheetViews>
  <sheetFormatPr defaultColWidth="9.125" defaultRowHeight="12.75"/>
  <cols>
    <col min="1" max="1" width="11.875" style="380" bestFit="1" customWidth="1"/>
    <col min="2" max="2" width="105.125" style="380" bestFit="1" customWidth="1"/>
    <col min="3" max="3" width="14" style="380" bestFit="1" customWidth="1"/>
    <col min="4" max="4" width="8.75" style="380" bestFit="1" customWidth="1"/>
    <col min="5" max="5" width="17.375" style="380" bestFit="1" customWidth="1"/>
    <col min="6" max="6" width="8.75" style="380" bestFit="1" customWidth="1"/>
    <col min="7" max="7" width="30.5" style="380" customWidth="1"/>
    <col min="8" max="8" width="11.375" style="380" bestFit="1" customWidth="1"/>
    <col min="9" max="16384" width="9.125" style="380"/>
  </cols>
  <sheetData>
    <row r="1" spans="1:8" ht="15">
      <c r="A1" s="379" t="s">
        <v>110</v>
      </c>
      <c r="B1" s="299" t="str">
        <f>Info!C2</f>
        <v>სს "პეისერა ბანკი საქართველო"</v>
      </c>
    </row>
    <row r="2" spans="1:8">
      <c r="A2" s="379" t="s">
        <v>111</v>
      </c>
      <c r="B2" s="382">
        <f>'1. key ratios'!B2</f>
        <v>45016</v>
      </c>
    </row>
    <row r="3" spans="1:8">
      <c r="A3" s="381" t="s">
        <v>495</v>
      </c>
    </row>
    <row r="5" spans="1:8">
      <c r="A5" s="789" t="s">
        <v>496</v>
      </c>
      <c r="B5" s="790"/>
      <c r="C5" s="795" t="s">
        <v>497</v>
      </c>
      <c r="D5" s="796"/>
      <c r="E5" s="796"/>
      <c r="F5" s="796"/>
      <c r="G5" s="796"/>
      <c r="H5" s="797"/>
    </row>
    <row r="6" spans="1:8">
      <c r="A6" s="791"/>
      <c r="B6" s="792"/>
      <c r="C6" s="798"/>
      <c r="D6" s="799"/>
      <c r="E6" s="799"/>
      <c r="F6" s="799"/>
      <c r="G6" s="799"/>
      <c r="H6" s="800"/>
    </row>
    <row r="7" spans="1:8">
      <c r="A7" s="793"/>
      <c r="B7" s="794"/>
      <c r="C7" s="469" t="s">
        <v>498</v>
      </c>
      <c r="D7" s="469" t="s">
        <v>499</v>
      </c>
      <c r="E7" s="469" t="s">
        <v>500</v>
      </c>
      <c r="F7" s="469" t="s">
        <v>501</v>
      </c>
      <c r="G7" s="469" t="s">
        <v>681</v>
      </c>
      <c r="H7" s="469" t="s">
        <v>68</v>
      </c>
    </row>
    <row r="8" spans="1:8">
      <c r="A8" s="465">
        <v>1</v>
      </c>
      <c r="B8" s="464" t="s">
        <v>136</v>
      </c>
      <c r="C8" s="691"/>
      <c r="D8" s="691"/>
      <c r="E8" s="691"/>
      <c r="F8" s="691"/>
      <c r="G8" s="691"/>
      <c r="H8" s="691">
        <f t="shared" ref="H8:H21" si="0">SUM(C8:G8)</f>
        <v>0</v>
      </c>
    </row>
    <row r="9" spans="1:8">
      <c r="A9" s="465">
        <v>2</v>
      </c>
      <c r="B9" s="464" t="s">
        <v>137</v>
      </c>
      <c r="C9" s="691"/>
      <c r="D9" s="691"/>
      <c r="E9" s="691"/>
      <c r="F9" s="691"/>
      <c r="G9" s="691"/>
      <c r="H9" s="691">
        <f t="shared" si="0"/>
        <v>0</v>
      </c>
    </row>
    <row r="10" spans="1:8">
      <c r="A10" s="465">
        <v>3</v>
      </c>
      <c r="B10" s="464" t="s">
        <v>138</v>
      </c>
      <c r="C10" s="691"/>
      <c r="D10" s="691"/>
      <c r="E10" s="691"/>
      <c r="F10" s="691"/>
      <c r="G10" s="691"/>
      <c r="H10" s="691">
        <f t="shared" si="0"/>
        <v>0</v>
      </c>
    </row>
    <row r="11" spans="1:8">
      <c r="A11" s="465">
        <v>4</v>
      </c>
      <c r="B11" s="464" t="s">
        <v>139</v>
      </c>
      <c r="C11" s="691"/>
      <c r="D11" s="691"/>
      <c r="E11" s="691"/>
      <c r="F11" s="691"/>
      <c r="G11" s="691"/>
      <c r="H11" s="691">
        <f t="shared" si="0"/>
        <v>0</v>
      </c>
    </row>
    <row r="12" spans="1:8">
      <c r="A12" s="465">
        <v>5</v>
      </c>
      <c r="B12" s="464" t="s">
        <v>971</v>
      </c>
      <c r="C12" s="691"/>
      <c r="D12" s="691"/>
      <c r="E12" s="691"/>
      <c r="F12" s="691"/>
      <c r="G12" s="691"/>
      <c r="H12" s="691">
        <f t="shared" si="0"/>
        <v>0</v>
      </c>
    </row>
    <row r="13" spans="1:8">
      <c r="A13" s="465">
        <v>6</v>
      </c>
      <c r="B13" s="464" t="s">
        <v>140</v>
      </c>
      <c r="C13" s="691">
        <v>5978245.3200000003</v>
      </c>
      <c r="D13" s="691"/>
      <c r="E13" s="691"/>
      <c r="F13" s="691"/>
      <c r="G13" s="691"/>
      <c r="H13" s="691">
        <f t="shared" si="0"/>
        <v>5978245.3200000003</v>
      </c>
    </row>
    <row r="14" spans="1:8">
      <c r="A14" s="465">
        <v>7</v>
      </c>
      <c r="B14" s="464" t="s">
        <v>73</v>
      </c>
      <c r="C14" s="691"/>
      <c r="D14" s="691"/>
      <c r="E14" s="691"/>
      <c r="F14" s="691"/>
      <c r="G14" s="691"/>
      <c r="H14" s="691">
        <f t="shared" si="0"/>
        <v>0</v>
      </c>
    </row>
    <row r="15" spans="1:8">
      <c r="A15" s="465">
        <v>8</v>
      </c>
      <c r="B15" s="466" t="s">
        <v>74</v>
      </c>
      <c r="C15" s="691"/>
      <c r="D15" s="691"/>
      <c r="E15" s="691"/>
      <c r="F15" s="691"/>
      <c r="G15" s="691"/>
      <c r="H15" s="691">
        <f t="shared" si="0"/>
        <v>0</v>
      </c>
    </row>
    <row r="16" spans="1:8">
      <c r="A16" s="465">
        <v>9</v>
      </c>
      <c r="B16" s="464" t="s">
        <v>972</v>
      </c>
      <c r="C16" s="691"/>
      <c r="D16" s="691"/>
      <c r="E16" s="691"/>
      <c r="F16" s="691"/>
      <c r="G16" s="691"/>
      <c r="H16" s="691">
        <f t="shared" si="0"/>
        <v>0</v>
      </c>
    </row>
    <row r="17" spans="1:8">
      <c r="A17" s="465">
        <v>10</v>
      </c>
      <c r="B17" s="468" t="s">
        <v>516</v>
      </c>
      <c r="C17" s="691"/>
      <c r="D17" s="691"/>
      <c r="E17" s="691"/>
      <c r="F17" s="691"/>
      <c r="G17" s="691"/>
      <c r="H17" s="691">
        <f t="shared" si="0"/>
        <v>0</v>
      </c>
    </row>
    <row r="18" spans="1:8">
      <c r="A18" s="465">
        <v>11</v>
      </c>
      <c r="B18" s="464" t="s">
        <v>70</v>
      </c>
      <c r="C18" s="691"/>
      <c r="D18" s="691"/>
      <c r="E18" s="691"/>
      <c r="F18" s="691"/>
      <c r="G18" s="691"/>
      <c r="H18" s="691">
        <f t="shared" si="0"/>
        <v>0</v>
      </c>
    </row>
    <row r="19" spans="1:8">
      <c r="A19" s="465">
        <v>12</v>
      </c>
      <c r="B19" s="464" t="s">
        <v>71</v>
      </c>
      <c r="C19" s="691"/>
      <c r="D19" s="691"/>
      <c r="E19" s="691"/>
      <c r="F19" s="691"/>
      <c r="G19" s="691"/>
      <c r="H19" s="691">
        <f t="shared" si="0"/>
        <v>0</v>
      </c>
    </row>
    <row r="20" spans="1:8">
      <c r="A20" s="467">
        <v>13</v>
      </c>
      <c r="B20" s="466" t="s">
        <v>72</v>
      </c>
      <c r="C20" s="691"/>
      <c r="D20" s="691"/>
      <c r="E20" s="691"/>
      <c r="F20" s="691"/>
      <c r="G20" s="691"/>
      <c r="H20" s="691">
        <f t="shared" si="0"/>
        <v>0</v>
      </c>
    </row>
    <row r="21" spans="1:8">
      <c r="A21" s="465">
        <v>14</v>
      </c>
      <c r="B21" s="464" t="s">
        <v>502</v>
      </c>
      <c r="C21" s="691">
        <v>102526.7</v>
      </c>
      <c r="D21" s="691">
        <v>84165.94</v>
      </c>
      <c r="E21" s="691">
        <v>428801.18000000005</v>
      </c>
      <c r="F21" s="691">
        <v>19822.07</v>
      </c>
      <c r="G21" s="691">
        <v>200000</v>
      </c>
      <c r="H21" s="691">
        <f t="shared" si="0"/>
        <v>835315.89</v>
      </c>
    </row>
    <row r="22" spans="1:8">
      <c r="A22" s="463">
        <v>15</v>
      </c>
      <c r="B22" s="462" t="s">
        <v>68</v>
      </c>
      <c r="C22" s="691">
        <f t="shared" ref="C22:H22" si="1">SUM(C18:C21)+SUM(C8:C16)</f>
        <v>6080772.0200000005</v>
      </c>
      <c r="D22" s="691">
        <f t="shared" si="1"/>
        <v>84165.94</v>
      </c>
      <c r="E22" s="691">
        <f t="shared" si="1"/>
        <v>428801.18000000005</v>
      </c>
      <c r="F22" s="691">
        <f t="shared" si="1"/>
        <v>19822.07</v>
      </c>
      <c r="G22" s="691">
        <f t="shared" si="1"/>
        <v>200000</v>
      </c>
      <c r="H22" s="691">
        <f t="shared" si="1"/>
        <v>6813561.21</v>
      </c>
    </row>
    <row r="26" spans="1:8" ht="38.25">
      <c r="B26" s="396" t="s">
        <v>680</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election activeCell="B17" sqref="B17"/>
    </sheetView>
  </sheetViews>
  <sheetFormatPr defaultColWidth="9.125" defaultRowHeight="12.75"/>
  <cols>
    <col min="1" max="1" width="11.875" style="383" bestFit="1" customWidth="1"/>
    <col min="2" max="2" width="86.875" style="380" customWidth="1"/>
    <col min="3" max="4" width="31.5" style="380" customWidth="1"/>
    <col min="5" max="7" width="22.125" style="380" customWidth="1"/>
    <col min="8" max="8" width="41.5" style="380" customWidth="1"/>
    <col min="9" max="16384" width="9.125" style="380"/>
  </cols>
  <sheetData>
    <row r="1" spans="1:8" ht="15">
      <c r="A1" s="379" t="s">
        <v>110</v>
      </c>
      <c r="B1" s="299" t="str">
        <f>Info!C2</f>
        <v>სს "პეისერა ბანკი საქართველო"</v>
      </c>
      <c r="C1" s="484"/>
      <c r="D1" s="484"/>
      <c r="E1" s="484"/>
      <c r="F1" s="484"/>
      <c r="G1" s="484"/>
      <c r="H1" s="484"/>
    </row>
    <row r="2" spans="1:8">
      <c r="A2" s="379" t="s">
        <v>111</v>
      </c>
      <c r="B2" s="382">
        <f>'1. key ratios'!B2</f>
        <v>45016</v>
      </c>
      <c r="C2" s="484"/>
      <c r="D2" s="484"/>
      <c r="E2" s="484"/>
      <c r="F2" s="484"/>
      <c r="G2" s="484"/>
      <c r="H2" s="484"/>
    </row>
    <row r="3" spans="1:8">
      <c r="A3" s="381" t="s">
        <v>503</v>
      </c>
      <c r="B3" s="484"/>
      <c r="C3" s="484"/>
      <c r="D3" s="484"/>
      <c r="E3" s="484"/>
      <c r="F3" s="484"/>
      <c r="G3" s="484"/>
      <c r="H3" s="484"/>
    </row>
    <row r="4" spans="1:8">
      <c r="A4" s="485"/>
      <c r="B4" s="484"/>
      <c r="C4" s="483" t="s">
        <v>504</v>
      </c>
      <c r="D4" s="483" t="s">
        <v>505</v>
      </c>
      <c r="E4" s="483" t="s">
        <v>506</v>
      </c>
      <c r="F4" s="483" t="s">
        <v>507</v>
      </c>
      <c r="G4" s="483" t="s">
        <v>508</v>
      </c>
      <c r="H4" s="483" t="s">
        <v>509</v>
      </c>
    </row>
    <row r="5" spans="1:8" ht="33.950000000000003" customHeight="1">
      <c r="A5" s="789" t="s">
        <v>869</v>
      </c>
      <c r="B5" s="790"/>
      <c r="C5" s="803" t="s">
        <v>598</v>
      </c>
      <c r="D5" s="803"/>
      <c r="E5" s="803" t="s">
        <v>868</v>
      </c>
      <c r="F5" s="801" t="s">
        <v>867</v>
      </c>
      <c r="G5" s="801" t="s">
        <v>513</v>
      </c>
      <c r="H5" s="481" t="s">
        <v>866</v>
      </c>
    </row>
    <row r="6" spans="1:8" ht="25.5">
      <c r="A6" s="793"/>
      <c r="B6" s="794"/>
      <c r="C6" s="482" t="s">
        <v>514</v>
      </c>
      <c r="D6" s="482" t="s">
        <v>515</v>
      </c>
      <c r="E6" s="803"/>
      <c r="F6" s="802"/>
      <c r="G6" s="802"/>
      <c r="H6" s="481" t="s">
        <v>865</v>
      </c>
    </row>
    <row r="7" spans="1:8">
      <c r="A7" s="477">
        <v>1</v>
      </c>
      <c r="B7" s="476" t="s">
        <v>136</v>
      </c>
      <c r="C7" s="471"/>
      <c r="D7" s="471"/>
      <c r="E7" s="471"/>
      <c r="F7" s="471"/>
      <c r="G7" s="471"/>
      <c r="H7" s="470">
        <f t="shared" ref="H7:H20" si="0">C7+D7-E7-F7</f>
        <v>0</v>
      </c>
    </row>
    <row r="8" spans="1:8">
      <c r="A8" s="477">
        <v>2</v>
      </c>
      <c r="B8" s="476" t="s">
        <v>137</v>
      </c>
      <c r="C8" s="471"/>
      <c r="D8" s="471"/>
      <c r="E8" s="471"/>
      <c r="F8" s="471"/>
      <c r="G8" s="471"/>
      <c r="H8" s="470">
        <f t="shared" si="0"/>
        <v>0</v>
      </c>
    </row>
    <row r="9" spans="1:8">
      <c r="A9" s="477">
        <v>3</v>
      </c>
      <c r="B9" s="476" t="s">
        <v>138</v>
      </c>
      <c r="C9" s="471"/>
      <c r="D9" s="471"/>
      <c r="E9" s="471"/>
      <c r="F9" s="471"/>
      <c r="G9" s="471"/>
      <c r="H9" s="470">
        <f t="shared" si="0"/>
        <v>0</v>
      </c>
    </row>
    <row r="10" spans="1:8">
      <c r="A10" s="477">
        <v>4</v>
      </c>
      <c r="B10" s="476" t="s">
        <v>139</v>
      </c>
      <c r="C10" s="471"/>
      <c r="D10" s="471"/>
      <c r="E10" s="471"/>
      <c r="F10" s="471"/>
      <c r="G10" s="471"/>
      <c r="H10" s="470">
        <f t="shared" si="0"/>
        <v>0</v>
      </c>
    </row>
    <row r="11" spans="1:8">
      <c r="A11" s="477">
        <v>5</v>
      </c>
      <c r="B11" s="476" t="s">
        <v>971</v>
      </c>
      <c r="C11" s="471"/>
      <c r="D11" s="471"/>
      <c r="E11" s="471"/>
      <c r="F11" s="471"/>
      <c r="G11" s="471"/>
      <c r="H11" s="470">
        <f t="shared" si="0"/>
        <v>0</v>
      </c>
    </row>
    <row r="12" spans="1:8">
      <c r="A12" s="477">
        <v>6</v>
      </c>
      <c r="B12" s="476" t="s">
        <v>140</v>
      </c>
      <c r="C12" s="471"/>
      <c r="D12" s="692">
        <v>5978245.3200000003</v>
      </c>
      <c r="E12" s="471"/>
      <c r="F12" s="471"/>
      <c r="G12" s="471"/>
      <c r="H12" s="470">
        <f t="shared" si="0"/>
        <v>5978245.3200000003</v>
      </c>
    </row>
    <row r="13" spans="1:8">
      <c r="A13" s="477">
        <v>7</v>
      </c>
      <c r="B13" s="476" t="s">
        <v>73</v>
      </c>
      <c r="C13" s="471"/>
      <c r="D13" s="692"/>
      <c r="E13" s="471"/>
      <c r="F13" s="471"/>
      <c r="G13" s="471"/>
      <c r="H13" s="470">
        <f t="shared" si="0"/>
        <v>0</v>
      </c>
    </row>
    <row r="14" spans="1:8">
      <c r="A14" s="477">
        <v>8</v>
      </c>
      <c r="B14" s="478" t="s">
        <v>74</v>
      </c>
      <c r="C14" s="471"/>
      <c r="D14" s="692"/>
      <c r="E14" s="471"/>
      <c r="F14" s="471"/>
      <c r="G14" s="471"/>
      <c r="H14" s="470">
        <f t="shared" si="0"/>
        <v>0</v>
      </c>
    </row>
    <row r="15" spans="1:8">
      <c r="A15" s="477">
        <v>9</v>
      </c>
      <c r="B15" s="476" t="s">
        <v>972</v>
      </c>
      <c r="C15" s="471"/>
      <c r="D15" s="692"/>
      <c r="E15" s="471"/>
      <c r="F15" s="471"/>
      <c r="G15" s="471"/>
      <c r="H15" s="470">
        <f t="shared" si="0"/>
        <v>0</v>
      </c>
    </row>
    <row r="16" spans="1:8">
      <c r="A16" s="477">
        <v>10</v>
      </c>
      <c r="B16" s="480" t="s">
        <v>516</v>
      </c>
      <c r="C16" s="471"/>
      <c r="D16" s="692"/>
      <c r="E16" s="471"/>
      <c r="F16" s="471"/>
      <c r="G16" s="471"/>
      <c r="H16" s="470">
        <f t="shared" si="0"/>
        <v>0</v>
      </c>
    </row>
    <row r="17" spans="1:8">
      <c r="A17" s="477">
        <v>11</v>
      </c>
      <c r="B17" s="476" t="s">
        <v>70</v>
      </c>
      <c r="C17" s="471"/>
      <c r="D17" s="692"/>
      <c r="E17" s="471"/>
      <c r="F17" s="471"/>
      <c r="G17" s="471"/>
      <c r="H17" s="470">
        <f t="shared" si="0"/>
        <v>0</v>
      </c>
    </row>
    <row r="18" spans="1:8">
      <c r="A18" s="477">
        <v>12</v>
      </c>
      <c r="B18" s="476" t="s">
        <v>71</v>
      </c>
      <c r="C18" s="471"/>
      <c r="D18" s="692"/>
      <c r="E18" s="471"/>
      <c r="F18" s="471"/>
      <c r="G18" s="471"/>
      <c r="H18" s="470">
        <f t="shared" si="0"/>
        <v>0</v>
      </c>
    </row>
    <row r="19" spans="1:8">
      <c r="A19" s="479">
        <v>13</v>
      </c>
      <c r="B19" s="478" t="s">
        <v>72</v>
      </c>
      <c r="C19" s="471"/>
      <c r="D19" s="692"/>
      <c r="E19" s="471"/>
      <c r="F19" s="471"/>
      <c r="G19" s="471"/>
      <c r="H19" s="470">
        <f t="shared" si="0"/>
        <v>0</v>
      </c>
    </row>
    <row r="20" spans="1:8">
      <c r="A20" s="477">
        <v>14</v>
      </c>
      <c r="B20" s="476" t="s">
        <v>502</v>
      </c>
      <c r="C20" s="471"/>
      <c r="D20" s="692">
        <v>835315.89</v>
      </c>
      <c r="E20" s="471"/>
      <c r="F20" s="471"/>
      <c r="G20" s="471"/>
      <c r="H20" s="470">
        <f t="shared" si="0"/>
        <v>835315.89</v>
      </c>
    </row>
    <row r="21" spans="1:8" s="384" customFormat="1">
      <c r="A21" s="475">
        <v>15</v>
      </c>
      <c r="B21" s="474" t="s">
        <v>68</v>
      </c>
      <c r="C21" s="474">
        <f t="shared" ref="C21:H21" si="1">SUM(C7:C15)+SUM(C17:C20)</f>
        <v>0</v>
      </c>
      <c r="D21" s="693">
        <f t="shared" si="1"/>
        <v>6813561.21</v>
      </c>
      <c r="E21" s="474">
        <f t="shared" si="1"/>
        <v>0</v>
      </c>
      <c r="F21" s="474">
        <f t="shared" si="1"/>
        <v>0</v>
      </c>
      <c r="G21" s="474">
        <f t="shared" si="1"/>
        <v>0</v>
      </c>
      <c r="H21" s="470">
        <f t="shared" si="1"/>
        <v>6813561.21</v>
      </c>
    </row>
    <row r="22" spans="1:8">
      <c r="A22" s="473">
        <v>16</v>
      </c>
      <c r="B22" s="472" t="s">
        <v>517</v>
      </c>
      <c r="C22" s="471"/>
      <c r="D22" s="471"/>
      <c r="E22" s="471"/>
      <c r="F22" s="471"/>
      <c r="G22" s="471"/>
      <c r="H22" s="470">
        <f>C22+D22-E22-F22</f>
        <v>0</v>
      </c>
    </row>
    <row r="23" spans="1:8">
      <c r="A23" s="473">
        <v>17</v>
      </c>
      <c r="B23" s="472" t="s">
        <v>518</v>
      </c>
      <c r="C23" s="471"/>
      <c r="D23" s="471"/>
      <c r="E23" s="471"/>
      <c r="F23" s="471"/>
      <c r="G23" s="471"/>
      <c r="H23" s="470">
        <f>C23+D23-E23-F23</f>
        <v>0</v>
      </c>
    </row>
    <row r="26" spans="1:8" ht="42.6" customHeight="1">
      <c r="B26" s="396" t="s">
        <v>680</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B1" zoomScaleNormal="100" workbookViewId="0">
      <selection activeCell="D11" sqref="D11"/>
    </sheetView>
  </sheetViews>
  <sheetFormatPr defaultColWidth="9.125" defaultRowHeight="12.75"/>
  <cols>
    <col min="1" max="1" width="11" style="380" bestFit="1" customWidth="1"/>
    <col min="2" max="2" width="93.5" style="380" customWidth="1"/>
    <col min="3" max="4" width="35" style="380" customWidth="1"/>
    <col min="5" max="7" width="22" style="380" customWidth="1"/>
    <col min="8" max="8" width="42.25" style="380" bestFit="1" customWidth="1"/>
    <col min="9" max="16384" width="9.125" style="380"/>
  </cols>
  <sheetData>
    <row r="1" spans="1:8" ht="15">
      <c r="A1" s="379" t="s">
        <v>110</v>
      </c>
      <c r="B1" s="299" t="str">
        <f>Info!C2</f>
        <v>სს "პეისერა ბანკი საქართველო"</v>
      </c>
      <c r="C1" s="484"/>
      <c r="D1" s="484"/>
      <c r="E1" s="484"/>
      <c r="F1" s="484"/>
      <c r="G1" s="484"/>
      <c r="H1" s="484"/>
    </row>
    <row r="2" spans="1:8">
      <c r="A2" s="379" t="s">
        <v>111</v>
      </c>
      <c r="B2" s="382">
        <f>'1. key ratios'!B2</f>
        <v>45016</v>
      </c>
      <c r="C2" s="484"/>
      <c r="D2" s="484"/>
      <c r="E2" s="484"/>
      <c r="F2" s="484"/>
      <c r="G2" s="484"/>
      <c r="H2" s="484"/>
    </row>
    <row r="3" spans="1:8">
      <c r="A3" s="381" t="s">
        <v>519</v>
      </c>
      <c r="B3" s="484"/>
      <c r="C3" s="484"/>
      <c r="D3" s="484"/>
      <c r="E3" s="484"/>
      <c r="F3" s="484"/>
      <c r="G3" s="484"/>
      <c r="H3" s="484"/>
    </row>
    <row r="4" spans="1:8">
      <c r="A4" s="484"/>
      <c r="B4" s="484"/>
      <c r="C4" s="483" t="s">
        <v>504</v>
      </c>
      <c r="D4" s="483" t="s">
        <v>505</v>
      </c>
      <c r="E4" s="483" t="s">
        <v>506</v>
      </c>
      <c r="F4" s="483" t="s">
        <v>507</v>
      </c>
      <c r="G4" s="483" t="s">
        <v>508</v>
      </c>
      <c r="H4" s="483" t="s">
        <v>509</v>
      </c>
    </row>
    <row r="5" spans="1:8" ht="41.45" customHeight="1">
      <c r="A5" s="789" t="s">
        <v>871</v>
      </c>
      <c r="B5" s="790"/>
      <c r="C5" s="804" t="s">
        <v>598</v>
      </c>
      <c r="D5" s="805"/>
      <c r="E5" s="801" t="s">
        <v>868</v>
      </c>
      <c r="F5" s="801" t="s">
        <v>867</v>
      </c>
      <c r="G5" s="801" t="s">
        <v>513</v>
      </c>
      <c r="H5" s="481" t="s">
        <v>866</v>
      </c>
    </row>
    <row r="6" spans="1:8" ht="25.5">
      <c r="A6" s="793"/>
      <c r="B6" s="794"/>
      <c r="C6" s="482" t="s">
        <v>514</v>
      </c>
      <c r="D6" s="482" t="s">
        <v>515</v>
      </c>
      <c r="E6" s="802"/>
      <c r="F6" s="802"/>
      <c r="G6" s="802"/>
      <c r="H6" s="481" t="s">
        <v>865</v>
      </c>
    </row>
    <row r="7" spans="1:8">
      <c r="A7" s="471">
        <v>1</v>
      </c>
      <c r="B7" s="487" t="s">
        <v>520</v>
      </c>
      <c r="C7" s="471"/>
      <c r="D7" s="692">
        <v>5978245.3200000003</v>
      </c>
      <c r="E7" s="471"/>
      <c r="F7" s="471"/>
      <c r="G7" s="471"/>
      <c r="H7" s="470">
        <f t="shared" ref="H7:H34" si="0">C7+D7-E7-F7</f>
        <v>5978245.3200000003</v>
      </c>
    </row>
    <row r="8" spans="1:8">
      <c r="A8" s="471">
        <v>2</v>
      </c>
      <c r="B8" s="487" t="s">
        <v>521</v>
      </c>
      <c r="C8" s="471"/>
      <c r="D8" s="692"/>
      <c r="E8" s="471"/>
      <c r="F8" s="471"/>
      <c r="G8" s="471"/>
      <c r="H8" s="470">
        <f t="shared" si="0"/>
        <v>0</v>
      </c>
    </row>
    <row r="9" spans="1:8">
      <c r="A9" s="471">
        <v>3</v>
      </c>
      <c r="B9" s="487" t="s">
        <v>870</v>
      </c>
      <c r="C9" s="471"/>
      <c r="D9" s="692"/>
      <c r="E9" s="471"/>
      <c r="F9" s="471"/>
      <c r="G9" s="471"/>
      <c r="H9" s="470">
        <f t="shared" si="0"/>
        <v>0</v>
      </c>
    </row>
    <row r="10" spans="1:8">
      <c r="A10" s="471">
        <v>4</v>
      </c>
      <c r="B10" s="487" t="s">
        <v>522</v>
      </c>
      <c r="C10" s="471"/>
      <c r="D10" s="692"/>
      <c r="E10" s="471"/>
      <c r="F10" s="471"/>
      <c r="G10" s="471"/>
      <c r="H10" s="470">
        <f t="shared" si="0"/>
        <v>0</v>
      </c>
    </row>
    <row r="11" spans="1:8">
      <c r="A11" s="471">
        <v>5</v>
      </c>
      <c r="B11" s="487" t="s">
        <v>523</v>
      </c>
      <c r="C11" s="471"/>
      <c r="D11" s="692"/>
      <c r="E11" s="471"/>
      <c r="F11" s="471"/>
      <c r="G11" s="471"/>
      <c r="H11" s="470">
        <f t="shared" si="0"/>
        <v>0</v>
      </c>
    </row>
    <row r="12" spans="1:8">
      <c r="A12" s="471">
        <v>6</v>
      </c>
      <c r="B12" s="487" t="s">
        <v>524</v>
      </c>
      <c r="C12" s="471"/>
      <c r="D12" s="692"/>
      <c r="E12" s="471"/>
      <c r="F12" s="471"/>
      <c r="G12" s="471"/>
      <c r="H12" s="470">
        <f t="shared" si="0"/>
        <v>0</v>
      </c>
    </row>
    <row r="13" spans="1:8">
      <c r="A13" s="471">
        <v>7</v>
      </c>
      <c r="B13" s="487" t="s">
        <v>525</v>
      </c>
      <c r="C13" s="471"/>
      <c r="D13" s="692"/>
      <c r="E13" s="471"/>
      <c r="F13" s="471"/>
      <c r="G13" s="471"/>
      <c r="H13" s="470">
        <f t="shared" si="0"/>
        <v>0</v>
      </c>
    </row>
    <row r="14" spans="1:8">
      <c r="A14" s="471">
        <v>8</v>
      </c>
      <c r="B14" s="487" t="s">
        <v>526</v>
      </c>
      <c r="C14" s="471"/>
      <c r="D14" s="692"/>
      <c r="E14" s="471"/>
      <c r="F14" s="471"/>
      <c r="G14" s="471"/>
      <c r="H14" s="470">
        <f t="shared" si="0"/>
        <v>0</v>
      </c>
    </row>
    <row r="15" spans="1:8">
      <c r="A15" s="471">
        <v>9</v>
      </c>
      <c r="B15" s="487" t="s">
        <v>527</v>
      </c>
      <c r="C15" s="471"/>
      <c r="D15" s="692"/>
      <c r="E15" s="471"/>
      <c r="F15" s="471"/>
      <c r="G15" s="471"/>
      <c r="H15" s="470">
        <f t="shared" si="0"/>
        <v>0</v>
      </c>
    </row>
    <row r="16" spans="1:8">
      <c r="A16" s="471">
        <v>10</v>
      </c>
      <c r="B16" s="487" t="s">
        <v>528</v>
      </c>
      <c r="C16" s="471"/>
      <c r="D16" s="692"/>
      <c r="E16" s="471"/>
      <c r="F16" s="471"/>
      <c r="G16" s="471"/>
      <c r="H16" s="470">
        <f t="shared" si="0"/>
        <v>0</v>
      </c>
    </row>
    <row r="17" spans="1:8">
      <c r="A17" s="471">
        <v>11</v>
      </c>
      <c r="B17" s="487" t="s">
        <v>529</v>
      </c>
      <c r="C17" s="471"/>
      <c r="D17" s="692"/>
      <c r="E17" s="471"/>
      <c r="F17" s="471"/>
      <c r="G17" s="471"/>
      <c r="H17" s="470">
        <f t="shared" si="0"/>
        <v>0</v>
      </c>
    </row>
    <row r="18" spans="1:8">
      <c r="A18" s="471">
        <v>12</v>
      </c>
      <c r="B18" s="487" t="s">
        <v>530</v>
      </c>
      <c r="C18" s="471"/>
      <c r="D18" s="692"/>
      <c r="E18" s="471"/>
      <c r="F18" s="471"/>
      <c r="G18" s="471"/>
      <c r="H18" s="470">
        <f t="shared" si="0"/>
        <v>0</v>
      </c>
    </row>
    <row r="19" spans="1:8">
      <c r="A19" s="471">
        <v>13</v>
      </c>
      <c r="B19" s="487" t="s">
        <v>531</v>
      </c>
      <c r="C19" s="471"/>
      <c r="D19" s="692"/>
      <c r="E19" s="471"/>
      <c r="F19" s="471"/>
      <c r="G19" s="471"/>
      <c r="H19" s="470">
        <f t="shared" si="0"/>
        <v>0</v>
      </c>
    </row>
    <row r="20" spans="1:8">
      <c r="A20" s="471">
        <v>14</v>
      </c>
      <c r="B20" s="487" t="s">
        <v>532</v>
      </c>
      <c r="C20" s="471"/>
      <c r="D20" s="692"/>
      <c r="E20" s="471"/>
      <c r="F20" s="471"/>
      <c r="G20" s="471"/>
      <c r="H20" s="470">
        <f t="shared" si="0"/>
        <v>0</v>
      </c>
    </row>
    <row r="21" spans="1:8">
      <c r="A21" s="471">
        <v>15</v>
      </c>
      <c r="B21" s="487" t="s">
        <v>533</v>
      </c>
      <c r="C21" s="471"/>
      <c r="D21" s="692"/>
      <c r="E21" s="471"/>
      <c r="F21" s="471"/>
      <c r="G21" s="471"/>
      <c r="H21" s="470">
        <f t="shared" si="0"/>
        <v>0</v>
      </c>
    </row>
    <row r="22" spans="1:8">
      <c r="A22" s="471">
        <v>16</v>
      </c>
      <c r="B22" s="487" t="s">
        <v>534</v>
      </c>
      <c r="C22" s="471"/>
      <c r="D22" s="692"/>
      <c r="E22" s="471"/>
      <c r="F22" s="471"/>
      <c r="G22" s="471"/>
      <c r="H22" s="470">
        <f t="shared" si="0"/>
        <v>0</v>
      </c>
    </row>
    <row r="23" spans="1:8">
      <c r="A23" s="471">
        <v>17</v>
      </c>
      <c r="B23" s="487" t="s">
        <v>535</v>
      </c>
      <c r="C23" s="471"/>
      <c r="D23" s="692"/>
      <c r="E23" s="471"/>
      <c r="F23" s="471"/>
      <c r="G23" s="471"/>
      <c r="H23" s="470">
        <f t="shared" si="0"/>
        <v>0</v>
      </c>
    </row>
    <row r="24" spans="1:8">
      <c r="A24" s="471">
        <v>18</v>
      </c>
      <c r="B24" s="487" t="s">
        <v>536</v>
      </c>
      <c r="C24" s="471"/>
      <c r="D24" s="692"/>
      <c r="E24" s="471"/>
      <c r="F24" s="471"/>
      <c r="G24" s="471"/>
      <c r="H24" s="470">
        <f t="shared" si="0"/>
        <v>0</v>
      </c>
    </row>
    <row r="25" spans="1:8">
      <c r="A25" s="471">
        <v>19</v>
      </c>
      <c r="B25" s="487" t="s">
        <v>537</v>
      </c>
      <c r="C25" s="471"/>
      <c r="D25" s="692"/>
      <c r="E25" s="471"/>
      <c r="F25" s="471"/>
      <c r="G25" s="471"/>
      <c r="H25" s="470">
        <f t="shared" si="0"/>
        <v>0</v>
      </c>
    </row>
    <row r="26" spans="1:8">
      <c r="A26" s="471">
        <v>20</v>
      </c>
      <c r="B26" s="487" t="s">
        <v>538</v>
      </c>
      <c r="C26" s="471"/>
      <c r="D26" s="692"/>
      <c r="E26" s="471"/>
      <c r="F26" s="471"/>
      <c r="G26" s="471"/>
      <c r="H26" s="470">
        <f t="shared" si="0"/>
        <v>0</v>
      </c>
    </row>
    <row r="27" spans="1:8">
      <c r="A27" s="471">
        <v>21</v>
      </c>
      <c r="B27" s="487" t="s">
        <v>539</v>
      </c>
      <c r="C27" s="471"/>
      <c r="D27" s="692"/>
      <c r="E27" s="471"/>
      <c r="F27" s="471"/>
      <c r="G27" s="471"/>
      <c r="H27" s="470">
        <f t="shared" si="0"/>
        <v>0</v>
      </c>
    </row>
    <row r="28" spans="1:8">
      <c r="A28" s="471">
        <v>22</v>
      </c>
      <c r="B28" s="487" t="s">
        <v>540</v>
      </c>
      <c r="C28" s="471"/>
      <c r="D28" s="692"/>
      <c r="E28" s="471"/>
      <c r="F28" s="471"/>
      <c r="G28" s="471"/>
      <c r="H28" s="470">
        <f t="shared" si="0"/>
        <v>0</v>
      </c>
    </row>
    <row r="29" spans="1:8">
      <c r="A29" s="471">
        <v>23</v>
      </c>
      <c r="B29" s="487" t="s">
        <v>541</v>
      </c>
      <c r="C29" s="471"/>
      <c r="D29" s="692"/>
      <c r="E29" s="471"/>
      <c r="F29" s="471"/>
      <c r="G29" s="471"/>
      <c r="H29" s="470">
        <f t="shared" si="0"/>
        <v>0</v>
      </c>
    </row>
    <row r="30" spans="1:8">
      <c r="A30" s="471">
        <v>24</v>
      </c>
      <c r="B30" s="487" t="s">
        <v>542</v>
      </c>
      <c r="C30" s="471"/>
      <c r="D30" s="692"/>
      <c r="E30" s="471"/>
      <c r="F30" s="471"/>
      <c r="G30" s="471"/>
      <c r="H30" s="470">
        <f t="shared" si="0"/>
        <v>0</v>
      </c>
    </row>
    <row r="31" spans="1:8">
      <c r="A31" s="471">
        <v>25</v>
      </c>
      <c r="B31" s="487" t="s">
        <v>543</v>
      </c>
      <c r="C31" s="471"/>
      <c r="D31" s="692"/>
      <c r="E31" s="471"/>
      <c r="F31" s="471"/>
      <c r="G31" s="471"/>
      <c r="H31" s="470">
        <f t="shared" si="0"/>
        <v>0</v>
      </c>
    </row>
    <row r="32" spans="1:8">
      <c r="A32" s="471">
        <v>26</v>
      </c>
      <c r="B32" s="487" t="s">
        <v>544</v>
      </c>
      <c r="C32" s="471"/>
      <c r="D32" s="692">
        <v>835315.88999999966</v>
      </c>
      <c r="E32" s="471"/>
      <c r="F32" s="471"/>
      <c r="G32" s="471"/>
      <c r="H32" s="470">
        <f t="shared" si="0"/>
        <v>835315.88999999966</v>
      </c>
    </row>
    <row r="33" spans="1:8">
      <c r="A33" s="471">
        <v>27</v>
      </c>
      <c r="B33" s="471" t="s">
        <v>101</v>
      </c>
      <c r="C33" s="471"/>
      <c r="D33" s="692"/>
      <c r="E33" s="471"/>
      <c r="F33" s="471"/>
      <c r="G33" s="471"/>
      <c r="H33" s="470">
        <f t="shared" si="0"/>
        <v>0</v>
      </c>
    </row>
    <row r="34" spans="1:8">
      <c r="A34" s="471">
        <v>28</v>
      </c>
      <c r="B34" s="474" t="s">
        <v>68</v>
      </c>
      <c r="C34" s="474">
        <f>SUM(C7:C33)</f>
        <v>0</v>
      </c>
      <c r="D34" s="693">
        <f>SUM(D7:D33)</f>
        <v>6813561.21</v>
      </c>
      <c r="E34" s="474">
        <f>SUM(E7:E33)</f>
        <v>0</v>
      </c>
      <c r="F34" s="474">
        <f>SUM(F7:F33)</f>
        <v>0</v>
      </c>
      <c r="G34" s="474">
        <f>SUM(G7:G33)</f>
        <v>0</v>
      </c>
      <c r="H34" s="470">
        <f t="shared" si="0"/>
        <v>6813561.21</v>
      </c>
    </row>
    <row r="36" spans="1:8">
      <c r="B36" s="385"/>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B2" sqref="B2"/>
    </sheetView>
  </sheetViews>
  <sheetFormatPr defaultColWidth="9.125" defaultRowHeight="12.75"/>
  <cols>
    <col min="1" max="1" width="11.875" style="380" bestFit="1" customWidth="1"/>
    <col min="2" max="2" width="108" style="380" bestFit="1" customWidth="1"/>
    <col min="3" max="3" width="35.5" style="380" customWidth="1"/>
    <col min="4" max="4" width="38.5" style="380" customWidth="1"/>
    <col min="5" max="16384" width="9.125" style="380"/>
  </cols>
  <sheetData>
    <row r="1" spans="1:4" ht="15">
      <c r="A1" s="379" t="s">
        <v>110</v>
      </c>
      <c r="B1" s="299" t="str">
        <f>Info!C2</f>
        <v>სს "პეისერა ბანკი საქართველო"</v>
      </c>
    </row>
    <row r="2" spans="1:4">
      <c r="A2" s="379" t="s">
        <v>111</v>
      </c>
      <c r="B2" s="382">
        <f>'1. key ratios'!B2</f>
        <v>45016</v>
      </c>
    </row>
    <row r="3" spans="1:4">
      <c r="A3" s="381" t="s">
        <v>545</v>
      </c>
    </row>
    <row r="5" spans="1:4">
      <c r="A5" s="806" t="s">
        <v>882</v>
      </c>
      <c r="B5" s="806"/>
      <c r="C5" s="497" t="s">
        <v>564</v>
      </c>
      <c r="D5" s="497" t="s">
        <v>881</v>
      </c>
    </row>
    <row r="6" spans="1:4">
      <c r="A6" s="496">
        <v>1</v>
      </c>
      <c r="B6" s="489" t="s">
        <v>880</v>
      </c>
      <c r="C6" s="491"/>
      <c r="D6" s="491"/>
    </row>
    <row r="7" spans="1:4">
      <c r="A7" s="493">
        <v>2</v>
      </c>
      <c r="B7" s="489" t="s">
        <v>879</v>
      </c>
      <c r="C7" s="491">
        <f>SUM(C8:C9)</f>
        <v>0</v>
      </c>
      <c r="D7" s="491">
        <f>SUM(D8:D9)</f>
        <v>0</v>
      </c>
    </row>
    <row r="8" spans="1:4">
      <c r="A8" s="495">
        <v>2.1</v>
      </c>
      <c r="B8" s="494" t="s">
        <v>878</v>
      </c>
      <c r="C8" s="491"/>
      <c r="D8" s="491"/>
    </row>
    <row r="9" spans="1:4">
      <c r="A9" s="495">
        <v>2.2000000000000002</v>
      </c>
      <c r="B9" s="494" t="s">
        <v>877</v>
      </c>
      <c r="C9" s="491"/>
      <c r="D9" s="491"/>
    </row>
    <row r="10" spans="1:4">
      <c r="A10" s="496">
        <v>3</v>
      </c>
      <c r="B10" s="489" t="s">
        <v>876</v>
      </c>
      <c r="C10" s="491">
        <f>SUM(C11:C13)</f>
        <v>0</v>
      </c>
      <c r="D10" s="491">
        <f>SUM(D11:D13)</f>
        <v>0</v>
      </c>
    </row>
    <row r="11" spans="1:4">
      <c r="A11" s="495">
        <v>3.1</v>
      </c>
      <c r="B11" s="494" t="s">
        <v>546</v>
      </c>
      <c r="C11" s="491"/>
      <c r="D11" s="491"/>
    </row>
    <row r="12" spans="1:4">
      <c r="A12" s="495">
        <v>3.2</v>
      </c>
      <c r="B12" s="494" t="s">
        <v>875</v>
      </c>
      <c r="C12" s="491"/>
      <c r="D12" s="491"/>
    </row>
    <row r="13" spans="1:4">
      <c r="A13" s="495">
        <v>3.3</v>
      </c>
      <c r="B13" s="494" t="s">
        <v>874</v>
      </c>
      <c r="C13" s="491"/>
      <c r="D13" s="491"/>
    </row>
    <row r="14" spans="1:4">
      <c r="A14" s="493">
        <v>4</v>
      </c>
      <c r="B14" s="492" t="s">
        <v>873</v>
      </c>
      <c r="C14" s="491"/>
      <c r="D14" s="491"/>
    </row>
    <row r="15" spans="1:4">
      <c r="A15" s="490">
        <v>5</v>
      </c>
      <c r="B15" s="489" t="s">
        <v>872</v>
      </c>
      <c r="C15" s="488">
        <f>C6+C7-C10+C14</f>
        <v>0</v>
      </c>
      <c r="D15" s="488">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B16" sqref="B16"/>
    </sheetView>
  </sheetViews>
  <sheetFormatPr defaultColWidth="9.125" defaultRowHeight="12.75"/>
  <cols>
    <col min="1" max="1" width="11.875" style="484" bestFit="1" customWidth="1"/>
    <col min="2" max="2" width="128.875" style="484" bestFit="1" customWidth="1"/>
    <col min="3" max="3" width="37" style="484" customWidth="1"/>
    <col min="4" max="4" width="50.5" style="484" customWidth="1"/>
    <col min="5" max="16384" width="9.125" style="484"/>
  </cols>
  <sheetData>
    <row r="1" spans="1:4" ht="15">
      <c r="A1" s="379" t="s">
        <v>110</v>
      </c>
      <c r="B1" s="299" t="str">
        <f>Info!C2</f>
        <v>სს "პეისერა ბანკი საქართველო"</v>
      </c>
    </row>
    <row r="2" spans="1:4">
      <c r="A2" s="379" t="s">
        <v>111</v>
      </c>
      <c r="B2" s="382">
        <f>'1. key ratios'!B2</f>
        <v>45016</v>
      </c>
    </row>
    <row r="3" spans="1:4">
      <c r="A3" s="381" t="s">
        <v>547</v>
      </c>
    </row>
    <row r="4" spans="1:4">
      <c r="A4" s="381"/>
    </row>
    <row r="5" spans="1:4" ht="15" customHeight="1">
      <c r="A5" s="807" t="s">
        <v>548</v>
      </c>
      <c r="B5" s="808"/>
      <c r="C5" s="811" t="s">
        <v>549</v>
      </c>
      <c r="D5" s="811" t="s">
        <v>550</v>
      </c>
    </row>
    <row r="6" spans="1:4">
      <c r="A6" s="809"/>
      <c r="B6" s="810"/>
      <c r="C6" s="811"/>
      <c r="D6" s="811"/>
    </row>
    <row r="7" spans="1:4">
      <c r="A7" s="474">
        <v>1</v>
      </c>
      <c r="B7" s="474" t="s">
        <v>551</v>
      </c>
      <c r="C7" s="471"/>
      <c r="D7" s="498"/>
    </row>
    <row r="8" spans="1:4">
      <c r="A8" s="471">
        <v>2</v>
      </c>
      <c r="B8" s="471" t="s">
        <v>552</v>
      </c>
      <c r="C8" s="471"/>
      <c r="D8" s="498"/>
    </row>
    <row r="9" spans="1:4">
      <c r="A9" s="471">
        <v>3</v>
      </c>
      <c r="B9" s="501" t="s">
        <v>553</v>
      </c>
      <c r="C9" s="471"/>
      <c r="D9" s="498"/>
    </row>
    <row r="10" spans="1:4">
      <c r="A10" s="471">
        <v>4</v>
      </c>
      <c r="B10" s="471" t="s">
        <v>554</v>
      </c>
      <c r="C10" s="471">
        <f>SUM(C11:C17)</f>
        <v>0</v>
      </c>
      <c r="D10" s="498"/>
    </row>
    <row r="11" spans="1:4">
      <c r="A11" s="471">
        <v>5</v>
      </c>
      <c r="B11" s="500" t="s">
        <v>883</v>
      </c>
      <c r="C11" s="471"/>
      <c r="D11" s="498"/>
    </row>
    <row r="12" spans="1:4">
      <c r="A12" s="471">
        <v>6</v>
      </c>
      <c r="B12" s="500" t="s">
        <v>555</v>
      </c>
      <c r="C12" s="471"/>
      <c r="D12" s="498"/>
    </row>
    <row r="13" spans="1:4">
      <c r="A13" s="471">
        <v>7</v>
      </c>
      <c r="B13" s="500" t="s">
        <v>558</v>
      </c>
      <c r="C13" s="471"/>
      <c r="D13" s="498"/>
    </row>
    <row r="14" spans="1:4">
      <c r="A14" s="471">
        <v>8</v>
      </c>
      <c r="B14" s="500" t="s">
        <v>556</v>
      </c>
      <c r="C14" s="471"/>
      <c r="D14" s="471"/>
    </row>
    <row r="15" spans="1:4">
      <c r="A15" s="471">
        <v>9</v>
      </c>
      <c r="B15" s="500" t="s">
        <v>557</v>
      </c>
      <c r="C15" s="471"/>
      <c r="D15" s="471"/>
    </row>
    <row r="16" spans="1:4">
      <c r="A16" s="471">
        <v>10</v>
      </c>
      <c r="B16" s="500" t="s">
        <v>559</v>
      </c>
      <c r="C16" s="471"/>
      <c r="D16" s="471"/>
    </row>
    <row r="17" spans="1:4">
      <c r="A17" s="471">
        <v>11</v>
      </c>
      <c r="B17" s="500" t="s">
        <v>560</v>
      </c>
      <c r="C17" s="471"/>
      <c r="D17" s="498"/>
    </row>
    <row r="18" spans="1:4">
      <c r="A18" s="474">
        <v>12</v>
      </c>
      <c r="B18" s="499" t="s">
        <v>561</v>
      </c>
      <c r="C18" s="474">
        <f>C7+C8+C9-C10</f>
        <v>0</v>
      </c>
      <c r="D18" s="498"/>
    </row>
    <row r="21" spans="1:4">
      <c r="B21" s="379"/>
    </row>
    <row r="22" spans="1:4">
      <c r="B22" s="379"/>
    </row>
    <row r="23" spans="1:4">
      <c r="B23" s="38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F22" sqref="F22"/>
    </sheetView>
  </sheetViews>
  <sheetFormatPr defaultColWidth="9.125" defaultRowHeight="12.75"/>
  <cols>
    <col min="1" max="1" width="11.875" style="484" bestFit="1" customWidth="1"/>
    <col min="2" max="2" width="63.875" style="484" customWidth="1"/>
    <col min="3" max="3" width="15.5" style="484" customWidth="1"/>
    <col min="4" max="18" width="22.25" style="484" customWidth="1"/>
    <col min="19" max="19" width="23.25" style="484" bestFit="1" customWidth="1"/>
    <col min="20" max="26" width="22.25" style="484" customWidth="1"/>
    <col min="27" max="27" width="23.25" style="484" bestFit="1" customWidth="1"/>
    <col min="28" max="28" width="20" style="484" customWidth="1"/>
    <col min="29" max="16384" width="9.125" style="484"/>
  </cols>
  <sheetData>
    <row r="1" spans="1:28" ht="15">
      <c r="A1" s="379" t="s">
        <v>110</v>
      </c>
      <c r="B1" s="299" t="str">
        <f>Info!C2</f>
        <v>სს "პეისერა ბანკი საქართველო"</v>
      </c>
    </row>
    <row r="2" spans="1:28">
      <c r="A2" s="379" t="s">
        <v>111</v>
      </c>
      <c r="B2" s="382">
        <f>'1. key ratios'!B2</f>
        <v>45016</v>
      </c>
      <c r="C2" s="485"/>
    </row>
    <row r="3" spans="1:28">
      <c r="A3" s="381" t="s">
        <v>562</v>
      </c>
    </row>
    <row r="5" spans="1:28" ht="15" customHeight="1">
      <c r="A5" s="812" t="s">
        <v>896</v>
      </c>
      <c r="B5" s="813"/>
      <c r="C5" s="804" t="s">
        <v>895</v>
      </c>
      <c r="D5" s="818"/>
      <c r="E5" s="818"/>
      <c r="F5" s="818"/>
      <c r="G5" s="818"/>
      <c r="H5" s="818"/>
      <c r="I5" s="818"/>
      <c r="J5" s="818"/>
      <c r="K5" s="818"/>
      <c r="L5" s="818"/>
      <c r="M5" s="818"/>
      <c r="N5" s="818"/>
      <c r="O5" s="818"/>
      <c r="P5" s="818"/>
      <c r="Q5" s="818"/>
      <c r="R5" s="818"/>
      <c r="S5" s="818"/>
      <c r="T5" s="512"/>
      <c r="U5" s="512"/>
      <c r="V5" s="512"/>
      <c r="W5" s="512"/>
      <c r="X5" s="512"/>
      <c r="Y5" s="512"/>
      <c r="Z5" s="512"/>
      <c r="AA5" s="511"/>
      <c r="AB5" s="504"/>
    </row>
    <row r="6" spans="1:28">
      <c r="A6" s="814"/>
      <c r="B6" s="815"/>
      <c r="C6" s="819" t="s">
        <v>68</v>
      </c>
      <c r="D6" s="821" t="s">
        <v>894</v>
      </c>
      <c r="E6" s="821"/>
      <c r="F6" s="821"/>
      <c r="G6" s="821"/>
      <c r="H6" s="822" t="s">
        <v>893</v>
      </c>
      <c r="I6" s="823"/>
      <c r="J6" s="823"/>
      <c r="K6" s="824"/>
      <c r="L6" s="509"/>
      <c r="M6" s="825" t="s">
        <v>892</v>
      </c>
      <c r="N6" s="825"/>
      <c r="O6" s="825"/>
      <c r="P6" s="825"/>
      <c r="Q6" s="825"/>
      <c r="R6" s="825"/>
      <c r="S6" s="802"/>
      <c r="T6" s="510"/>
      <c r="U6" s="805" t="s">
        <v>891</v>
      </c>
      <c r="V6" s="805"/>
      <c r="W6" s="805"/>
      <c r="X6" s="805"/>
      <c r="Y6" s="805"/>
      <c r="Z6" s="805"/>
      <c r="AA6" s="803"/>
      <c r="AB6" s="509"/>
    </row>
    <row r="7" spans="1:28" ht="25.5">
      <c r="A7" s="816"/>
      <c r="B7" s="817"/>
      <c r="C7" s="820"/>
      <c r="D7" s="508"/>
      <c r="E7" s="481" t="s">
        <v>563</v>
      </c>
      <c r="F7" s="481" t="s">
        <v>889</v>
      </c>
      <c r="G7" s="481" t="s">
        <v>890</v>
      </c>
      <c r="H7" s="507"/>
      <c r="I7" s="481" t="s">
        <v>563</v>
      </c>
      <c r="J7" s="481" t="s">
        <v>889</v>
      </c>
      <c r="K7" s="481" t="s">
        <v>890</v>
      </c>
      <c r="L7" s="506"/>
      <c r="M7" s="481" t="s">
        <v>563</v>
      </c>
      <c r="N7" s="481" t="s">
        <v>889</v>
      </c>
      <c r="O7" s="481" t="s">
        <v>888</v>
      </c>
      <c r="P7" s="481" t="s">
        <v>887</v>
      </c>
      <c r="Q7" s="481" t="s">
        <v>886</v>
      </c>
      <c r="R7" s="481" t="s">
        <v>885</v>
      </c>
      <c r="S7" s="481" t="s">
        <v>884</v>
      </c>
      <c r="T7" s="505"/>
      <c r="U7" s="481" t="s">
        <v>563</v>
      </c>
      <c r="V7" s="481" t="s">
        <v>889</v>
      </c>
      <c r="W7" s="481" t="s">
        <v>888</v>
      </c>
      <c r="X7" s="481" t="s">
        <v>887</v>
      </c>
      <c r="Y7" s="481" t="s">
        <v>886</v>
      </c>
      <c r="Z7" s="481" t="s">
        <v>885</v>
      </c>
      <c r="AA7" s="481" t="s">
        <v>884</v>
      </c>
      <c r="AB7" s="504"/>
    </row>
    <row r="8" spans="1:28">
      <c r="A8" s="503">
        <v>1</v>
      </c>
      <c r="B8" s="474" t="s">
        <v>564</v>
      </c>
      <c r="C8" s="474"/>
      <c r="D8" s="471"/>
      <c r="E8" s="471"/>
      <c r="F8" s="471"/>
      <c r="G8" s="471"/>
      <c r="H8" s="471"/>
      <c r="I8" s="471"/>
      <c r="J8" s="471"/>
      <c r="K8" s="471"/>
      <c r="L8" s="471"/>
      <c r="M8" s="471"/>
      <c r="N8" s="471"/>
      <c r="O8" s="471"/>
      <c r="P8" s="471"/>
      <c r="Q8" s="471"/>
      <c r="R8" s="471"/>
      <c r="S8" s="471"/>
      <c r="T8" s="471"/>
      <c r="U8" s="471"/>
      <c r="V8" s="471"/>
      <c r="W8" s="471"/>
      <c r="X8" s="471"/>
      <c r="Y8" s="471"/>
      <c r="Z8" s="471"/>
      <c r="AA8" s="471"/>
    </row>
    <row r="9" spans="1:28">
      <c r="A9" s="471">
        <v>1.1000000000000001</v>
      </c>
      <c r="B9" s="493" t="s">
        <v>565</v>
      </c>
      <c r="C9" s="493"/>
      <c r="D9" s="471"/>
      <c r="E9" s="471"/>
      <c r="F9" s="471"/>
      <c r="G9" s="471"/>
      <c r="H9" s="471"/>
      <c r="I9" s="471"/>
      <c r="J9" s="471"/>
      <c r="K9" s="471"/>
      <c r="L9" s="471"/>
      <c r="M9" s="471"/>
      <c r="N9" s="471"/>
      <c r="O9" s="471"/>
      <c r="P9" s="471"/>
      <c r="Q9" s="471"/>
      <c r="R9" s="471"/>
      <c r="S9" s="471"/>
      <c r="T9" s="471"/>
      <c r="U9" s="471"/>
      <c r="V9" s="471"/>
      <c r="W9" s="471"/>
      <c r="X9" s="471"/>
      <c r="Y9" s="471"/>
      <c r="Z9" s="471"/>
      <c r="AA9" s="471"/>
    </row>
    <row r="10" spans="1:28">
      <c r="A10" s="471">
        <v>1.2</v>
      </c>
      <c r="B10" s="493" t="s">
        <v>566</v>
      </c>
      <c r="C10" s="493"/>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row>
    <row r="11" spans="1:28">
      <c r="A11" s="471">
        <v>1.3</v>
      </c>
      <c r="B11" s="493" t="s">
        <v>567</v>
      </c>
      <c r="C11" s="493"/>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row>
    <row r="12" spans="1:28">
      <c r="A12" s="471">
        <v>1.4</v>
      </c>
      <c r="B12" s="493" t="s">
        <v>568</v>
      </c>
      <c r="C12" s="493"/>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row>
    <row r="13" spans="1:28">
      <c r="A13" s="471">
        <v>1.5</v>
      </c>
      <c r="B13" s="493" t="s">
        <v>569</v>
      </c>
      <c r="C13" s="493"/>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row>
    <row r="14" spans="1:28">
      <c r="A14" s="471">
        <v>1.6</v>
      </c>
      <c r="B14" s="493" t="s">
        <v>570</v>
      </c>
      <c r="C14" s="493"/>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row>
    <row r="15" spans="1:28">
      <c r="A15" s="503">
        <v>2</v>
      </c>
      <c r="B15" s="474" t="s">
        <v>571</v>
      </c>
      <c r="C15" s="474"/>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row>
    <row r="16" spans="1:28">
      <c r="A16" s="471">
        <v>2.1</v>
      </c>
      <c r="B16" s="493" t="s">
        <v>565</v>
      </c>
      <c r="C16" s="493"/>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row>
    <row r="17" spans="1:27">
      <c r="A17" s="471">
        <v>2.2000000000000002</v>
      </c>
      <c r="B17" s="493" t="s">
        <v>566</v>
      </c>
      <c r="C17" s="493"/>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row>
    <row r="18" spans="1:27">
      <c r="A18" s="471">
        <v>2.2999999999999998</v>
      </c>
      <c r="B18" s="493" t="s">
        <v>567</v>
      </c>
      <c r="C18" s="493"/>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row>
    <row r="19" spans="1:27">
      <c r="A19" s="471">
        <v>2.4</v>
      </c>
      <c r="B19" s="493" t="s">
        <v>568</v>
      </c>
      <c r="C19" s="493"/>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row>
    <row r="20" spans="1:27">
      <c r="A20" s="471">
        <v>2.5</v>
      </c>
      <c r="B20" s="493" t="s">
        <v>569</v>
      </c>
      <c r="C20" s="493"/>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row>
    <row r="21" spans="1:27">
      <c r="A21" s="471">
        <v>2.6</v>
      </c>
      <c r="B21" s="493" t="s">
        <v>570</v>
      </c>
      <c r="C21" s="493"/>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row>
    <row r="22" spans="1:27">
      <c r="A22" s="503">
        <v>3</v>
      </c>
      <c r="B22" s="474" t="s">
        <v>572</v>
      </c>
      <c r="C22" s="474"/>
      <c r="D22" s="474"/>
      <c r="E22" s="502"/>
      <c r="F22" s="502"/>
      <c r="G22" s="502"/>
      <c r="H22" s="474"/>
      <c r="I22" s="502"/>
      <c r="J22" s="502"/>
      <c r="K22" s="502"/>
      <c r="L22" s="474"/>
      <c r="M22" s="502"/>
      <c r="N22" s="502"/>
      <c r="O22" s="502"/>
      <c r="P22" s="502"/>
      <c r="Q22" s="502"/>
      <c r="R22" s="502"/>
      <c r="S22" s="502"/>
      <c r="T22" s="474"/>
      <c r="U22" s="502"/>
      <c r="V22" s="502"/>
      <c r="W22" s="502"/>
      <c r="X22" s="502"/>
      <c r="Y22" s="502"/>
      <c r="Z22" s="502"/>
      <c r="AA22" s="502"/>
    </row>
    <row r="23" spans="1:27">
      <c r="A23" s="471">
        <v>3.1</v>
      </c>
      <c r="B23" s="493" t="s">
        <v>565</v>
      </c>
      <c r="C23" s="493"/>
      <c r="D23" s="474"/>
      <c r="E23" s="502"/>
      <c r="F23" s="502"/>
      <c r="G23" s="502"/>
      <c r="H23" s="474"/>
      <c r="I23" s="502"/>
      <c r="J23" s="502"/>
      <c r="K23" s="502"/>
      <c r="L23" s="474"/>
      <c r="M23" s="502"/>
      <c r="N23" s="502"/>
      <c r="O23" s="502"/>
      <c r="P23" s="502"/>
      <c r="Q23" s="502"/>
      <c r="R23" s="502"/>
      <c r="S23" s="502"/>
      <c r="T23" s="474"/>
      <c r="U23" s="502"/>
      <c r="V23" s="502"/>
      <c r="W23" s="502"/>
      <c r="X23" s="502"/>
      <c r="Y23" s="502"/>
      <c r="Z23" s="502"/>
      <c r="AA23" s="502"/>
    </row>
    <row r="24" spans="1:27">
      <c r="A24" s="471">
        <v>3.2</v>
      </c>
      <c r="B24" s="493" t="s">
        <v>566</v>
      </c>
      <c r="C24" s="493"/>
      <c r="D24" s="474"/>
      <c r="E24" s="502"/>
      <c r="F24" s="502"/>
      <c r="G24" s="502"/>
      <c r="H24" s="474"/>
      <c r="I24" s="502"/>
      <c r="J24" s="502"/>
      <c r="K24" s="502"/>
      <c r="L24" s="474"/>
      <c r="M24" s="502"/>
      <c r="N24" s="502"/>
      <c r="O24" s="502"/>
      <c r="P24" s="502"/>
      <c r="Q24" s="502"/>
      <c r="R24" s="502"/>
      <c r="S24" s="502"/>
      <c r="T24" s="474"/>
      <c r="U24" s="502"/>
      <c r="V24" s="502"/>
      <c r="W24" s="502"/>
      <c r="X24" s="502"/>
      <c r="Y24" s="502"/>
      <c r="Z24" s="502"/>
      <c r="AA24" s="502"/>
    </row>
    <row r="25" spans="1:27">
      <c r="A25" s="471">
        <v>3.3</v>
      </c>
      <c r="B25" s="493" t="s">
        <v>567</v>
      </c>
      <c r="C25" s="493"/>
      <c r="D25" s="474"/>
      <c r="E25" s="502"/>
      <c r="F25" s="502"/>
      <c r="G25" s="502"/>
      <c r="H25" s="474"/>
      <c r="I25" s="502"/>
      <c r="J25" s="502"/>
      <c r="K25" s="502"/>
      <c r="L25" s="474"/>
      <c r="M25" s="502"/>
      <c r="N25" s="502"/>
      <c r="O25" s="502"/>
      <c r="P25" s="502"/>
      <c r="Q25" s="502"/>
      <c r="R25" s="502"/>
      <c r="S25" s="502"/>
      <c r="T25" s="474"/>
      <c r="U25" s="502"/>
      <c r="V25" s="502"/>
      <c r="W25" s="502"/>
      <c r="X25" s="502"/>
      <c r="Y25" s="502"/>
      <c r="Z25" s="502"/>
      <c r="AA25" s="502"/>
    </row>
    <row r="26" spans="1:27">
      <c r="A26" s="471">
        <v>3.4</v>
      </c>
      <c r="B26" s="493" t="s">
        <v>568</v>
      </c>
      <c r="C26" s="493"/>
      <c r="D26" s="474"/>
      <c r="E26" s="502"/>
      <c r="F26" s="502"/>
      <c r="G26" s="502"/>
      <c r="H26" s="474"/>
      <c r="I26" s="502"/>
      <c r="J26" s="502"/>
      <c r="K26" s="502"/>
      <c r="L26" s="474"/>
      <c r="M26" s="502"/>
      <c r="N26" s="502"/>
      <c r="O26" s="502"/>
      <c r="P26" s="502"/>
      <c r="Q26" s="502"/>
      <c r="R26" s="502"/>
      <c r="S26" s="502"/>
      <c r="T26" s="474"/>
      <c r="U26" s="502"/>
      <c r="V26" s="502"/>
      <c r="W26" s="502"/>
      <c r="X26" s="502"/>
      <c r="Y26" s="502"/>
      <c r="Z26" s="502"/>
      <c r="AA26" s="502"/>
    </row>
    <row r="27" spans="1:27">
      <c r="A27" s="471">
        <v>3.5</v>
      </c>
      <c r="B27" s="493" t="s">
        <v>569</v>
      </c>
      <c r="C27" s="493"/>
      <c r="D27" s="474"/>
      <c r="E27" s="502"/>
      <c r="F27" s="502"/>
      <c r="G27" s="502"/>
      <c r="H27" s="474"/>
      <c r="I27" s="502"/>
      <c r="J27" s="502"/>
      <c r="K27" s="502"/>
      <c r="L27" s="474"/>
      <c r="M27" s="502"/>
      <c r="N27" s="502"/>
      <c r="O27" s="502"/>
      <c r="P27" s="502"/>
      <c r="Q27" s="502"/>
      <c r="R27" s="502"/>
      <c r="S27" s="502"/>
      <c r="T27" s="474"/>
      <c r="U27" s="502"/>
      <c r="V27" s="502"/>
      <c r="W27" s="502"/>
      <c r="X27" s="502"/>
      <c r="Y27" s="502"/>
      <c r="Z27" s="502"/>
      <c r="AA27" s="502"/>
    </row>
    <row r="28" spans="1:27">
      <c r="A28" s="471">
        <v>3.6</v>
      </c>
      <c r="B28" s="493" t="s">
        <v>570</v>
      </c>
      <c r="C28" s="493"/>
      <c r="D28" s="474"/>
      <c r="E28" s="502"/>
      <c r="F28" s="502"/>
      <c r="G28" s="502"/>
      <c r="H28" s="474"/>
      <c r="I28" s="502"/>
      <c r="J28" s="502"/>
      <c r="K28" s="502"/>
      <c r="L28" s="474"/>
      <c r="M28" s="502"/>
      <c r="N28" s="502"/>
      <c r="O28" s="502"/>
      <c r="P28" s="502"/>
      <c r="Q28" s="502"/>
      <c r="R28" s="502"/>
      <c r="S28" s="502"/>
      <c r="T28" s="474"/>
      <c r="U28" s="502"/>
      <c r="V28" s="502"/>
      <c r="W28" s="502"/>
      <c r="X28" s="502"/>
      <c r="Y28" s="502"/>
      <c r="Z28" s="502"/>
      <c r="AA28" s="50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heetViews>
  <sheetFormatPr defaultColWidth="9.125" defaultRowHeight="12.75"/>
  <cols>
    <col min="1" max="1" width="11.875" style="484" bestFit="1" customWidth="1"/>
    <col min="2" max="2" width="90.25" style="484" bestFit="1" customWidth="1"/>
    <col min="3" max="3" width="20.125" style="484" customWidth="1"/>
    <col min="4" max="4" width="22.25" style="484" customWidth="1"/>
    <col min="5" max="7" width="17.125" style="484" customWidth="1"/>
    <col min="8" max="8" width="22.25" style="484" customWidth="1"/>
    <col min="9" max="10" width="17.125" style="484" customWidth="1"/>
    <col min="11" max="27" width="22.25" style="484" customWidth="1"/>
    <col min="28" max="16384" width="9.125" style="484"/>
  </cols>
  <sheetData>
    <row r="1" spans="1:27" ht="15">
      <c r="A1" s="379" t="s">
        <v>110</v>
      </c>
      <c r="B1" s="299" t="str">
        <f>Info!C2</f>
        <v>სს "პეისერა ბანკი საქართველო"</v>
      </c>
    </row>
    <row r="2" spans="1:27">
      <c r="A2" s="379" t="s">
        <v>111</v>
      </c>
      <c r="B2" s="382">
        <f>'1. key ratios'!B2</f>
        <v>45016</v>
      </c>
    </row>
    <row r="3" spans="1:27">
      <c r="A3" s="381" t="s">
        <v>573</v>
      </c>
      <c r="C3" s="486"/>
    </row>
    <row r="4" spans="1:27" ht="13.5" thickBot="1">
      <c r="A4" s="381"/>
      <c r="B4" s="486"/>
      <c r="C4" s="486"/>
    </row>
    <row r="5" spans="1:27" ht="13.5" customHeight="1">
      <c r="A5" s="830" t="s">
        <v>903</v>
      </c>
      <c r="B5" s="831"/>
      <c r="C5" s="827" t="s">
        <v>574</v>
      </c>
      <c r="D5" s="828"/>
      <c r="E5" s="828"/>
      <c r="F5" s="828"/>
      <c r="G5" s="828"/>
      <c r="H5" s="828"/>
      <c r="I5" s="828"/>
      <c r="J5" s="828"/>
      <c r="K5" s="828"/>
      <c r="L5" s="828"/>
      <c r="M5" s="828"/>
      <c r="N5" s="828"/>
      <c r="O5" s="828"/>
      <c r="P5" s="828"/>
      <c r="Q5" s="828"/>
      <c r="R5" s="828"/>
      <c r="S5" s="828"/>
      <c r="T5" s="828"/>
      <c r="U5" s="828"/>
      <c r="V5" s="828"/>
      <c r="W5" s="828"/>
      <c r="X5" s="828"/>
      <c r="Y5" s="828"/>
      <c r="Z5" s="828"/>
      <c r="AA5" s="829"/>
    </row>
    <row r="6" spans="1:27" ht="12" customHeight="1">
      <c r="A6" s="832"/>
      <c r="B6" s="833"/>
      <c r="C6" s="836" t="s">
        <v>68</v>
      </c>
      <c r="D6" s="801" t="s">
        <v>894</v>
      </c>
      <c r="E6" s="801"/>
      <c r="F6" s="801"/>
      <c r="G6" s="801"/>
      <c r="H6" s="822" t="s">
        <v>893</v>
      </c>
      <c r="I6" s="823"/>
      <c r="J6" s="823"/>
      <c r="K6" s="823"/>
      <c r="L6" s="510"/>
      <c r="M6" s="805" t="s">
        <v>892</v>
      </c>
      <c r="N6" s="805"/>
      <c r="O6" s="805"/>
      <c r="P6" s="805"/>
      <c r="Q6" s="805"/>
      <c r="R6" s="805"/>
      <c r="S6" s="803"/>
      <c r="T6" s="510"/>
      <c r="U6" s="805" t="s">
        <v>891</v>
      </c>
      <c r="V6" s="805"/>
      <c r="W6" s="805"/>
      <c r="X6" s="805"/>
      <c r="Y6" s="805"/>
      <c r="Z6" s="805"/>
      <c r="AA6" s="826"/>
    </row>
    <row r="7" spans="1:27" ht="25.5">
      <c r="A7" s="834"/>
      <c r="B7" s="835"/>
      <c r="C7" s="837"/>
      <c r="D7" s="508"/>
      <c r="E7" s="481" t="s">
        <v>563</v>
      </c>
      <c r="F7" s="481" t="s">
        <v>889</v>
      </c>
      <c r="G7" s="481" t="s">
        <v>890</v>
      </c>
      <c r="H7" s="485"/>
      <c r="I7" s="481" t="s">
        <v>563</v>
      </c>
      <c r="J7" s="481" t="s">
        <v>889</v>
      </c>
      <c r="K7" s="481" t="s">
        <v>890</v>
      </c>
      <c r="L7" s="505"/>
      <c r="M7" s="481" t="s">
        <v>563</v>
      </c>
      <c r="N7" s="481" t="s">
        <v>902</v>
      </c>
      <c r="O7" s="481" t="s">
        <v>901</v>
      </c>
      <c r="P7" s="481" t="s">
        <v>900</v>
      </c>
      <c r="Q7" s="481" t="s">
        <v>899</v>
      </c>
      <c r="R7" s="481" t="s">
        <v>898</v>
      </c>
      <c r="S7" s="481" t="s">
        <v>884</v>
      </c>
      <c r="T7" s="505"/>
      <c r="U7" s="481" t="s">
        <v>563</v>
      </c>
      <c r="V7" s="481" t="s">
        <v>902</v>
      </c>
      <c r="W7" s="481" t="s">
        <v>901</v>
      </c>
      <c r="X7" s="481" t="s">
        <v>900</v>
      </c>
      <c r="Y7" s="481" t="s">
        <v>899</v>
      </c>
      <c r="Z7" s="481" t="s">
        <v>898</v>
      </c>
      <c r="AA7" s="481" t="s">
        <v>884</v>
      </c>
    </row>
    <row r="8" spans="1:27">
      <c r="A8" s="541">
        <v>1</v>
      </c>
      <c r="B8" s="540" t="s">
        <v>564</v>
      </c>
      <c r="C8" s="539"/>
      <c r="D8" s="471"/>
      <c r="E8" s="471"/>
      <c r="F8" s="471"/>
      <c r="G8" s="471"/>
      <c r="H8" s="471"/>
      <c r="I8" s="471"/>
      <c r="J8" s="471"/>
      <c r="K8" s="471"/>
      <c r="L8" s="471"/>
      <c r="M8" s="471"/>
      <c r="N8" s="471"/>
      <c r="O8" s="471"/>
      <c r="P8" s="471"/>
      <c r="Q8" s="471"/>
      <c r="R8" s="471"/>
      <c r="S8" s="471"/>
      <c r="T8" s="471"/>
      <c r="U8" s="471"/>
      <c r="V8" s="471"/>
      <c r="W8" s="471"/>
      <c r="X8" s="471"/>
      <c r="Y8" s="471"/>
      <c r="Z8" s="471"/>
      <c r="AA8" s="518"/>
    </row>
    <row r="9" spans="1:27">
      <c r="A9" s="532">
        <v>1.1000000000000001</v>
      </c>
      <c r="B9" s="538" t="s">
        <v>575</v>
      </c>
      <c r="C9" s="532"/>
      <c r="D9" s="471"/>
      <c r="E9" s="471"/>
      <c r="F9" s="471"/>
      <c r="G9" s="471"/>
      <c r="H9" s="471"/>
      <c r="I9" s="471"/>
      <c r="J9" s="471"/>
      <c r="K9" s="471"/>
      <c r="L9" s="471"/>
      <c r="M9" s="471"/>
      <c r="N9" s="471"/>
      <c r="O9" s="471"/>
      <c r="P9" s="471"/>
      <c r="Q9" s="471"/>
      <c r="R9" s="471"/>
      <c r="S9" s="471"/>
      <c r="T9" s="471"/>
      <c r="U9" s="471"/>
      <c r="V9" s="471"/>
      <c r="W9" s="471"/>
      <c r="X9" s="471"/>
      <c r="Y9" s="471"/>
      <c r="Z9" s="471"/>
      <c r="AA9" s="518"/>
    </row>
    <row r="10" spans="1:27">
      <c r="A10" s="536" t="s">
        <v>159</v>
      </c>
      <c r="B10" s="537" t="s">
        <v>576</v>
      </c>
      <c r="C10" s="536"/>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518"/>
    </row>
    <row r="11" spans="1:27">
      <c r="A11" s="534" t="s">
        <v>577</v>
      </c>
      <c r="B11" s="535" t="s">
        <v>578</v>
      </c>
      <c r="C11" s="534"/>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518"/>
    </row>
    <row r="12" spans="1:27">
      <c r="A12" s="534" t="s">
        <v>579</v>
      </c>
      <c r="B12" s="535" t="s">
        <v>580</v>
      </c>
      <c r="C12" s="534"/>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518"/>
    </row>
    <row r="13" spans="1:27">
      <c r="A13" s="534" t="s">
        <v>581</v>
      </c>
      <c r="B13" s="535" t="s">
        <v>582</v>
      </c>
      <c r="C13" s="534"/>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518"/>
    </row>
    <row r="14" spans="1:27">
      <c r="A14" s="534" t="s">
        <v>583</v>
      </c>
      <c r="B14" s="535" t="s">
        <v>584</v>
      </c>
      <c r="C14" s="534"/>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518"/>
    </row>
    <row r="15" spans="1:27">
      <c r="A15" s="533">
        <v>1.2</v>
      </c>
      <c r="B15" s="531" t="s">
        <v>897</v>
      </c>
      <c r="C15" s="533"/>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518"/>
    </row>
    <row r="16" spans="1:27">
      <c r="A16" s="532">
        <v>1.3</v>
      </c>
      <c r="B16" s="531" t="s">
        <v>585</v>
      </c>
      <c r="C16" s="530"/>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8"/>
    </row>
    <row r="17" spans="1:27" ht="25.5">
      <c r="A17" s="524" t="s">
        <v>586</v>
      </c>
      <c r="B17" s="527" t="s">
        <v>587</v>
      </c>
      <c r="C17" s="526"/>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518"/>
    </row>
    <row r="18" spans="1:27" ht="25.5">
      <c r="A18" s="522" t="s">
        <v>588</v>
      </c>
      <c r="B18" s="523" t="s">
        <v>589</v>
      </c>
      <c r="C18" s="522"/>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518"/>
    </row>
    <row r="19" spans="1:27">
      <c r="A19" s="524" t="s">
        <v>590</v>
      </c>
      <c r="B19" s="525" t="s">
        <v>591</v>
      </c>
      <c r="C19" s="524"/>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518"/>
    </row>
    <row r="20" spans="1:27">
      <c r="A20" s="522" t="s">
        <v>592</v>
      </c>
      <c r="B20" s="523" t="s">
        <v>593</v>
      </c>
      <c r="C20" s="522"/>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518"/>
    </row>
    <row r="21" spans="1:27">
      <c r="A21" s="521">
        <v>1.4</v>
      </c>
      <c r="B21" s="520" t="s">
        <v>682</v>
      </c>
      <c r="C21" s="519"/>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518"/>
    </row>
    <row r="22" spans="1:27" ht="13.5" thickBot="1">
      <c r="A22" s="517">
        <v>1.5</v>
      </c>
      <c r="B22" s="516" t="s">
        <v>683</v>
      </c>
      <c r="C22" s="515"/>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3"/>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I45" sqref="I45"/>
    </sheetView>
  </sheetViews>
  <sheetFormatPr defaultColWidth="9.125" defaultRowHeight="12.75"/>
  <cols>
    <col min="1" max="1" width="11.875" style="484" bestFit="1" customWidth="1"/>
    <col min="2" max="2" width="93.5" style="484" customWidth="1"/>
    <col min="3" max="3" width="14.625" style="484" customWidth="1"/>
    <col min="4" max="5" width="16.125" style="484" customWidth="1"/>
    <col min="6" max="6" width="16.125" style="504" customWidth="1"/>
    <col min="7" max="7" width="25.25" style="504" customWidth="1"/>
    <col min="8" max="8" width="16.125" style="484" customWidth="1"/>
    <col min="9" max="11" width="16.125" style="504" customWidth="1"/>
    <col min="12" max="12" width="26.25" style="504" customWidth="1"/>
    <col min="13" max="16384" width="9.125" style="484"/>
  </cols>
  <sheetData>
    <row r="1" spans="1:12" ht="15">
      <c r="A1" s="379" t="s">
        <v>110</v>
      </c>
      <c r="B1" s="299" t="str">
        <f>Info!C2</f>
        <v>სს "პეისერა ბანკი საქართველო"</v>
      </c>
      <c r="F1" s="484"/>
      <c r="G1" s="484"/>
      <c r="I1" s="484"/>
      <c r="J1" s="484"/>
      <c r="K1" s="484"/>
      <c r="L1" s="484"/>
    </row>
    <row r="2" spans="1:12">
      <c r="A2" s="379" t="s">
        <v>111</v>
      </c>
      <c r="B2" s="382">
        <f>'1. key ratios'!B2</f>
        <v>45016</v>
      </c>
      <c r="F2" s="484"/>
      <c r="G2" s="484"/>
      <c r="I2" s="484"/>
      <c r="J2" s="484"/>
      <c r="K2" s="484"/>
      <c r="L2" s="484"/>
    </row>
    <row r="3" spans="1:12">
      <c r="A3" s="381" t="s">
        <v>596</v>
      </c>
      <c r="F3" s="484"/>
      <c r="G3" s="484"/>
      <c r="I3" s="484"/>
      <c r="J3" s="484"/>
      <c r="K3" s="484"/>
      <c r="L3" s="484"/>
    </row>
    <row r="4" spans="1:12">
      <c r="F4" s="484"/>
      <c r="G4" s="484"/>
      <c r="I4" s="484"/>
      <c r="J4" s="484"/>
      <c r="K4" s="484"/>
      <c r="L4" s="484"/>
    </row>
    <row r="5" spans="1:12" ht="37.5" customHeight="1">
      <c r="A5" s="789" t="s">
        <v>597</v>
      </c>
      <c r="B5" s="790"/>
      <c r="C5" s="838" t="s">
        <v>598</v>
      </c>
      <c r="D5" s="839"/>
      <c r="E5" s="839"/>
      <c r="F5" s="839"/>
      <c r="G5" s="839"/>
      <c r="H5" s="838" t="s">
        <v>904</v>
      </c>
      <c r="I5" s="840"/>
      <c r="J5" s="840"/>
      <c r="K5" s="840"/>
      <c r="L5" s="841"/>
    </row>
    <row r="6" spans="1:12" ht="39.6" customHeight="1">
      <c r="A6" s="793"/>
      <c r="B6" s="794"/>
      <c r="C6" s="386"/>
      <c r="D6" s="482" t="s">
        <v>894</v>
      </c>
      <c r="E6" s="482" t="s">
        <v>893</v>
      </c>
      <c r="F6" s="482" t="s">
        <v>892</v>
      </c>
      <c r="G6" s="482" t="s">
        <v>891</v>
      </c>
      <c r="H6" s="505"/>
      <c r="I6" s="482" t="s">
        <v>894</v>
      </c>
      <c r="J6" s="482" t="s">
        <v>893</v>
      </c>
      <c r="K6" s="482" t="s">
        <v>892</v>
      </c>
      <c r="L6" s="482" t="s">
        <v>891</v>
      </c>
    </row>
    <row r="7" spans="1:12">
      <c r="A7" s="471">
        <v>1</v>
      </c>
      <c r="B7" s="487" t="s">
        <v>520</v>
      </c>
      <c r="C7" s="487"/>
      <c r="D7" s="471"/>
      <c r="E7" s="471"/>
      <c r="F7" s="544"/>
      <c r="G7" s="544"/>
      <c r="H7" s="471"/>
      <c r="I7" s="544"/>
      <c r="J7" s="544"/>
      <c r="K7" s="544"/>
      <c r="L7" s="544"/>
    </row>
    <row r="8" spans="1:12">
      <c r="A8" s="471">
        <v>2</v>
      </c>
      <c r="B8" s="487" t="s">
        <v>521</v>
      </c>
      <c r="C8" s="487"/>
      <c r="D8" s="471"/>
      <c r="E8" s="471"/>
      <c r="F8" s="481"/>
      <c r="G8" s="481"/>
      <c r="H8" s="471"/>
      <c r="I8" s="481"/>
      <c r="J8" s="481"/>
      <c r="K8" s="481"/>
      <c r="L8" s="481"/>
    </row>
    <row r="9" spans="1:12">
      <c r="A9" s="471">
        <v>3</v>
      </c>
      <c r="B9" s="487" t="s">
        <v>870</v>
      </c>
      <c r="C9" s="487"/>
      <c r="D9" s="471"/>
      <c r="E9" s="471"/>
      <c r="F9" s="483"/>
      <c r="G9" s="483"/>
      <c r="H9" s="471"/>
      <c r="I9" s="483"/>
      <c r="J9" s="483"/>
      <c r="K9" s="483"/>
      <c r="L9" s="483"/>
    </row>
    <row r="10" spans="1:12">
      <c r="A10" s="471">
        <v>4</v>
      </c>
      <c r="B10" s="487" t="s">
        <v>522</v>
      </c>
      <c r="C10" s="487"/>
      <c r="D10" s="471"/>
      <c r="E10" s="471"/>
      <c r="F10" s="483"/>
      <c r="G10" s="483"/>
      <c r="H10" s="471"/>
      <c r="I10" s="483"/>
      <c r="J10" s="483"/>
      <c r="K10" s="483"/>
      <c r="L10" s="483"/>
    </row>
    <row r="11" spans="1:12">
      <c r="A11" s="471">
        <v>5</v>
      </c>
      <c r="B11" s="487" t="s">
        <v>523</v>
      </c>
      <c r="C11" s="487"/>
      <c r="D11" s="471"/>
      <c r="E11" s="471"/>
      <c r="F11" s="483"/>
      <c r="G11" s="483"/>
      <c r="H11" s="471"/>
      <c r="I11" s="483"/>
      <c r="J11" s="483"/>
      <c r="K11" s="483"/>
      <c r="L11" s="483"/>
    </row>
    <row r="12" spans="1:12">
      <c r="A12" s="471">
        <v>6</v>
      </c>
      <c r="B12" s="487" t="s">
        <v>524</v>
      </c>
      <c r="C12" s="487"/>
      <c r="D12" s="471"/>
      <c r="E12" s="471"/>
      <c r="F12" s="483"/>
      <c r="G12" s="483"/>
      <c r="H12" s="471"/>
      <c r="I12" s="483"/>
      <c r="J12" s="483"/>
      <c r="K12" s="483"/>
      <c r="L12" s="483"/>
    </row>
    <row r="13" spans="1:12">
      <c r="A13" s="471">
        <v>7</v>
      </c>
      <c r="B13" s="487" t="s">
        <v>525</v>
      </c>
      <c r="C13" s="487"/>
      <c r="D13" s="471"/>
      <c r="E13" s="471"/>
      <c r="F13" s="483"/>
      <c r="G13" s="483"/>
      <c r="H13" s="471"/>
      <c r="I13" s="483"/>
      <c r="J13" s="483"/>
      <c r="K13" s="483"/>
      <c r="L13" s="483"/>
    </row>
    <row r="14" spans="1:12">
      <c r="A14" s="471">
        <v>8</v>
      </c>
      <c r="B14" s="487" t="s">
        <v>526</v>
      </c>
      <c r="C14" s="487"/>
      <c r="D14" s="471"/>
      <c r="E14" s="471"/>
      <c r="F14" s="483"/>
      <c r="G14" s="483"/>
      <c r="H14" s="471"/>
      <c r="I14" s="483"/>
      <c r="J14" s="483"/>
      <c r="K14" s="483"/>
      <c r="L14" s="483"/>
    </row>
    <row r="15" spans="1:12">
      <c r="A15" s="471">
        <v>9</v>
      </c>
      <c r="B15" s="487" t="s">
        <v>527</v>
      </c>
      <c r="C15" s="487"/>
      <c r="D15" s="471"/>
      <c r="E15" s="471"/>
      <c r="F15" s="483"/>
      <c r="G15" s="483"/>
      <c r="H15" s="471"/>
      <c r="I15" s="483"/>
      <c r="J15" s="483"/>
      <c r="K15" s="483"/>
      <c r="L15" s="483"/>
    </row>
    <row r="16" spans="1:12">
      <c r="A16" s="471">
        <v>10</v>
      </c>
      <c r="B16" s="487" t="s">
        <v>528</v>
      </c>
      <c r="C16" s="487"/>
      <c r="D16" s="471"/>
      <c r="E16" s="471"/>
      <c r="F16" s="483"/>
      <c r="G16" s="483"/>
      <c r="H16" s="471"/>
      <c r="I16" s="483"/>
      <c r="J16" s="483"/>
      <c r="K16" s="483"/>
      <c r="L16" s="483"/>
    </row>
    <row r="17" spans="1:12">
      <c r="A17" s="471">
        <v>11</v>
      </c>
      <c r="B17" s="487" t="s">
        <v>529</v>
      </c>
      <c r="C17" s="487"/>
      <c r="D17" s="471"/>
      <c r="E17" s="471"/>
      <c r="F17" s="483"/>
      <c r="G17" s="483"/>
      <c r="H17" s="471"/>
      <c r="I17" s="483"/>
      <c r="J17" s="483"/>
      <c r="K17" s="483"/>
      <c r="L17" s="483"/>
    </row>
    <row r="18" spans="1:12">
      <c r="A18" s="471">
        <v>12</v>
      </c>
      <c r="B18" s="487" t="s">
        <v>530</v>
      </c>
      <c r="C18" s="487"/>
      <c r="D18" s="471"/>
      <c r="E18" s="471"/>
      <c r="F18" s="483"/>
      <c r="G18" s="483"/>
      <c r="H18" s="471"/>
      <c r="I18" s="483"/>
      <c r="J18" s="483"/>
      <c r="K18" s="483"/>
      <c r="L18" s="483"/>
    </row>
    <row r="19" spans="1:12">
      <c r="A19" s="471">
        <v>13</v>
      </c>
      <c r="B19" s="487" t="s">
        <v>531</v>
      </c>
      <c r="C19" s="487"/>
      <c r="D19" s="471"/>
      <c r="E19" s="471"/>
      <c r="F19" s="483"/>
      <c r="G19" s="483"/>
      <c r="H19" s="471"/>
      <c r="I19" s="483"/>
      <c r="J19" s="483"/>
      <c r="K19" s="483"/>
      <c r="L19" s="483"/>
    </row>
    <row r="20" spans="1:12">
      <c r="A20" s="471">
        <v>14</v>
      </c>
      <c r="B20" s="487" t="s">
        <v>532</v>
      </c>
      <c r="C20" s="487"/>
      <c r="D20" s="471"/>
      <c r="E20" s="471"/>
      <c r="F20" s="483"/>
      <c r="G20" s="483"/>
      <c r="H20" s="471"/>
      <c r="I20" s="483"/>
      <c r="J20" s="483"/>
      <c r="K20" s="483"/>
      <c r="L20" s="483"/>
    </row>
    <row r="21" spans="1:12">
      <c r="A21" s="471">
        <v>15</v>
      </c>
      <c r="B21" s="487" t="s">
        <v>533</v>
      </c>
      <c r="C21" s="487"/>
      <c r="D21" s="471"/>
      <c r="E21" s="471"/>
      <c r="F21" s="483"/>
      <c r="G21" s="483"/>
      <c r="H21" s="471"/>
      <c r="I21" s="483"/>
      <c r="J21" s="483"/>
      <c r="K21" s="483"/>
      <c r="L21" s="483"/>
    </row>
    <row r="22" spans="1:12">
      <c r="A22" s="471">
        <v>16</v>
      </c>
      <c r="B22" s="487" t="s">
        <v>534</v>
      </c>
      <c r="C22" s="487"/>
      <c r="D22" s="471"/>
      <c r="E22" s="471"/>
      <c r="F22" s="483"/>
      <c r="G22" s="483"/>
      <c r="H22" s="471"/>
      <c r="I22" s="483"/>
      <c r="J22" s="483"/>
      <c r="K22" s="483"/>
      <c r="L22" s="483"/>
    </row>
    <row r="23" spans="1:12">
      <c r="A23" s="471">
        <v>17</v>
      </c>
      <c r="B23" s="487" t="s">
        <v>535</v>
      </c>
      <c r="C23" s="487"/>
      <c r="D23" s="471"/>
      <c r="E23" s="471"/>
      <c r="F23" s="483"/>
      <c r="G23" s="483"/>
      <c r="H23" s="471"/>
      <c r="I23" s="483"/>
      <c r="J23" s="483"/>
      <c r="K23" s="483"/>
      <c r="L23" s="483"/>
    </row>
    <row r="24" spans="1:12">
      <c r="A24" s="471">
        <v>18</v>
      </c>
      <c r="B24" s="487" t="s">
        <v>536</v>
      </c>
      <c r="C24" s="487"/>
      <c r="D24" s="471"/>
      <c r="E24" s="471"/>
      <c r="F24" s="483"/>
      <c r="G24" s="483"/>
      <c r="H24" s="471"/>
      <c r="I24" s="483"/>
      <c r="J24" s="483"/>
      <c r="K24" s="483"/>
      <c r="L24" s="483"/>
    </row>
    <row r="25" spans="1:12">
      <c r="A25" s="471">
        <v>19</v>
      </c>
      <c r="B25" s="487" t="s">
        <v>537</v>
      </c>
      <c r="C25" s="487"/>
      <c r="D25" s="471"/>
      <c r="E25" s="471"/>
      <c r="F25" s="483"/>
      <c r="G25" s="483"/>
      <c r="H25" s="471"/>
      <c r="I25" s="483"/>
      <c r="J25" s="483"/>
      <c r="K25" s="483"/>
      <c r="L25" s="483"/>
    </row>
    <row r="26" spans="1:12">
      <c r="A26" s="471">
        <v>20</v>
      </c>
      <c r="B26" s="487" t="s">
        <v>538</v>
      </c>
      <c r="C26" s="487"/>
      <c r="D26" s="471"/>
      <c r="E26" s="471"/>
      <c r="F26" s="483"/>
      <c r="G26" s="483"/>
      <c r="H26" s="471"/>
      <c r="I26" s="483"/>
      <c r="J26" s="483"/>
      <c r="K26" s="483"/>
      <c r="L26" s="483"/>
    </row>
    <row r="27" spans="1:12">
      <c r="A27" s="471">
        <v>21</v>
      </c>
      <c r="B27" s="487" t="s">
        <v>539</v>
      </c>
      <c r="C27" s="487"/>
      <c r="D27" s="471"/>
      <c r="E27" s="471"/>
      <c r="F27" s="483"/>
      <c r="G27" s="483"/>
      <c r="H27" s="471"/>
      <c r="I27" s="483"/>
      <c r="J27" s="483"/>
      <c r="K27" s="483"/>
      <c r="L27" s="483"/>
    </row>
    <row r="28" spans="1:12">
      <c r="A28" s="471">
        <v>22</v>
      </c>
      <c r="B28" s="487" t="s">
        <v>540</v>
      </c>
      <c r="C28" s="487"/>
      <c r="D28" s="471"/>
      <c r="E28" s="471"/>
      <c r="F28" s="483"/>
      <c r="G28" s="483"/>
      <c r="H28" s="471"/>
      <c r="I28" s="483"/>
      <c r="J28" s="483"/>
      <c r="K28" s="483"/>
      <c r="L28" s="483"/>
    </row>
    <row r="29" spans="1:12">
      <c r="A29" s="471">
        <v>23</v>
      </c>
      <c r="B29" s="487" t="s">
        <v>541</v>
      </c>
      <c r="C29" s="487"/>
      <c r="D29" s="471"/>
      <c r="E29" s="471"/>
      <c r="F29" s="483"/>
      <c r="G29" s="483"/>
      <c r="H29" s="471"/>
      <c r="I29" s="483"/>
      <c r="J29" s="483"/>
      <c r="K29" s="483"/>
      <c r="L29" s="483"/>
    </row>
    <row r="30" spans="1:12">
      <c r="A30" s="471">
        <v>24</v>
      </c>
      <c r="B30" s="487" t="s">
        <v>542</v>
      </c>
      <c r="C30" s="487"/>
      <c r="D30" s="471"/>
      <c r="E30" s="471"/>
      <c r="F30" s="483"/>
      <c r="G30" s="483"/>
      <c r="H30" s="471"/>
      <c r="I30" s="483"/>
      <c r="J30" s="483"/>
      <c r="K30" s="483"/>
      <c r="L30" s="483"/>
    </row>
    <row r="31" spans="1:12">
      <c r="A31" s="471">
        <v>25</v>
      </c>
      <c r="B31" s="487" t="s">
        <v>543</v>
      </c>
      <c r="C31" s="487"/>
      <c r="D31" s="471"/>
      <c r="E31" s="471"/>
      <c r="F31" s="483"/>
      <c r="G31" s="483"/>
      <c r="H31" s="471"/>
      <c r="I31" s="483"/>
      <c r="J31" s="483"/>
      <c r="K31" s="483"/>
      <c r="L31" s="483"/>
    </row>
    <row r="32" spans="1:12">
      <c r="A32" s="471">
        <v>26</v>
      </c>
      <c r="B32" s="487" t="s">
        <v>599</v>
      </c>
      <c r="C32" s="487"/>
      <c r="D32" s="471"/>
      <c r="E32" s="471"/>
      <c r="F32" s="483"/>
      <c r="G32" s="483"/>
      <c r="H32" s="471"/>
      <c r="I32" s="483"/>
      <c r="J32" s="483"/>
      <c r="K32" s="483"/>
      <c r="L32" s="483"/>
    </row>
    <row r="33" spans="1:12">
      <c r="A33" s="471">
        <v>27</v>
      </c>
      <c r="B33" s="543" t="s">
        <v>68</v>
      </c>
      <c r="C33" s="543"/>
      <c r="D33" s="471"/>
      <c r="E33" s="471"/>
      <c r="F33" s="483"/>
      <c r="G33" s="483"/>
      <c r="H33" s="471"/>
      <c r="I33" s="483"/>
      <c r="J33" s="483"/>
      <c r="K33" s="483"/>
      <c r="L33" s="483"/>
    </row>
    <row r="35" spans="1:12">
      <c r="B35" s="542"/>
      <c r="C35" s="542"/>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B2" sqref="B2"/>
    </sheetView>
  </sheetViews>
  <sheetFormatPr defaultColWidth="8.75" defaultRowHeight="12.75"/>
  <cols>
    <col min="1" max="1" width="11.875" style="387" bestFit="1" customWidth="1"/>
    <col min="2" max="2" width="165.125" style="387" customWidth="1"/>
    <col min="3" max="11" width="28.25" style="387" customWidth="1"/>
    <col min="12" max="16384" width="8.75" style="387"/>
  </cols>
  <sheetData>
    <row r="1" spans="1:11" s="380" customFormat="1" ht="15">
      <c r="A1" s="379" t="s">
        <v>110</v>
      </c>
      <c r="B1" s="299" t="str">
        <f>Info!C2</f>
        <v>სს "პეისერა ბანკი საქართველო"</v>
      </c>
      <c r="C1" s="484"/>
      <c r="D1" s="484"/>
      <c r="E1" s="484"/>
      <c r="F1" s="484"/>
      <c r="G1" s="484"/>
      <c r="H1" s="484"/>
      <c r="I1" s="484"/>
      <c r="J1" s="484"/>
      <c r="K1" s="484"/>
    </row>
    <row r="2" spans="1:11" s="380" customFormat="1">
      <c r="A2" s="379" t="s">
        <v>111</v>
      </c>
      <c r="B2" s="382">
        <f>'1. key ratios'!B2</f>
        <v>45016</v>
      </c>
      <c r="C2" s="484"/>
      <c r="D2" s="484"/>
      <c r="E2" s="484"/>
      <c r="F2" s="484"/>
      <c r="G2" s="484"/>
      <c r="H2" s="484"/>
      <c r="I2" s="484"/>
      <c r="J2" s="484"/>
      <c r="K2" s="484"/>
    </row>
    <row r="3" spans="1:11" s="380" customFormat="1">
      <c r="A3" s="381" t="s">
        <v>600</v>
      </c>
      <c r="B3" s="484"/>
      <c r="C3" s="484"/>
      <c r="D3" s="484"/>
      <c r="E3" s="484"/>
      <c r="F3" s="484"/>
      <c r="G3" s="484"/>
      <c r="H3" s="484"/>
      <c r="I3" s="484"/>
      <c r="J3" s="484"/>
      <c r="K3" s="484"/>
    </row>
    <row r="4" spans="1:11">
      <c r="A4" s="549"/>
      <c r="B4" s="549"/>
      <c r="C4" s="548" t="s">
        <v>504</v>
      </c>
      <c r="D4" s="548" t="s">
        <v>505</v>
      </c>
      <c r="E4" s="548" t="s">
        <v>506</v>
      </c>
      <c r="F4" s="548" t="s">
        <v>507</v>
      </c>
      <c r="G4" s="548" t="s">
        <v>508</v>
      </c>
      <c r="H4" s="548" t="s">
        <v>509</v>
      </c>
      <c r="I4" s="548" t="s">
        <v>510</v>
      </c>
      <c r="J4" s="548" t="s">
        <v>511</v>
      </c>
      <c r="K4" s="548" t="s">
        <v>512</v>
      </c>
    </row>
    <row r="5" spans="1:11" ht="104.1" customHeight="1">
      <c r="A5" s="842" t="s">
        <v>909</v>
      </c>
      <c r="B5" s="843"/>
      <c r="C5" s="547" t="s">
        <v>601</v>
      </c>
      <c r="D5" s="547" t="s">
        <v>594</v>
      </c>
      <c r="E5" s="547" t="s">
        <v>595</v>
      </c>
      <c r="F5" s="547" t="s">
        <v>908</v>
      </c>
      <c r="G5" s="547" t="s">
        <v>602</v>
      </c>
      <c r="H5" s="547" t="s">
        <v>603</v>
      </c>
      <c r="I5" s="547" t="s">
        <v>604</v>
      </c>
      <c r="J5" s="547" t="s">
        <v>605</v>
      </c>
      <c r="K5" s="547" t="s">
        <v>606</v>
      </c>
    </row>
    <row r="6" spans="1:11">
      <c r="A6" s="471">
        <v>1</v>
      </c>
      <c r="B6" s="471" t="s">
        <v>607</v>
      </c>
      <c r="C6" s="471"/>
      <c r="D6" s="471"/>
      <c r="E6" s="471"/>
      <c r="F6" s="471"/>
      <c r="G6" s="471"/>
      <c r="H6" s="471"/>
      <c r="I6" s="471"/>
      <c r="J6" s="471"/>
      <c r="K6" s="471"/>
    </row>
    <row r="7" spans="1:11">
      <c r="A7" s="471">
        <v>2</v>
      </c>
      <c r="B7" s="471" t="s">
        <v>608</v>
      </c>
      <c r="C7" s="471"/>
      <c r="D7" s="471"/>
      <c r="E7" s="471"/>
      <c r="F7" s="471"/>
      <c r="G7" s="471"/>
      <c r="H7" s="471"/>
      <c r="I7" s="471"/>
      <c r="J7" s="471"/>
      <c r="K7" s="471"/>
    </row>
    <row r="8" spans="1:11">
      <c r="A8" s="471">
        <v>3</v>
      </c>
      <c r="B8" s="471" t="s">
        <v>572</v>
      </c>
      <c r="C8" s="471"/>
      <c r="D8" s="471"/>
      <c r="E8" s="471"/>
      <c r="F8" s="471"/>
      <c r="G8" s="471"/>
      <c r="H8" s="471"/>
      <c r="I8" s="471"/>
      <c r="J8" s="471"/>
      <c r="K8" s="471"/>
    </row>
    <row r="9" spans="1:11">
      <c r="A9" s="471">
        <v>4</v>
      </c>
      <c r="B9" s="493" t="s">
        <v>907</v>
      </c>
      <c r="C9" s="546"/>
      <c r="D9" s="546"/>
      <c r="E9" s="546"/>
      <c r="F9" s="546"/>
      <c r="G9" s="546"/>
      <c r="H9" s="546"/>
      <c r="I9" s="546"/>
      <c r="J9" s="546"/>
      <c r="K9" s="546"/>
    </row>
    <row r="10" spans="1:11">
      <c r="A10" s="471">
        <v>5</v>
      </c>
      <c r="B10" s="493" t="s">
        <v>906</v>
      </c>
      <c r="C10" s="546"/>
      <c r="D10" s="546"/>
      <c r="E10" s="546"/>
      <c r="F10" s="546"/>
      <c r="G10" s="546"/>
      <c r="H10" s="546"/>
      <c r="I10" s="546"/>
      <c r="J10" s="546"/>
      <c r="K10" s="546"/>
    </row>
    <row r="11" spans="1:11">
      <c r="A11" s="471">
        <v>6</v>
      </c>
      <c r="B11" s="493" t="s">
        <v>905</v>
      </c>
      <c r="C11" s="546"/>
      <c r="D11" s="546"/>
      <c r="E11" s="546"/>
      <c r="F11" s="546"/>
      <c r="G11" s="546"/>
      <c r="H11" s="546"/>
      <c r="I11" s="546"/>
      <c r="J11" s="546"/>
      <c r="K11" s="546"/>
    </row>
    <row r="13" spans="1:11" ht="15">
      <c r="B13" s="545"/>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topLeftCell="R1" zoomScaleNormal="100" workbookViewId="0">
      <selection activeCell="U8" sqref="U8"/>
    </sheetView>
  </sheetViews>
  <sheetFormatPr defaultColWidth="8.75" defaultRowHeight="15"/>
  <cols>
    <col min="1" max="1" width="10" style="550" bestFit="1" customWidth="1"/>
    <col min="2" max="2" width="71.75" style="550" customWidth="1"/>
    <col min="3" max="3" width="10.625" style="550" bestFit="1" customWidth="1"/>
    <col min="4" max="5" width="15.125" style="550" bestFit="1" customWidth="1"/>
    <col min="6" max="6" width="20" style="550" bestFit="1" customWidth="1"/>
    <col min="7" max="7" width="37.625" style="550" bestFit="1" customWidth="1"/>
    <col min="8" max="8" width="10.625" style="550" bestFit="1" customWidth="1"/>
    <col min="9" max="10" width="15.125" style="550" bestFit="1" customWidth="1"/>
    <col min="11" max="11" width="20" style="550" bestFit="1" customWidth="1"/>
    <col min="12" max="12" width="37.625" style="550" bestFit="1" customWidth="1"/>
    <col min="13" max="13" width="10.625" style="550" bestFit="1" customWidth="1"/>
    <col min="14" max="15" width="15.125" style="550" bestFit="1" customWidth="1"/>
    <col min="16" max="16" width="20" style="550" bestFit="1" customWidth="1"/>
    <col min="17" max="17" width="37.625" style="550" bestFit="1" customWidth="1"/>
    <col min="18" max="18" width="18" style="550" bestFit="1" customWidth="1"/>
    <col min="19" max="19" width="48" style="550" bestFit="1" customWidth="1"/>
    <col min="20" max="20" width="45.875" style="550" bestFit="1" customWidth="1"/>
    <col min="21" max="21" width="48" style="550" bestFit="1" customWidth="1"/>
    <col min="22" max="22" width="44.375" style="550" bestFit="1" customWidth="1"/>
    <col min="23" max="16384" width="8.75" style="550"/>
  </cols>
  <sheetData>
    <row r="1" spans="1:22" ht="15.75">
      <c r="A1" s="379" t="s">
        <v>110</v>
      </c>
      <c r="B1" s="299" t="str">
        <f>Info!C2</f>
        <v>სს "პეისერა ბანკი საქართველო"</v>
      </c>
    </row>
    <row r="2" spans="1:22">
      <c r="A2" s="379" t="s">
        <v>111</v>
      </c>
      <c r="B2" s="382">
        <f>'1. key ratios'!B2</f>
        <v>45016</v>
      </c>
    </row>
    <row r="3" spans="1:22">
      <c r="A3" s="381" t="s">
        <v>691</v>
      </c>
      <c r="B3" s="484"/>
    </row>
    <row r="4" spans="1:22">
      <c r="A4" s="381"/>
      <c r="B4" s="484"/>
    </row>
    <row r="5" spans="1:22" ht="24" customHeight="1">
      <c r="A5" s="844" t="s">
        <v>718</v>
      </c>
      <c r="B5" s="844"/>
      <c r="C5" s="846" t="s">
        <v>911</v>
      </c>
      <c r="D5" s="846"/>
      <c r="E5" s="846"/>
      <c r="F5" s="846"/>
      <c r="G5" s="846"/>
      <c r="H5" s="846" t="s">
        <v>598</v>
      </c>
      <c r="I5" s="846"/>
      <c r="J5" s="846"/>
      <c r="K5" s="846"/>
      <c r="L5" s="846"/>
      <c r="M5" s="846" t="s">
        <v>910</v>
      </c>
      <c r="N5" s="846"/>
      <c r="O5" s="846"/>
      <c r="P5" s="846"/>
      <c r="Q5" s="846"/>
      <c r="R5" s="845" t="s">
        <v>717</v>
      </c>
      <c r="S5" s="845" t="s">
        <v>721</v>
      </c>
      <c r="T5" s="845" t="s">
        <v>720</v>
      </c>
      <c r="U5" s="845" t="s">
        <v>973</v>
      </c>
      <c r="V5" s="845" t="s">
        <v>974</v>
      </c>
    </row>
    <row r="6" spans="1:22" ht="36" customHeight="1">
      <c r="A6" s="844"/>
      <c r="B6" s="844"/>
      <c r="C6" s="560"/>
      <c r="D6" s="482" t="s">
        <v>894</v>
      </c>
      <c r="E6" s="482" t="s">
        <v>893</v>
      </c>
      <c r="F6" s="482" t="s">
        <v>892</v>
      </c>
      <c r="G6" s="482" t="s">
        <v>891</v>
      </c>
      <c r="H6" s="560"/>
      <c r="I6" s="482" t="s">
        <v>894</v>
      </c>
      <c r="J6" s="482" t="s">
        <v>893</v>
      </c>
      <c r="K6" s="482" t="s">
        <v>892</v>
      </c>
      <c r="L6" s="482" t="s">
        <v>891</v>
      </c>
      <c r="M6" s="560"/>
      <c r="N6" s="482" t="s">
        <v>894</v>
      </c>
      <c r="O6" s="482" t="s">
        <v>893</v>
      </c>
      <c r="P6" s="482" t="s">
        <v>892</v>
      </c>
      <c r="Q6" s="482" t="s">
        <v>891</v>
      </c>
      <c r="R6" s="845"/>
      <c r="S6" s="845"/>
      <c r="T6" s="845"/>
      <c r="U6" s="845"/>
      <c r="V6" s="845"/>
    </row>
    <row r="7" spans="1:22">
      <c r="A7" s="554">
        <v>1</v>
      </c>
      <c r="B7" s="559" t="s">
        <v>692</v>
      </c>
      <c r="C7" s="546"/>
      <c r="D7" s="546"/>
      <c r="E7" s="546"/>
      <c r="F7" s="546"/>
      <c r="G7" s="546"/>
      <c r="H7" s="546"/>
      <c r="I7" s="546"/>
      <c r="J7" s="546"/>
      <c r="K7" s="546"/>
      <c r="L7" s="546"/>
      <c r="M7" s="546"/>
      <c r="N7" s="546"/>
      <c r="O7" s="546"/>
      <c r="P7" s="546"/>
      <c r="Q7" s="546"/>
      <c r="R7" s="546"/>
      <c r="S7" s="546"/>
      <c r="T7" s="546"/>
      <c r="U7" s="546"/>
      <c r="V7" s="546"/>
    </row>
    <row r="8" spans="1:22">
      <c r="A8" s="554">
        <v>2</v>
      </c>
      <c r="B8" s="558" t="s">
        <v>693</v>
      </c>
      <c r="C8" s="546"/>
      <c r="D8" s="546"/>
      <c r="E8" s="546"/>
      <c r="F8" s="546"/>
      <c r="G8" s="546"/>
      <c r="H8" s="546"/>
      <c r="I8" s="546"/>
      <c r="J8" s="546"/>
      <c r="K8" s="546"/>
      <c r="L8" s="546"/>
      <c r="M8" s="546"/>
      <c r="N8" s="546"/>
      <c r="O8" s="546"/>
      <c r="P8" s="546"/>
      <c r="Q8" s="546"/>
      <c r="R8" s="546"/>
      <c r="S8" s="546"/>
      <c r="T8" s="546"/>
      <c r="U8" s="546"/>
      <c r="V8" s="546"/>
    </row>
    <row r="9" spans="1:22">
      <c r="A9" s="554">
        <v>3</v>
      </c>
      <c r="B9" s="558" t="s">
        <v>694</v>
      </c>
      <c r="C9" s="546"/>
      <c r="D9" s="546"/>
      <c r="E9" s="546"/>
      <c r="F9" s="546"/>
      <c r="G9" s="546"/>
      <c r="H9" s="546"/>
      <c r="I9" s="546"/>
      <c r="J9" s="546"/>
      <c r="K9" s="546"/>
      <c r="L9" s="546"/>
      <c r="M9" s="546"/>
      <c r="N9" s="546"/>
      <c r="O9" s="546"/>
      <c r="P9" s="546"/>
      <c r="Q9" s="546"/>
      <c r="R9" s="546"/>
      <c r="S9" s="546"/>
      <c r="T9" s="546"/>
      <c r="U9" s="546"/>
      <c r="V9" s="546"/>
    </row>
    <row r="10" spans="1:22">
      <c r="A10" s="554">
        <v>4</v>
      </c>
      <c r="B10" s="558" t="s">
        <v>695</v>
      </c>
      <c r="C10" s="546"/>
      <c r="D10" s="546"/>
      <c r="E10" s="546"/>
      <c r="F10" s="546"/>
      <c r="G10" s="546"/>
      <c r="H10" s="546"/>
      <c r="I10" s="546"/>
      <c r="J10" s="546"/>
      <c r="K10" s="546"/>
      <c r="L10" s="546"/>
      <c r="M10" s="546"/>
      <c r="N10" s="546"/>
      <c r="O10" s="546"/>
      <c r="P10" s="546"/>
      <c r="Q10" s="546"/>
      <c r="R10" s="546"/>
      <c r="S10" s="546"/>
      <c r="T10" s="546"/>
      <c r="U10" s="546"/>
      <c r="V10" s="546"/>
    </row>
    <row r="11" spans="1:22">
      <c r="A11" s="554">
        <v>5</v>
      </c>
      <c r="B11" s="558" t="s">
        <v>696</v>
      </c>
      <c r="C11" s="546"/>
      <c r="D11" s="546"/>
      <c r="E11" s="546"/>
      <c r="F11" s="546"/>
      <c r="G11" s="546"/>
      <c r="H11" s="546"/>
      <c r="I11" s="546"/>
      <c r="J11" s="546"/>
      <c r="K11" s="546"/>
      <c r="L11" s="546"/>
      <c r="M11" s="546"/>
      <c r="N11" s="546"/>
      <c r="O11" s="546"/>
      <c r="P11" s="546"/>
      <c r="Q11" s="546"/>
      <c r="R11" s="546"/>
      <c r="S11" s="546"/>
      <c r="T11" s="546"/>
      <c r="U11" s="546"/>
      <c r="V11" s="546"/>
    </row>
    <row r="12" spans="1:22">
      <c r="A12" s="554">
        <v>6</v>
      </c>
      <c r="B12" s="558" t="s">
        <v>697</v>
      </c>
      <c r="C12" s="546"/>
      <c r="D12" s="546"/>
      <c r="E12" s="546"/>
      <c r="F12" s="546"/>
      <c r="G12" s="546"/>
      <c r="H12" s="546"/>
      <c r="I12" s="546"/>
      <c r="J12" s="546"/>
      <c r="K12" s="546"/>
      <c r="L12" s="546"/>
      <c r="M12" s="546"/>
      <c r="N12" s="546"/>
      <c r="O12" s="546"/>
      <c r="P12" s="546"/>
      <c r="Q12" s="546"/>
      <c r="R12" s="546"/>
      <c r="S12" s="546"/>
      <c r="T12" s="546"/>
      <c r="U12" s="546"/>
      <c r="V12" s="546"/>
    </row>
    <row r="13" spans="1:22">
      <c r="A13" s="554">
        <v>7</v>
      </c>
      <c r="B13" s="558" t="s">
        <v>698</v>
      </c>
      <c r="C13" s="546"/>
      <c r="D13" s="546"/>
      <c r="E13" s="546"/>
      <c r="F13" s="546"/>
      <c r="G13" s="546"/>
      <c r="H13" s="546"/>
      <c r="I13" s="546"/>
      <c r="J13" s="546"/>
      <c r="K13" s="546"/>
      <c r="L13" s="546"/>
      <c r="M13" s="546"/>
      <c r="N13" s="546"/>
      <c r="O13" s="546"/>
      <c r="P13" s="546"/>
      <c r="Q13" s="546"/>
      <c r="R13" s="546"/>
      <c r="S13" s="546"/>
      <c r="T13" s="546"/>
      <c r="U13" s="546"/>
      <c r="V13" s="546"/>
    </row>
    <row r="14" spans="1:22">
      <c r="A14" s="552">
        <v>7.1</v>
      </c>
      <c r="B14" s="551" t="s">
        <v>699</v>
      </c>
      <c r="C14" s="546"/>
      <c r="D14" s="546"/>
      <c r="E14" s="546"/>
      <c r="F14" s="546"/>
      <c r="G14" s="546"/>
      <c r="H14" s="546"/>
      <c r="I14" s="546"/>
      <c r="J14" s="546"/>
      <c r="K14" s="546"/>
      <c r="L14" s="546"/>
      <c r="M14" s="546"/>
      <c r="N14" s="546"/>
      <c r="O14" s="546"/>
      <c r="P14" s="546"/>
      <c r="Q14" s="546"/>
      <c r="R14" s="546"/>
      <c r="S14" s="546"/>
      <c r="T14" s="546"/>
      <c r="U14" s="546"/>
      <c r="V14" s="546"/>
    </row>
    <row r="15" spans="1:22">
      <c r="A15" s="552">
        <v>7.2</v>
      </c>
      <c r="B15" s="551" t="s">
        <v>700</v>
      </c>
      <c r="C15" s="546"/>
      <c r="D15" s="546"/>
      <c r="E15" s="546"/>
      <c r="F15" s="546"/>
      <c r="G15" s="546"/>
      <c r="H15" s="546"/>
      <c r="I15" s="546"/>
      <c r="J15" s="546"/>
      <c r="K15" s="546"/>
      <c r="L15" s="546"/>
      <c r="M15" s="546"/>
      <c r="N15" s="546"/>
      <c r="O15" s="546"/>
      <c r="P15" s="546"/>
      <c r="Q15" s="546"/>
      <c r="R15" s="546"/>
      <c r="S15" s="546"/>
      <c r="T15" s="546"/>
      <c r="U15" s="546"/>
      <c r="V15" s="546"/>
    </row>
    <row r="16" spans="1:22">
      <c r="A16" s="552">
        <v>7.3</v>
      </c>
      <c r="B16" s="551" t="s">
        <v>701</v>
      </c>
      <c r="C16" s="546"/>
      <c r="D16" s="546"/>
      <c r="E16" s="546"/>
      <c r="F16" s="546"/>
      <c r="G16" s="546"/>
      <c r="H16" s="546"/>
      <c r="I16" s="546"/>
      <c r="J16" s="546"/>
      <c r="K16" s="546"/>
      <c r="L16" s="546"/>
      <c r="M16" s="546"/>
      <c r="N16" s="546"/>
      <c r="O16" s="546"/>
      <c r="P16" s="546"/>
      <c r="Q16" s="546"/>
      <c r="R16" s="546"/>
      <c r="S16" s="546"/>
      <c r="T16" s="546"/>
      <c r="U16" s="546"/>
      <c r="V16" s="546"/>
    </row>
    <row r="17" spans="1:22">
      <c r="A17" s="554">
        <v>8</v>
      </c>
      <c r="B17" s="558" t="s">
        <v>702</v>
      </c>
      <c r="C17" s="546"/>
      <c r="D17" s="546"/>
      <c r="E17" s="546"/>
      <c r="F17" s="546"/>
      <c r="G17" s="546"/>
      <c r="H17" s="546"/>
      <c r="I17" s="546"/>
      <c r="J17" s="546"/>
      <c r="K17" s="546"/>
      <c r="L17" s="546"/>
      <c r="M17" s="546"/>
      <c r="N17" s="546"/>
      <c r="O17" s="546"/>
      <c r="P17" s="546"/>
      <c r="Q17" s="546"/>
      <c r="R17" s="546"/>
      <c r="S17" s="546"/>
      <c r="T17" s="546"/>
      <c r="U17" s="546"/>
      <c r="V17" s="546"/>
    </row>
    <row r="18" spans="1:22">
      <c r="A18" s="557">
        <v>9</v>
      </c>
      <c r="B18" s="556" t="s">
        <v>703</v>
      </c>
      <c r="C18" s="555"/>
      <c r="D18" s="555"/>
      <c r="E18" s="555"/>
      <c r="F18" s="555"/>
      <c r="G18" s="555"/>
      <c r="H18" s="555"/>
      <c r="I18" s="555"/>
      <c r="J18" s="555"/>
      <c r="K18" s="555"/>
      <c r="L18" s="555"/>
      <c r="M18" s="555"/>
      <c r="N18" s="555"/>
      <c r="O18" s="555"/>
      <c r="P18" s="555"/>
      <c r="Q18" s="555"/>
      <c r="R18" s="555"/>
      <c r="S18" s="555"/>
      <c r="T18" s="555"/>
      <c r="U18" s="555"/>
      <c r="V18" s="555"/>
    </row>
    <row r="19" spans="1:22">
      <c r="A19" s="554">
        <v>10</v>
      </c>
      <c r="B19" s="553" t="s">
        <v>719</v>
      </c>
      <c r="C19" s="546"/>
      <c r="D19" s="546"/>
      <c r="E19" s="546"/>
      <c r="F19" s="546"/>
      <c r="G19" s="546"/>
      <c r="H19" s="546"/>
      <c r="I19" s="546"/>
      <c r="J19" s="546"/>
      <c r="K19" s="546"/>
      <c r="L19" s="546"/>
      <c r="M19" s="546"/>
      <c r="N19" s="546"/>
      <c r="O19" s="546"/>
      <c r="P19" s="546"/>
      <c r="Q19" s="546"/>
      <c r="R19" s="546"/>
      <c r="S19" s="546"/>
      <c r="T19" s="546"/>
      <c r="U19" s="546"/>
      <c r="V19" s="546"/>
    </row>
    <row r="20" spans="1:22" ht="25.5">
      <c r="A20" s="552">
        <v>10.1</v>
      </c>
      <c r="B20" s="551" t="s">
        <v>722</v>
      </c>
      <c r="C20" s="546"/>
      <c r="D20" s="546"/>
      <c r="E20" s="546"/>
      <c r="F20" s="546"/>
      <c r="G20" s="546"/>
      <c r="H20" s="546"/>
      <c r="I20" s="546"/>
      <c r="J20" s="546"/>
      <c r="K20" s="546"/>
      <c r="L20" s="546"/>
      <c r="M20" s="546"/>
      <c r="N20" s="546"/>
      <c r="O20" s="546"/>
      <c r="P20" s="546"/>
      <c r="Q20" s="546"/>
      <c r="R20" s="546"/>
      <c r="S20" s="546"/>
      <c r="T20" s="546"/>
      <c r="U20" s="546"/>
      <c r="V20" s="54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43" zoomScaleNormal="100" workbookViewId="0">
      <selection activeCell="C13" sqref="C13"/>
    </sheetView>
  </sheetViews>
  <sheetFormatPr defaultRowHeight="15"/>
  <cols>
    <col min="1" max="1" width="8.75" style="449"/>
    <col min="2" max="2" width="69.25" style="422" customWidth="1"/>
    <col min="3" max="3" width="13.625" style="630" customWidth="1"/>
    <col min="4" max="4" width="14.5" style="630" customWidth="1"/>
    <col min="5" max="8" width="13.125" style="630" customWidth="1"/>
  </cols>
  <sheetData>
    <row r="1" spans="1:8" ht="15.75">
      <c r="A1" s="13" t="s">
        <v>110</v>
      </c>
      <c r="B1" s="299" t="str">
        <f>Info!C2</f>
        <v>სს "პეისერა ბანკი საქართველო"</v>
      </c>
      <c r="C1" s="628"/>
      <c r="D1" s="629"/>
      <c r="E1" s="629"/>
      <c r="F1" s="629"/>
      <c r="G1" s="629"/>
    </row>
    <row r="2" spans="1:8" ht="15.75">
      <c r="A2" s="13" t="s">
        <v>111</v>
      </c>
      <c r="B2" s="334">
        <f>'1. key ratios'!B2</f>
        <v>45016</v>
      </c>
      <c r="C2" s="628"/>
      <c r="D2" s="629"/>
      <c r="E2" s="629"/>
      <c r="F2" s="629"/>
      <c r="G2" s="629"/>
    </row>
    <row r="3" spans="1:8" ht="15.75">
      <c r="A3" s="13"/>
      <c r="B3" s="12"/>
      <c r="C3" s="628"/>
      <c r="D3" s="629"/>
      <c r="E3" s="629"/>
      <c r="F3" s="629"/>
      <c r="G3" s="629"/>
    </row>
    <row r="4" spans="1:8" ht="21" customHeight="1">
      <c r="A4" s="737" t="s">
        <v>27</v>
      </c>
      <c r="B4" s="738" t="s">
        <v>731</v>
      </c>
      <c r="C4" s="740" t="s">
        <v>116</v>
      </c>
      <c r="D4" s="740"/>
      <c r="E4" s="740"/>
      <c r="F4" s="740" t="s">
        <v>117</v>
      </c>
      <c r="G4" s="740"/>
      <c r="H4" s="741"/>
    </row>
    <row r="5" spans="1:8" ht="21" customHeight="1">
      <c r="A5" s="737"/>
      <c r="B5" s="739"/>
      <c r="C5" s="631" t="s">
        <v>28</v>
      </c>
      <c r="D5" s="631" t="s">
        <v>90</v>
      </c>
      <c r="E5" s="631" t="s">
        <v>68</v>
      </c>
      <c r="F5" s="631" t="s">
        <v>28</v>
      </c>
      <c r="G5" s="631" t="s">
        <v>90</v>
      </c>
      <c r="H5" s="631" t="s">
        <v>68</v>
      </c>
    </row>
    <row r="6" spans="1:8" ht="26.45" customHeight="1">
      <c r="A6" s="737"/>
      <c r="B6" s="397" t="s">
        <v>97</v>
      </c>
      <c r="C6" s="731"/>
      <c r="D6" s="732"/>
      <c r="E6" s="732"/>
      <c r="F6" s="732"/>
      <c r="G6" s="732"/>
      <c r="H6" s="733"/>
    </row>
    <row r="7" spans="1:8" ht="23.1" customHeight="1">
      <c r="A7" s="437">
        <v>1</v>
      </c>
      <c r="B7" s="398" t="s">
        <v>845</v>
      </c>
      <c r="C7" s="632">
        <f>SUM(C8:C10)</f>
        <v>2124065.48</v>
      </c>
      <c r="D7" s="632">
        <f>SUM(D8:D10)</f>
        <v>3854179.84</v>
      </c>
      <c r="E7" s="633">
        <f>C7+D7</f>
        <v>5978245.3200000003</v>
      </c>
      <c r="F7" s="627">
        <f>SUM(F8:F10)</f>
        <v>0</v>
      </c>
      <c r="G7" s="627">
        <f>SUM(G8:G10)</f>
        <v>0</v>
      </c>
      <c r="H7" s="633">
        <f>F7+G7</f>
        <v>0</v>
      </c>
    </row>
    <row r="8" spans="1:8">
      <c r="A8" s="437">
        <v>1.1000000000000001</v>
      </c>
      <c r="B8" s="399" t="s">
        <v>98</v>
      </c>
      <c r="C8" s="627">
        <v>0</v>
      </c>
      <c r="D8" s="627">
        <v>0</v>
      </c>
      <c r="E8" s="633">
        <f t="shared" ref="E8:E36" si="0">C8+D8</f>
        <v>0</v>
      </c>
      <c r="F8" s="627">
        <v>0</v>
      </c>
      <c r="G8" s="627">
        <v>0</v>
      </c>
      <c r="H8" s="633">
        <f t="shared" ref="H8:H36" si="1">F8+G8</f>
        <v>0</v>
      </c>
    </row>
    <row r="9" spans="1:8">
      <c r="A9" s="437">
        <v>1.2</v>
      </c>
      <c r="B9" s="399" t="s">
        <v>99</v>
      </c>
      <c r="C9" s="627">
        <v>0</v>
      </c>
      <c r="D9" s="627">
        <v>0</v>
      </c>
      <c r="E9" s="633">
        <f t="shared" si="0"/>
        <v>0</v>
      </c>
      <c r="F9" s="627">
        <v>0</v>
      </c>
      <c r="G9" s="627">
        <v>0</v>
      </c>
      <c r="H9" s="633">
        <f t="shared" si="1"/>
        <v>0</v>
      </c>
    </row>
    <row r="10" spans="1:8">
      <c r="A10" s="437">
        <v>1.3</v>
      </c>
      <c r="B10" s="399" t="s">
        <v>100</v>
      </c>
      <c r="C10" s="627">
        <v>2124065.48</v>
      </c>
      <c r="D10" s="627">
        <v>3854179.84</v>
      </c>
      <c r="E10" s="633">
        <f t="shared" si="0"/>
        <v>5978245.3200000003</v>
      </c>
      <c r="F10" s="627">
        <v>0</v>
      </c>
      <c r="G10" s="627">
        <v>0</v>
      </c>
      <c r="H10" s="633">
        <f t="shared" si="1"/>
        <v>0</v>
      </c>
    </row>
    <row r="11" spans="1:8">
      <c r="A11" s="437">
        <v>2</v>
      </c>
      <c r="B11" s="400" t="s">
        <v>732</v>
      </c>
      <c r="C11" s="632">
        <v>0</v>
      </c>
      <c r="D11" s="632">
        <v>0</v>
      </c>
      <c r="E11" s="633">
        <f t="shared" si="0"/>
        <v>0</v>
      </c>
      <c r="F11" s="632">
        <v>0</v>
      </c>
      <c r="G11" s="632">
        <v>0</v>
      </c>
      <c r="H11" s="633">
        <f t="shared" si="1"/>
        <v>0</v>
      </c>
    </row>
    <row r="12" spans="1:8">
      <c r="A12" s="437">
        <v>2.1</v>
      </c>
      <c r="B12" s="401" t="s">
        <v>733</v>
      </c>
      <c r="C12" s="627">
        <v>0</v>
      </c>
      <c r="D12" s="627">
        <v>0</v>
      </c>
      <c r="E12" s="633">
        <f t="shared" si="0"/>
        <v>0</v>
      </c>
      <c r="F12" s="627">
        <v>0</v>
      </c>
      <c r="G12" s="627">
        <v>0</v>
      </c>
      <c r="H12" s="633">
        <f t="shared" si="1"/>
        <v>0</v>
      </c>
    </row>
    <row r="13" spans="1:8" ht="26.45" customHeight="1">
      <c r="A13" s="437">
        <v>3</v>
      </c>
      <c r="B13" s="402" t="s">
        <v>734</v>
      </c>
      <c r="C13" s="627">
        <v>0</v>
      </c>
      <c r="D13" s="627">
        <v>0</v>
      </c>
      <c r="E13" s="633">
        <f t="shared" si="0"/>
        <v>0</v>
      </c>
      <c r="F13" s="627">
        <v>0</v>
      </c>
      <c r="G13" s="627">
        <v>0</v>
      </c>
      <c r="H13" s="633">
        <f t="shared" si="1"/>
        <v>0</v>
      </c>
    </row>
    <row r="14" spans="1:8" ht="26.45" customHeight="1">
      <c r="A14" s="437">
        <v>4</v>
      </c>
      <c r="B14" s="403" t="s">
        <v>735</v>
      </c>
      <c r="C14" s="627">
        <v>0</v>
      </c>
      <c r="D14" s="627">
        <v>0</v>
      </c>
      <c r="E14" s="633">
        <f t="shared" si="0"/>
        <v>0</v>
      </c>
      <c r="F14" s="627">
        <v>0</v>
      </c>
      <c r="G14" s="627">
        <v>0</v>
      </c>
      <c r="H14" s="633">
        <f t="shared" si="1"/>
        <v>0</v>
      </c>
    </row>
    <row r="15" spans="1:8" ht="24.6" customHeight="1">
      <c r="A15" s="437">
        <v>5</v>
      </c>
      <c r="B15" s="403" t="s">
        <v>736</v>
      </c>
      <c r="C15" s="634">
        <f>SUM(C16:C18)</f>
        <v>0</v>
      </c>
      <c r="D15" s="634">
        <f>SUM(D16:D18)</f>
        <v>0</v>
      </c>
      <c r="E15" s="635">
        <f t="shared" si="0"/>
        <v>0</v>
      </c>
      <c r="F15" s="636">
        <f>SUM(F16:F18)</f>
        <v>0</v>
      </c>
      <c r="G15" s="636">
        <f>SUM(G16:G18)</f>
        <v>0</v>
      </c>
      <c r="H15" s="635">
        <f t="shared" si="1"/>
        <v>0</v>
      </c>
    </row>
    <row r="16" spans="1:8">
      <c r="A16" s="437">
        <v>5.0999999999999996</v>
      </c>
      <c r="B16" s="404" t="s">
        <v>737</v>
      </c>
      <c r="C16" s="627">
        <v>0</v>
      </c>
      <c r="D16" s="627">
        <v>0</v>
      </c>
      <c r="E16" s="633">
        <f t="shared" si="0"/>
        <v>0</v>
      </c>
      <c r="F16" s="627">
        <v>0</v>
      </c>
      <c r="G16" s="627">
        <v>0</v>
      </c>
      <c r="H16" s="633">
        <f t="shared" si="1"/>
        <v>0</v>
      </c>
    </row>
    <row r="17" spans="1:8">
      <c r="A17" s="437">
        <v>5.2</v>
      </c>
      <c r="B17" s="404" t="s">
        <v>571</v>
      </c>
      <c r="C17" s="627">
        <v>0</v>
      </c>
      <c r="D17" s="627">
        <v>0</v>
      </c>
      <c r="E17" s="633">
        <f t="shared" si="0"/>
        <v>0</v>
      </c>
      <c r="F17" s="627">
        <v>0</v>
      </c>
      <c r="G17" s="627">
        <v>0</v>
      </c>
      <c r="H17" s="633">
        <f t="shared" si="1"/>
        <v>0</v>
      </c>
    </row>
    <row r="18" spans="1:8">
      <c r="A18" s="437">
        <v>5.3</v>
      </c>
      <c r="B18" s="404" t="s">
        <v>738</v>
      </c>
      <c r="C18" s="627">
        <v>0</v>
      </c>
      <c r="D18" s="627">
        <v>0</v>
      </c>
      <c r="E18" s="633">
        <f t="shared" si="0"/>
        <v>0</v>
      </c>
      <c r="F18" s="627">
        <v>0</v>
      </c>
      <c r="G18" s="627">
        <v>0</v>
      </c>
      <c r="H18" s="633">
        <f t="shared" si="1"/>
        <v>0</v>
      </c>
    </row>
    <row r="19" spans="1:8">
      <c r="A19" s="437">
        <v>6</v>
      </c>
      <c r="B19" s="402" t="s">
        <v>739</v>
      </c>
      <c r="C19" s="632">
        <f>SUM(C20:C21)</f>
        <v>0</v>
      </c>
      <c r="D19" s="632">
        <f>SUM(D20:D21)</f>
        <v>0</v>
      </c>
      <c r="E19" s="633">
        <f t="shared" si="0"/>
        <v>0</v>
      </c>
      <c r="F19" s="627">
        <f>SUM(F20:F21)</f>
        <v>0</v>
      </c>
      <c r="G19" s="627">
        <f>SUM(G20:G21)</f>
        <v>0</v>
      </c>
      <c r="H19" s="633">
        <f t="shared" si="1"/>
        <v>0</v>
      </c>
    </row>
    <row r="20" spans="1:8">
      <c r="A20" s="437">
        <v>6.1</v>
      </c>
      <c r="B20" s="404" t="s">
        <v>571</v>
      </c>
      <c r="C20" s="627">
        <v>0</v>
      </c>
      <c r="D20" s="627">
        <v>0</v>
      </c>
      <c r="E20" s="633">
        <f t="shared" si="0"/>
        <v>0</v>
      </c>
      <c r="F20" s="627">
        <v>0</v>
      </c>
      <c r="G20" s="627">
        <v>0</v>
      </c>
      <c r="H20" s="633">
        <f t="shared" si="1"/>
        <v>0</v>
      </c>
    </row>
    <row r="21" spans="1:8">
      <c r="A21" s="437">
        <v>6.2</v>
      </c>
      <c r="B21" s="404" t="s">
        <v>738</v>
      </c>
      <c r="C21" s="627">
        <v>0</v>
      </c>
      <c r="D21" s="627">
        <v>0</v>
      </c>
      <c r="E21" s="633">
        <f t="shared" si="0"/>
        <v>0</v>
      </c>
      <c r="F21" s="627">
        <v>0</v>
      </c>
      <c r="G21" s="627">
        <v>0</v>
      </c>
      <c r="H21" s="633">
        <f t="shared" si="1"/>
        <v>0</v>
      </c>
    </row>
    <row r="22" spans="1:8">
      <c r="A22" s="437">
        <v>7</v>
      </c>
      <c r="B22" s="405" t="s">
        <v>740</v>
      </c>
      <c r="C22" s="627">
        <v>0</v>
      </c>
      <c r="D22" s="627">
        <v>0</v>
      </c>
      <c r="E22" s="633">
        <f t="shared" si="0"/>
        <v>0</v>
      </c>
      <c r="F22" s="627">
        <v>0</v>
      </c>
      <c r="G22" s="627">
        <v>0</v>
      </c>
      <c r="H22" s="633">
        <f t="shared" si="1"/>
        <v>0</v>
      </c>
    </row>
    <row r="23" spans="1:8">
      <c r="A23" s="437">
        <v>8</v>
      </c>
      <c r="B23" s="406" t="s">
        <v>741</v>
      </c>
      <c r="C23" s="627">
        <v>0</v>
      </c>
      <c r="D23" s="627">
        <v>0</v>
      </c>
      <c r="E23" s="633">
        <f t="shared" si="0"/>
        <v>0</v>
      </c>
      <c r="F23" s="627">
        <v>0</v>
      </c>
      <c r="G23" s="627">
        <v>0</v>
      </c>
      <c r="H23" s="633">
        <f t="shared" si="1"/>
        <v>0</v>
      </c>
    </row>
    <row r="24" spans="1:8">
      <c r="A24" s="437">
        <v>9</v>
      </c>
      <c r="B24" s="403" t="s">
        <v>742</v>
      </c>
      <c r="C24" s="632">
        <f>SUM(C25:C26)</f>
        <v>531496.53</v>
      </c>
      <c r="D24" s="632">
        <f>SUM(D25:D26)</f>
        <v>0</v>
      </c>
      <c r="E24" s="633">
        <f t="shared" si="0"/>
        <v>531496.53</v>
      </c>
      <c r="F24" s="627">
        <f>SUM(F25:F26)</f>
        <v>0</v>
      </c>
      <c r="G24" s="627">
        <f>SUM(G25:G26)</f>
        <v>0</v>
      </c>
      <c r="H24" s="633">
        <f t="shared" si="1"/>
        <v>0</v>
      </c>
    </row>
    <row r="25" spans="1:8">
      <c r="A25" s="437">
        <v>9.1</v>
      </c>
      <c r="B25" s="407" t="s">
        <v>743</v>
      </c>
      <c r="C25" s="627">
        <v>531496.53</v>
      </c>
      <c r="D25" s="627">
        <v>0</v>
      </c>
      <c r="E25" s="633">
        <f t="shared" si="0"/>
        <v>531496.53</v>
      </c>
      <c r="F25" s="627">
        <v>0</v>
      </c>
      <c r="G25" s="627">
        <v>0</v>
      </c>
      <c r="H25" s="633">
        <f t="shared" si="1"/>
        <v>0</v>
      </c>
    </row>
    <row r="26" spans="1:8">
      <c r="A26" s="437">
        <v>9.1999999999999993</v>
      </c>
      <c r="B26" s="407" t="s">
        <v>744</v>
      </c>
      <c r="C26" s="627">
        <v>0</v>
      </c>
      <c r="D26" s="627">
        <v>0</v>
      </c>
      <c r="E26" s="633">
        <f t="shared" si="0"/>
        <v>0</v>
      </c>
      <c r="F26" s="627">
        <v>0</v>
      </c>
      <c r="G26" s="627">
        <v>0</v>
      </c>
      <c r="H26" s="633">
        <f t="shared" si="1"/>
        <v>0</v>
      </c>
    </row>
    <row r="27" spans="1:8">
      <c r="A27" s="437">
        <v>10</v>
      </c>
      <c r="B27" s="403" t="s">
        <v>38</v>
      </c>
      <c r="C27" s="627">
        <f>SUM(C28:C29)</f>
        <v>201292.66</v>
      </c>
      <c r="D27" s="627">
        <f>SUM(D28:D29)</f>
        <v>0</v>
      </c>
      <c r="E27" s="633">
        <f t="shared" si="0"/>
        <v>201292.66</v>
      </c>
      <c r="F27" s="627">
        <f>SUM(F28:F29)</f>
        <v>0</v>
      </c>
      <c r="G27" s="627">
        <f>SUM(G28:G29)</f>
        <v>0</v>
      </c>
      <c r="H27" s="633">
        <f t="shared" si="1"/>
        <v>0</v>
      </c>
    </row>
    <row r="28" spans="1:8">
      <c r="A28" s="437">
        <v>10.1</v>
      </c>
      <c r="B28" s="407" t="s">
        <v>745</v>
      </c>
      <c r="C28" s="627">
        <v>0</v>
      </c>
      <c r="D28" s="627">
        <v>0</v>
      </c>
      <c r="E28" s="633">
        <f t="shared" si="0"/>
        <v>0</v>
      </c>
      <c r="F28" s="627">
        <v>0</v>
      </c>
      <c r="G28" s="627">
        <v>0</v>
      </c>
      <c r="H28" s="633">
        <f t="shared" si="1"/>
        <v>0</v>
      </c>
    </row>
    <row r="29" spans="1:8">
      <c r="A29" s="437">
        <v>10.199999999999999</v>
      </c>
      <c r="B29" s="407" t="s">
        <v>746</v>
      </c>
      <c r="C29" s="627">
        <v>201292.66</v>
      </c>
      <c r="D29" s="627">
        <v>0</v>
      </c>
      <c r="E29" s="633">
        <f t="shared" si="0"/>
        <v>201292.66</v>
      </c>
      <c r="F29" s="627">
        <v>0</v>
      </c>
      <c r="G29" s="627">
        <v>0</v>
      </c>
      <c r="H29" s="633">
        <f t="shared" si="1"/>
        <v>0</v>
      </c>
    </row>
    <row r="30" spans="1:8">
      <c r="A30" s="437">
        <v>11</v>
      </c>
      <c r="B30" s="403" t="s">
        <v>747</v>
      </c>
      <c r="C30" s="632">
        <f>SUM(C31:C32)</f>
        <v>0</v>
      </c>
      <c r="D30" s="632">
        <f>SUM(D31:D32)</f>
        <v>0</v>
      </c>
      <c r="E30" s="633">
        <f t="shared" si="0"/>
        <v>0</v>
      </c>
      <c r="F30" s="627">
        <f>SUM(F31:F32)</f>
        <v>0</v>
      </c>
      <c r="G30" s="627">
        <f>SUM(G31:G32)</f>
        <v>0</v>
      </c>
      <c r="H30" s="633">
        <f t="shared" si="1"/>
        <v>0</v>
      </c>
    </row>
    <row r="31" spans="1:8">
      <c r="A31" s="437">
        <v>11.1</v>
      </c>
      <c r="B31" s="407" t="s">
        <v>748</v>
      </c>
      <c r="C31" s="627">
        <v>0</v>
      </c>
      <c r="D31" s="627">
        <v>0</v>
      </c>
      <c r="E31" s="633">
        <f t="shared" si="0"/>
        <v>0</v>
      </c>
      <c r="F31" s="627">
        <v>0</v>
      </c>
      <c r="G31" s="627">
        <v>0</v>
      </c>
      <c r="H31" s="633">
        <f t="shared" si="1"/>
        <v>0</v>
      </c>
    </row>
    <row r="32" spans="1:8">
      <c r="A32" s="437">
        <v>11.2</v>
      </c>
      <c r="B32" s="407" t="s">
        <v>749</v>
      </c>
      <c r="C32" s="627">
        <v>0</v>
      </c>
      <c r="D32" s="627">
        <v>0</v>
      </c>
      <c r="E32" s="633">
        <f t="shared" si="0"/>
        <v>0</v>
      </c>
      <c r="F32" s="627">
        <v>0</v>
      </c>
      <c r="G32" s="627">
        <v>0</v>
      </c>
      <c r="H32" s="633">
        <f t="shared" si="1"/>
        <v>0</v>
      </c>
    </row>
    <row r="33" spans="1:8">
      <c r="A33" s="437">
        <v>13</v>
      </c>
      <c r="B33" s="403" t="s">
        <v>101</v>
      </c>
      <c r="C33" s="627">
        <v>102526.7</v>
      </c>
      <c r="D33" s="627">
        <v>0</v>
      </c>
      <c r="E33" s="633">
        <f t="shared" si="0"/>
        <v>102526.7</v>
      </c>
      <c r="F33" s="627">
        <v>0</v>
      </c>
      <c r="G33" s="627">
        <v>0</v>
      </c>
      <c r="H33" s="633">
        <f t="shared" si="1"/>
        <v>0</v>
      </c>
    </row>
    <row r="34" spans="1:8">
      <c r="A34" s="437">
        <v>13.1</v>
      </c>
      <c r="B34" s="408" t="s">
        <v>750</v>
      </c>
      <c r="C34" s="627">
        <v>0</v>
      </c>
      <c r="D34" s="627">
        <v>0</v>
      </c>
      <c r="E34" s="633">
        <f t="shared" si="0"/>
        <v>0</v>
      </c>
      <c r="F34" s="627">
        <v>0</v>
      </c>
      <c r="G34" s="627">
        <v>0</v>
      </c>
      <c r="H34" s="633">
        <f t="shared" si="1"/>
        <v>0</v>
      </c>
    </row>
    <row r="35" spans="1:8">
      <c r="A35" s="437">
        <v>13.2</v>
      </c>
      <c r="B35" s="408" t="s">
        <v>751</v>
      </c>
      <c r="C35" s="627">
        <v>0</v>
      </c>
      <c r="D35" s="627">
        <v>0</v>
      </c>
      <c r="E35" s="633">
        <f t="shared" si="0"/>
        <v>0</v>
      </c>
      <c r="F35" s="627">
        <v>0</v>
      </c>
      <c r="G35" s="627">
        <v>0</v>
      </c>
      <c r="H35" s="633">
        <f t="shared" si="1"/>
        <v>0</v>
      </c>
    </row>
    <row r="36" spans="1:8">
      <c r="A36" s="437">
        <v>14</v>
      </c>
      <c r="B36" s="409" t="s">
        <v>752</v>
      </c>
      <c r="C36" s="627">
        <f>SUM(C7,C11,C13,C14,C15,C19,C22,C23,C24,C27,C30,C33)</f>
        <v>2959381.37</v>
      </c>
      <c r="D36" s="627">
        <f>SUM(D7,D11,D13,D14,D15,D19,D22,D23,D24,D27,D30,D33)</f>
        <v>3854179.84</v>
      </c>
      <c r="E36" s="633">
        <f t="shared" si="0"/>
        <v>6813561.21</v>
      </c>
      <c r="F36" s="627">
        <f>SUM(F7,F11,F13,F14,F15,F19,F22,F23,F24,F27,F30,F33)</f>
        <v>0</v>
      </c>
      <c r="G36" s="627">
        <f>SUM(G7,G11,G13,G14,G15,G19,G22,G23,G24,G27,G30,G33)</f>
        <v>0</v>
      </c>
      <c r="H36" s="633">
        <f t="shared" si="1"/>
        <v>0</v>
      </c>
    </row>
    <row r="37" spans="1:8" ht="22.5" customHeight="1">
      <c r="A37" s="437"/>
      <c r="B37" s="410" t="s">
        <v>106</v>
      </c>
      <c r="C37" s="731"/>
      <c r="D37" s="732"/>
      <c r="E37" s="732"/>
      <c r="F37" s="732"/>
      <c r="G37" s="732"/>
      <c r="H37" s="733"/>
    </row>
    <row r="38" spans="1:8">
      <c r="A38" s="437">
        <v>15</v>
      </c>
      <c r="B38" s="411" t="s">
        <v>753</v>
      </c>
      <c r="C38" s="627">
        <v>0</v>
      </c>
      <c r="D38" s="627">
        <v>0</v>
      </c>
      <c r="E38" s="638">
        <f>C38+D38</f>
        <v>0</v>
      </c>
      <c r="F38" s="627">
        <v>0</v>
      </c>
      <c r="G38" s="627">
        <v>0</v>
      </c>
      <c r="H38" s="638">
        <f>F38+G38</f>
        <v>0</v>
      </c>
    </row>
    <row r="39" spans="1:8">
      <c r="A39" s="437">
        <v>15.1</v>
      </c>
      <c r="B39" s="412" t="s">
        <v>733</v>
      </c>
      <c r="C39" s="627">
        <v>0</v>
      </c>
      <c r="D39" s="627">
        <v>0</v>
      </c>
      <c r="E39" s="638">
        <f t="shared" ref="E39:E53" si="2">C39+D39</f>
        <v>0</v>
      </c>
      <c r="F39" s="627">
        <v>0</v>
      </c>
      <c r="G39" s="627">
        <v>0</v>
      </c>
      <c r="H39" s="638">
        <f t="shared" ref="H39:H53" si="3">F39+G39</f>
        <v>0</v>
      </c>
    </row>
    <row r="40" spans="1:8" ht="24" customHeight="1">
      <c r="A40" s="437">
        <v>16</v>
      </c>
      <c r="B40" s="405" t="s">
        <v>754</v>
      </c>
      <c r="C40" s="627">
        <v>0</v>
      </c>
      <c r="D40" s="627">
        <v>0</v>
      </c>
      <c r="E40" s="638">
        <f t="shared" si="2"/>
        <v>0</v>
      </c>
      <c r="F40" s="627">
        <v>0</v>
      </c>
      <c r="G40" s="627">
        <v>0</v>
      </c>
      <c r="H40" s="638">
        <f t="shared" si="3"/>
        <v>0</v>
      </c>
    </row>
    <row r="41" spans="1:8">
      <c r="A41" s="437">
        <v>17</v>
      </c>
      <c r="B41" s="405" t="s">
        <v>755</v>
      </c>
      <c r="C41" s="639">
        <f>SUM(C42:C45)</f>
        <v>0</v>
      </c>
      <c r="D41" s="639">
        <f>SUM(D42:D45)</f>
        <v>0</v>
      </c>
      <c r="E41" s="638">
        <f t="shared" si="2"/>
        <v>0</v>
      </c>
      <c r="F41" s="639">
        <f>SUM(F42:F45)</f>
        <v>0</v>
      </c>
      <c r="G41" s="639">
        <f>SUM(G42:G45)</f>
        <v>0</v>
      </c>
      <c r="H41" s="638">
        <f t="shared" si="3"/>
        <v>0</v>
      </c>
    </row>
    <row r="42" spans="1:8">
      <c r="A42" s="437">
        <v>17.100000000000001</v>
      </c>
      <c r="B42" s="413" t="s">
        <v>756</v>
      </c>
      <c r="C42" s="627">
        <v>0</v>
      </c>
      <c r="D42" s="627">
        <v>0</v>
      </c>
      <c r="E42" s="638">
        <f t="shared" si="2"/>
        <v>0</v>
      </c>
      <c r="F42" s="627">
        <v>0</v>
      </c>
      <c r="G42" s="627">
        <v>0</v>
      </c>
      <c r="H42" s="638">
        <f t="shared" si="3"/>
        <v>0</v>
      </c>
    </row>
    <row r="43" spans="1:8">
      <c r="A43" s="437">
        <v>17.2</v>
      </c>
      <c r="B43" s="414" t="s">
        <v>102</v>
      </c>
      <c r="C43" s="627">
        <v>0</v>
      </c>
      <c r="D43" s="627">
        <v>0</v>
      </c>
      <c r="E43" s="638">
        <f t="shared" si="2"/>
        <v>0</v>
      </c>
      <c r="F43" s="627">
        <v>0</v>
      </c>
      <c r="G43" s="627">
        <v>0</v>
      </c>
      <c r="H43" s="638">
        <f t="shared" si="3"/>
        <v>0</v>
      </c>
    </row>
    <row r="44" spans="1:8">
      <c r="A44" s="437">
        <v>17.3</v>
      </c>
      <c r="B44" s="413" t="s">
        <v>757</v>
      </c>
      <c r="C44" s="627">
        <v>0</v>
      </c>
      <c r="D44" s="627">
        <v>0</v>
      </c>
      <c r="E44" s="638">
        <f t="shared" si="2"/>
        <v>0</v>
      </c>
      <c r="F44" s="627">
        <v>0</v>
      </c>
      <c r="G44" s="627">
        <v>0</v>
      </c>
      <c r="H44" s="638">
        <f t="shared" si="3"/>
        <v>0</v>
      </c>
    </row>
    <row r="45" spans="1:8">
      <c r="A45" s="437">
        <v>17.399999999999999</v>
      </c>
      <c r="B45" s="413" t="s">
        <v>758</v>
      </c>
      <c r="C45" s="627">
        <v>0</v>
      </c>
      <c r="D45" s="627">
        <v>0</v>
      </c>
      <c r="E45" s="638">
        <f t="shared" si="2"/>
        <v>0</v>
      </c>
      <c r="F45" s="627">
        <v>0</v>
      </c>
      <c r="G45" s="627">
        <v>0</v>
      </c>
      <c r="H45" s="638">
        <f t="shared" si="3"/>
        <v>0</v>
      </c>
    </row>
    <row r="46" spans="1:8">
      <c r="A46" s="437">
        <v>18</v>
      </c>
      <c r="B46" s="403" t="s">
        <v>759</v>
      </c>
      <c r="C46" s="627">
        <v>0</v>
      </c>
      <c r="D46" s="627">
        <v>0</v>
      </c>
      <c r="E46" s="638">
        <f t="shared" si="2"/>
        <v>0</v>
      </c>
      <c r="F46" s="627">
        <v>0</v>
      </c>
      <c r="G46" s="627">
        <v>0</v>
      </c>
      <c r="H46" s="638">
        <f t="shared" si="3"/>
        <v>0</v>
      </c>
    </row>
    <row r="47" spans="1:8">
      <c r="A47" s="437">
        <v>19</v>
      </c>
      <c r="B47" s="403" t="s">
        <v>760</v>
      </c>
      <c r="C47" s="639">
        <f>SUM(C48:C49)</f>
        <v>14665.59</v>
      </c>
      <c r="D47" s="639">
        <f>SUM(D48:D49)</f>
        <v>0</v>
      </c>
      <c r="E47" s="638">
        <f t="shared" si="2"/>
        <v>14665.59</v>
      </c>
      <c r="F47" s="639">
        <f>SUM(F48:F49)</f>
        <v>0</v>
      </c>
      <c r="G47" s="639">
        <f>SUM(G48:G49)</f>
        <v>0</v>
      </c>
      <c r="H47" s="638">
        <f t="shared" si="3"/>
        <v>0</v>
      </c>
    </row>
    <row r="48" spans="1:8">
      <c r="A48" s="437">
        <v>19.100000000000001</v>
      </c>
      <c r="B48" s="415" t="s">
        <v>761</v>
      </c>
      <c r="C48" s="627">
        <v>0</v>
      </c>
      <c r="D48" s="627">
        <v>0</v>
      </c>
      <c r="E48" s="638">
        <f t="shared" si="2"/>
        <v>0</v>
      </c>
      <c r="F48" s="627">
        <v>0</v>
      </c>
      <c r="G48" s="627">
        <v>0</v>
      </c>
      <c r="H48" s="638">
        <f t="shared" si="3"/>
        <v>0</v>
      </c>
    </row>
    <row r="49" spans="1:8">
      <c r="A49" s="437">
        <v>19.2</v>
      </c>
      <c r="B49" s="416" t="s">
        <v>762</v>
      </c>
      <c r="C49" s="627">
        <v>14665.59</v>
      </c>
      <c r="D49" s="627">
        <v>0</v>
      </c>
      <c r="E49" s="638">
        <f t="shared" si="2"/>
        <v>14665.59</v>
      </c>
      <c r="F49" s="627">
        <v>0</v>
      </c>
      <c r="G49" s="627">
        <v>0</v>
      </c>
      <c r="H49" s="638">
        <f t="shared" si="3"/>
        <v>0</v>
      </c>
    </row>
    <row r="50" spans="1:8">
      <c r="A50" s="437">
        <v>20</v>
      </c>
      <c r="B50" s="417" t="s">
        <v>103</v>
      </c>
      <c r="C50" s="627">
        <v>0</v>
      </c>
      <c r="D50" s="627">
        <v>3790887.2800000003</v>
      </c>
      <c r="E50" s="638">
        <f t="shared" si="2"/>
        <v>3790887.2800000003</v>
      </c>
      <c r="F50" s="627">
        <v>0</v>
      </c>
      <c r="G50" s="627">
        <v>0</v>
      </c>
      <c r="H50" s="638">
        <f t="shared" si="3"/>
        <v>0</v>
      </c>
    </row>
    <row r="51" spans="1:8">
      <c r="A51" s="437">
        <v>21</v>
      </c>
      <c r="B51" s="418" t="s">
        <v>91</v>
      </c>
      <c r="C51" s="627">
        <v>7483.4299999999994</v>
      </c>
      <c r="D51" s="627">
        <v>248489.5</v>
      </c>
      <c r="E51" s="638">
        <f t="shared" si="2"/>
        <v>255972.93</v>
      </c>
      <c r="F51" s="627">
        <v>0</v>
      </c>
      <c r="G51" s="627">
        <v>0</v>
      </c>
      <c r="H51" s="638">
        <f t="shared" si="3"/>
        <v>0</v>
      </c>
    </row>
    <row r="52" spans="1:8">
      <c r="A52" s="437">
        <v>21.1</v>
      </c>
      <c r="B52" s="414" t="s">
        <v>763</v>
      </c>
      <c r="C52" s="627">
        <v>0</v>
      </c>
      <c r="D52" s="627">
        <v>0</v>
      </c>
      <c r="E52" s="638">
        <f t="shared" si="2"/>
        <v>0</v>
      </c>
      <c r="F52" s="627">
        <v>0</v>
      </c>
      <c r="G52" s="627">
        <v>0</v>
      </c>
      <c r="H52" s="638">
        <f t="shared" si="3"/>
        <v>0</v>
      </c>
    </row>
    <row r="53" spans="1:8">
      <c r="A53" s="437">
        <v>22</v>
      </c>
      <c r="B53" s="417" t="s">
        <v>764</v>
      </c>
      <c r="C53" s="637">
        <f>SUM(C38,C40,C41,C46,C47,C50,C51)</f>
        <v>22149.02</v>
      </c>
      <c r="D53" s="637">
        <f>SUM(D38,D40,D41,D46,D47,D50,D51)</f>
        <v>4039376.7800000003</v>
      </c>
      <c r="E53" s="638">
        <f t="shared" si="2"/>
        <v>4061525.8000000003</v>
      </c>
      <c r="F53" s="639">
        <f>SUM(F38,F40,F41,F46,F47,F50,F51)</f>
        <v>0</v>
      </c>
      <c r="G53" s="639">
        <f>SUM(G38,G40,G41,G46,G47,G50,G51)</f>
        <v>0</v>
      </c>
      <c r="H53" s="638">
        <f t="shared" si="3"/>
        <v>0</v>
      </c>
    </row>
    <row r="54" spans="1:8" ht="24" customHeight="1">
      <c r="A54" s="437"/>
      <c r="B54" s="419" t="s">
        <v>765</v>
      </c>
      <c r="C54" s="734"/>
      <c r="D54" s="735"/>
      <c r="E54" s="735"/>
      <c r="F54" s="735"/>
      <c r="G54" s="735"/>
      <c r="H54" s="736"/>
    </row>
    <row r="55" spans="1:8">
      <c r="A55" s="437">
        <v>23</v>
      </c>
      <c r="B55" s="417" t="s">
        <v>107</v>
      </c>
      <c r="C55" s="627">
        <v>3250005</v>
      </c>
      <c r="D55" s="627">
        <v>0</v>
      </c>
      <c r="E55" s="638">
        <f>C55+D55</f>
        <v>3250005</v>
      </c>
      <c r="F55" s="627">
        <v>0</v>
      </c>
      <c r="G55" s="627">
        <v>0</v>
      </c>
      <c r="H55" s="638">
        <f>F55+G55</f>
        <v>0</v>
      </c>
    </row>
    <row r="56" spans="1:8">
      <c r="A56" s="437">
        <v>24</v>
      </c>
      <c r="B56" s="417" t="s">
        <v>766</v>
      </c>
      <c r="C56" s="627">
        <v>0</v>
      </c>
      <c r="D56" s="627">
        <v>0</v>
      </c>
      <c r="E56" s="638">
        <f t="shared" ref="E56:E69" si="4">C56+D56</f>
        <v>0</v>
      </c>
      <c r="F56" s="627">
        <v>0</v>
      </c>
      <c r="G56" s="627">
        <v>0</v>
      </c>
      <c r="H56" s="638">
        <f t="shared" ref="H56:H69" si="5">F56+G56</f>
        <v>0</v>
      </c>
    </row>
    <row r="57" spans="1:8">
      <c r="A57" s="437">
        <v>25</v>
      </c>
      <c r="B57" s="417" t="s">
        <v>104</v>
      </c>
      <c r="C57" s="627">
        <v>0</v>
      </c>
      <c r="D57" s="627">
        <v>0</v>
      </c>
      <c r="E57" s="638">
        <f t="shared" si="4"/>
        <v>0</v>
      </c>
      <c r="F57" s="627">
        <v>0</v>
      </c>
      <c r="G57" s="627">
        <v>0</v>
      </c>
      <c r="H57" s="638">
        <f t="shared" si="5"/>
        <v>0</v>
      </c>
    </row>
    <row r="58" spans="1:8">
      <c r="A58" s="437">
        <v>26</v>
      </c>
      <c r="B58" s="403" t="s">
        <v>767</v>
      </c>
      <c r="C58" s="627">
        <v>0</v>
      </c>
      <c r="D58" s="627">
        <v>0</v>
      </c>
      <c r="E58" s="638">
        <f t="shared" si="4"/>
        <v>0</v>
      </c>
      <c r="F58" s="627">
        <v>0</v>
      </c>
      <c r="G58" s="627">
        <v>0</v>
      </c>
      <c r="H58" s="638">
        <f t="shared" si="5"/>
        <v>0</v>
      </c>
    </row>
    <row r="59" spans="1:8">
      <c r="A59" s="437">
        <v>27</v>
      </c>
      <c r="B59" s="403" t="s">
        <v>768</v>
      </c>
      <c r="C59" s="639">
        <f>SUM(C60:C61)</f>
        <v>0</v>
      </c>
      <c r="D59" s="639">
        <f>SUM(D60:D61)</f>
        <v>0</v>
      </c>
      <c r="E59" s="638">
        <f t="shared" si="4"/>
        <v>0</v>
      </c>
      <c r="F59" s="639">
        <f>SUM(F60:F61)</f>
        <v>0</v>
      </c>
      <c r="G59" s="639">
        <f>SUM(G60:G61)</f>
        <v>0</v>
      </c>
      <c r="H59" s="638">
        <f t="shared" si="5"/>
        <v>0</v>
      </c>
    </row>
    <row r="60" spans="1:8">
      <c r="A60" s="437">
        <v>27.1</v>
      </c>
      <c r="B60" s="415" t="s">
        <v>769</v>
      </c>
      <c r="C60" s="627">
        <v>0</v>
      </c>
      <c r="D60" s="627">
        <v>0</v>
      </c>
      <c r="E60" s="638">
        <f t="shared" si="4"/>
        <v>0</v>
      </c>
      <c r="F60" s="627">
        <v>0</v>
      </c>
      <c r="G60" s="627">
        <v>0</v>
      </c>
      <c r="H60" s="638">
        <f t="shared" si="5"/>
        <v>0</v>
      </c>
    </row>
    <row r="61" spans="1:8">
      <c r="A61" s="437">
        <v>27.2</v>
      </c>
      <c r="B61" s="413" t="s">
        <v>770</v>
      </c>
      <c r="C61" s="627">
        <v>0</v>
      </c>
      <c r="D61" s="627">
        <v>0</v>
      </c>
      <c r="E61" s="638">
        <f t="shared" si="4"/>
        <v>0</v>
      </c>
      <c r="F61" s="627">
        <v>0</v>
      </c>
      <c r="G61" s="627">
        <v>0</v>
      </c>
      <c r="H61" s="638">
        <f t="shared" si="5"/>
        <v>0</v>
      </c>
    </row>
    <row r="62" spans="1:8">
      <c r="A62" s="437">
        <v>28</v>
      </c>
      <c r="B62" s="418" t="s">
        <v>771</v>
      </c>
      <c r="C62" s="627">
        <v>0</v>
      </c>
      <c r="D62" s="627">
        <v>0</v>
      </c>
      <c r="E62" s="638">
        <f t="shared" si="4"/>
        <v>0</v>
      </c>
      <c r="F62" s="627">
        <v>0</v>
      </c>
      <c r="G62" s="627">
        <v>0</v>
      </c>
      <c r="H62" s="638">
        <f t="shared" si="5"/>
        <v>0</v>
      </c>
    </row>
    <row r="63" spans="1:8">
      <c r="A63" s="437">
        <v>29</v>
      </c>
      <c r="B63" s="403" t="s">
        <v>772</v>
      </c>
      <c r="C63" s="637">
        <f>SUM(C64:C66)</f>
        <v>0</v>
      </c>
      <c r="D63" s="637">
        <f>SUM(D64:D66)</f>
        <v>0</v>
      </c>
      <c r="E63" s="638">
        <f t="shared" si="4"/>
        <v>0</v>
      </c>
      <c r="F63" s="627">
        <v>0</v>
      </c>
      <c r="G63" s="627">
        <v>0</v>
      </c>
      <c r="H63" s="638">
        <f t="shared" si="5"/>
        <v>0</v>
      </c>
    </row>
    <row r="64" spans="1:8">
      <c r="A64" s="437">
        <v>29.1</v>
      </c>
      <c r="B64" s="404" t="s">
        <v>773</v>
      </c>
      <c r="C64" s="627">
        <v>0</v>
      </c>
      <c r="D64" s="627">
        <v>0</v>
      </c>
      <c r="E64" s="638">
        <f t="shared" si="4"/>
        <v>0</v>
      </c>
      <c r="F64" s="627">
        <v>0</v>
      </c>
      <c r="G64" s="627">
        <v>0</v>
      </c>
      <c r="H64" s="638">
        <f t="shared" si="5"/>
        <v>0</v>
      </c>
    </row>
    <row r="65" spans="1:8" ht="24.95" customHeight="1">
      <c r="A65" s="437">
        <v>29.2</v>
      </c>
      <c r="B65" s="415" t="s">
        <v>774</v>
      </c>
      <c r="C65" s="627">
        <v>0</v>
      </c>
      <c r="D65" s="627">
        <v>0</v>
      </c>
      <c r="E65" s="638">
        <f t="shared" si="4"/>
        <v>0</v>
      </c>
      <c r="F65" s="627">
        <v>0</v>
      </c>
      <c r="G65" s="627">
        <v>0</v>
      </c>
      <c r="H65" s="638">
        <f t="shared" si="5"/>
        <v>0</v>
      </c>
    </row>
    <row r="66" spans="1:8" ht="22.5" customHeight="1">
      <c r="A66" s="437">
        <v>29.3</v>
      </c>
      <c r="B66" s="407" t="s">
        <v>775</v>
      </c>
      <c r="C66" s="627">
        <v>0</v>
      </c>
      <c r="D66" s="627">
        <v>0</v>
      </c>
      <c r="E66" s="638">
        <f t="shared" si="4"/>
        <v>0</v>
      </c>
      <c r="F66" s="627">
        <v>0</v>
      </c>
      <c r="G66" s="627">
        <v>0</v>
      </c>
      <c r="H66" s="638">
        <f t="shared" si="5"/>
        <v>0</v>
      </c>
    </row>
    <row r="67" spans="1:8">
      <c r="A67" s="437">
        <v>30</v>
      </c>
      <c r="B67" s="403" t="s">
        <v>105</v>
      </c>
      <c r="C67" s="627">
        <v>-495468.65</v>
      </c>
      <c r="D67" s="627">
        <v>-2500.9499999999998</v>
      </c>
      <c r="E67" s="638">
        <f t="shared" si="4"/>
        <v>-497969.60000000003</v>
      </c>
      <c r="F67" s="637"/>
      <c r="G67" s="637"/>
      <c r="H67" s="638">
        <f t="shared" si="5"/>
        <v>0</v>
      </c>
    </row>
    <row r="68" spans="1:8">
      <c r="A68" s="437">
        <v>31</v>
      </c>
      <c r="B68" s="420" t="s">
        <v>776</v>
      </c>
      <c r="C68" s="637">
        <f>SUM(C55,C56,C57,C58,C59,C62,C63,C67)</f>
        <v>2754536.35</v>
      </c>
      <c r="D68" s="637">
        <f>SUM(D55,D56,D57,D58,D59,D62,D63,D67)</f>
        <v>-2500.9499999999998</v>
      </c>
      <c r="E68" s="638">
        <f t="shared" si="4"/>
        <v>2752035.4</v>
      </c>
      <c r="F68" s="637">
        <f>SUM(F55,F56,F57,F58,F59,F62,F63,F67)</f>
        <v>0</v>
      </c>
      <c r="G68" s="637">
        <f>SUM(G55,G56,G57,G58,G59,G62,G63,G67)</f>
        <v>0</v>
      </c>
      <c r="H68" s="638">
        <f t="shared" si="5"/>
        <v>0</v>
      </c>
    </row>
    <row r="69" spans="1:8">
      <c r="A69" s="437">
        <v>32</v>
      </c>
      <c r="B69" s="421" t="s">
        <v>777</v>
      </c>
      <c r="C69" s="637">
        <f>SUM(C53,C68)</f>
        <v>2776685.37</v>
      </c>
      <c r="D69" s="637">
        <f>SUM(D53,D68)</f>
        <v>4036875.83</v>
      </c>
      <c r="E69" s="638">
        <f t="shared" si="4"/>
        <v>6813561.2000000002</v>
      </c>
      <c r="F69" s="637">
        <f>SUM(F68)</f>
        <v>0</v>
      </c>
      <c r="G69" s="637">
        <f>SUM(G68)</f>
        <v>0</v>
      </c>
      <c r="H69" s="638">
        <f t="shared" si="5"/>
        <v>0</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1319E-AB32-490C-9844-F287B09535AD}">
  <dimension ref="A1:F235"/>
  <sheetViews>
    <sheetView zoomScale="80" zoomScaleNormal="80" workbookViewId="0">
      <selection sqref="A1:C1"/>
    </sheetView>
  </sheetViews>
  <sheetFormatPr defaultColWidth="43.5" defaultRowHeight="11.25"/>
  <cols>
    <col min="1" max="1" width="8" style="149" customWidth="1"/>
    <col min="2" max="2" width="66.125" style="150" customWidth="1"/>
    <col min="3" max="3" width="131.5" style="151" customWidth="1"/>
    <col min="4" max="5" width="10.25" style="142" customWidth="1"/>
    <col min="6" max="6" width="67.625" style="142" customWidth="1"/>
    <col min="7" max="16384" width="43.5" style="142"/>
  </cols>
  <sheetData>
    <row r="1" spans="1:3" ht="12.75" thickTop="1" thickBot="1">
      <c r="A1" s="853" t="s">
        <v>189</v>
      </c>
      <c r="B1" s="854"/>
      <c r="C1" s="855"/>
    </row>
    <row r="2" spans="1:3" ht="26.25" customHeight="1">
      <c r="A2" s="567"/>
      <c r="B2" s="856" t="s">
        <v>190</v>
      </c>
      <c r="C2" s="856"/>
    </row>
    <row r="3" spans="1:3" s="147" customFormat="1" ht="11.25" customHeight="1">
      <c r="A3" s="146"/>
      <c r="B3" s="856" t="s">
        <v>265</v>
      </c>
      <c r="C3" s="856"/>
    </row>
    <row r="4" spans="1:3" ht="12" customHeight="1" thickBot="1">
      <c r="A4" s="857" t="s">
        <v>269</v>
      </c>
      <c r="B4" s="858"/>
      <c r="C4" s="859"/>
    </row>
    <row r="5" spans="1:3" ht="12" thickTop="1">
      <c r="A5" s="143"/>
      <c r="B5" s="860" t="s">
        <v>191</v>
      </c>
      <c r="C5" s="861"/>
    </row>
    <row r="6" spans="1:3">
      <c r="A6" s="567"/>
      <c r="B6" s="847" t="s">
        <v>266</v>
      </c>
      <c r="C6" s="848"/>
    </row>
    <row r="7" spans="1:3">
      <c r="A7" s="567"/>
      <c r="B7" s="847" t="s">
        <v>192</v>
      </c>
      <c r="C7" s="848"/>
    </row>
    <row r="8" spans="1:3">
      <c r="A8" s="567"/>
      <c r="B8" s="847" t="s">
        <v>267</v>
      </c>
      <c r="C8" s="848"/>
    </row>
    <row r="9" spans="1:3">
      <c r="A9" s="567"/>
      <c r="B9" s="849" t="s">
        <v>268</v>
      </c>
      <c r="C9" s="850"/>
    </row>
    <row r="10" spans="1:3">
      <c r="A10" s="567"/>
      <c r="B10" s="851" t="s">
        <v>193</v>
      </c>
      <c r="C10" s="852" t="s">
        <v>193</v>
      </c>
    </row>
    <row r="11" spans="1:3">
      <c r="A11" s="567"/>
      <c r="B11" s="851" t="s">
        <v>194</v>
      </c>
      <c r="C11" s="852" t="s">
        <v>194</v>
      </c>
    </row>
    <row r="12" spans="1:3">
      <c r="A12" s="567"/>
      <c r="B12" s="851" t="s">
        <v>195</v>
      </c>
      <c r="C12" s="852" t="s">
        <v>195</v>
      </c>
    </row>
    <row r="13" spans="1:3">
      <c r="A13" s="567"/>
      <c r="B13" s="851" t="s">
        <v>196</v>
      </c>
      <c r="C13" s="852" t="s">
        <v>196</v>
      </c>
    </row>
    <row r="14" spans="1:3">
      <c r="A14" s="567"/>
      <c r="B14" s="851" t="s">
        <v>197</v>
      </c>
      <c r="C14" s="852" t="s">
        <v>197</v>
      </c>
    </row>
    <row r="15" spans="1:3" ht="21.75" customHeight="1">
      <c r="A15" s="567"/>
      <c r="B15" s="851" t="s">
        <v>198</v>
      </c>
      <c r="C15" s="852" t="s">
        <v>198</v>
      </c>
    </row>
    <row r="16" spans="1:3">
      <c r="A16" s="567"/>
      <c r="B16" s="851" t="s">
        <v>199</v>
      </c>
      <c r="C16" s="852" t="s">
        <v>200</v>
      </c>
    </row>
    <row r="17" spans="1:6">
      <c r="A17" s="567"/>
      <c r="B17" s="851" t="s">
        <v>201</v>
      </c>
      <c r="C17" s="852" t="s">
        <v>202</v>
      </c>
    </row>
    <row r="18" spans="1:6">
      <c r="A18" s="567"/>
      <c r="B18" s="851" t="s">
        <v>203</v>
      </c>
      <c r="C18" s="852" t="s">
        <v>204</v>
      </c>
    </row>
    <row r="19" spans="1:6">
      <c r="A19" s="567"/>
      <c r="B19" s="851" t="s">
        <v>205</v>
      </c>
      <c r="C19" s="852" t="s">
        <v>205</v>
      </c>
    </row>
    <row r="20" spans="1:6">
      <c r="A20" s="567"/>
      <c r="B20" s="862" t="s">
        <v>975</v>
      </c>
      <c r="C20" s="863" t="s">
        <v>206</v>
      </c>
    </row>
    <row r="21" spans="1:6">
      <c r="A21" s="567"/>
      <c r="B21" s="851" t="s">
        <v>976</v>
      </c>
      <c r="C21" s="852" t="s">
        <v>207</v>
      </c>
    </row>
    <row r="22" spans="1:6" ht="23.25" customHeight="1">
      <c r="A22" s="567"/>
      <c r="B22" s="851" t="s">
        <v>208</v>
      </c>
      <c r="C22" s="852" t="s">
        <v>209</v>
      </c>
      <c r="F22" s="721"/>
    </row>
    <row r="23" spans="1:6">
      <c r="A23" s="567"/>
      <c r="B23" s="851" t="s">
        <v>210</v>
      </c>
      <c r="C23" s="852" t="s">
        <v>210</v>
      </c>
    </row>
    <row r="24" spans="1:6">
      <c r="A24" s="567"/>
      <c r="B24" s="851" t="s">
        <v>211</v>
      </c>
      <c r="C24" s="852" t="s">
        <v>212</v>
      </c>
    </row>
    <row r="25" spans="1:6" ht="12" thickBot="1">
      <c r="A25" s="144"/>
      <c r="B25" s="868" t="s">
        <v>213</v>
      </c>
      <c r="C25" s="869"/>
    </row>
    <row r="26" spans="1:6" ht="12.75" thickTop="1" thickBot="1">
      <c r="A26" s="857" t="s">
        <v>846</v>
      </c>
      <c r="B26" s="858"/>
      <c r="C26" s="859"/>
    </row>
    <row r="27" spans="1:6" ht="12.75" thickTop="1" thickBot="1">
      <c r="A27" s="145"/>
      <c r="B27" s="870" t="s">
        <v>847</v>
      </c>
      <c r="C27" s="871"/>
    </row>
    <row r="28" spans="1:6" ht="12.75" thickTop="1" thickBot="1">
      <c r="A28" s="857" t="s">
        <v>270</v>
      </c>
      <c r="B28" s="858"/>
      <c r="C28" s="859"/>
    </row>
    <row r="29" spans="1:6" ht="12" thickTop="1">
      <c r="A29" s="143"/>
      <c r="B29" s="872" t="s">
        <v>850</v>
      </c>
      <c r="C29" s="873" t="s">
        <v>214</v>
      </c>
    </row>
    <row r="30" spans="1:6">
      <c r="A30" s="567"/>
      <c r="B30" s="864" t="s">
        <v>218</v>
      </c>
      <c r="C30" s="865" t="s">
        <v>215</v>
      </c>
    </row>
    <row r="31" spans="1:6">
      <c r="A31" s="567"/>
      <c r="B31" s="864" t="s">
        <v>848</v>
      </c>
      <c r="C31" s="865" t="s">
        <v>216</v>
      </c>
    </row>
    <row r="32" spans="1:6">
      <c r="A32" s="567"/>
      <c r="B32" s="864" t="s">
        <v>849</v>
      </c>
      <c r="C32" s="865" t="s">
        <v>217</v>
      </c>
    </row>
    <row r="33" spans="1:3">
      <c r="A33" s="567"/>
      <c r="B33" s="864" t="s">
        <v>221</v>
      </c>
      <c r="C33" s="865" t="s">
        <v>222</v>
      </c>
    </row>
    <row r="34" spans="1:3">
      <c r="A34" s="567"/>
      <c r="B34" s="864" t="s">
        <v>851</v>
      </c>
      <c r="C34" s="865" t="s">
        <v>219</v>
      </c>
    </row>
    <row r="35" spans="1:3">
      <c r="A35" s="567"/>
      <c r="B35" s="864" t="s">
        <v>852</v>
      </c>
      <c r="C35" s="865" t="s">
        <v>220</v>
      </c>
    </row>
    <row r="36" spans="1:3">
      <c r="A36" s="567"/>
      <c r="B36" s="866" t="s">
        <v>853</v>
      </c>
      <c r="C36" s="867"/>
    </row>
    <row r="37" spans="1:3" ht="24.75" customHeight="1">
      <c r="A37" s="567"/>
      <c r="B37" s="864" t="s">
        <v>854</v>
      </c>
      <c r="C37" s="865" t="s">
        <v>223</v>
      </c>
    </row>
    <row r="38" spans="1:3" ht="23.25" customHeight="1">
      <c r="A38" s="567"/>
      <c r="B38" s="864" t="s">
        <v>855</v>
      </c>
      <c r="C38" s="865" t="s">
        <v>224</v>
      </c>
    </row>
    <row r="39" spans="1:3" ht="23.25" customHeight="1">
      <c r="A39" s="567"/>
      <c r="B39" s="866" t="s">
        <v>856</v>
      </c>
      <c r="C39" s="876"/>
    </row>
    <row r="40" spans="1:3" ht="12" customHeight="1">
      <c r="A40" s="567"/>
      <c r="B40" s="864" t="s">
        <v>857</v>
      </c>
      <c r="C40" s="865"/>
    </row>
    <row r="41" spans="1:3" ht="12" thickBot="1">
      <c r="A41" s="857" t="s">
        <v>271</v>
      </c>
      <c r="B41" s="858"/>
      <c r="C41" s="859"/>
    </row>
    <row r="42" spans="1:3" ht="12" thickTop="1">
      <c r="A42" s="143"/>
      <c r="B42" s="860" t="s">
        <v>301</v>
      </c>
      <c r="C42" s="861" t="s">
        <v>225</v>
      </c>
    </row>
    <row r="43" spans="1:3">
      <c r="A43" s="567"/>
      <c r="B43" s="847" t="s">
        <v>300</v>
      </c>
      <c r="C43" s="848"/>
    </row>
    <row r="44" spans="1:3" ht="23.25" customHeight="1" thickBot="1">
      <c r="A44" s="144"/>
      <c r="B44" s="874" t="s">
        <v>226</v>
      </c>
      <c r="C44" s="875" t="s">
        <v>227</v>
      </c>
    </row>
    <row r="45" spans="1:3" ht="11.25" customHeight="1" thickTop="1" thickBot="1">
      <c r="A45" s="857" t="s">
        <v>272</v>
      </c>
      <c r="B45" s="858"/>
      <c r="C45" s="859"/>
    </row>
    <row r="46" spans="1:3" ht="26.25" customHeight="1" thickTop="1">
      <c r="A46" s="567"/>
      <c r="B46" s="847" t="s">
        <v>273</v>
      </c>
      <c r="C46" s="848"/>
    </row>
    <row r="47" spans="1:3" ht="12" thickBot="1">
      <c r="A47" s="857" t="s">
        <v>274</v>
      </c>
      <c r="B47" s="858"/>
      <c r="C47" s="859"/>
    </row>
    <row r="48" spans="1:3" ht="12" thickTop="1">
      <c r="A48" s="143"/>
      <c r="B48" s="860" t="s">
        <v>228</v>
      </c>
      <c r="C48" s="861" t="s">
        <v>228</v>
      </c>
    </row>
    <row r="49" spans="1:3" ht="11.25" customHeight="1">
      <c r="A49" s="567"/>
      <c r="B49" s="847" t="s">
        <v>229</v>
      </c>
      <c r="C49" s="848" t="s">
        <v>229</v>
      </c>
    </row>
    <row r="50" spans="1:3">
      <c r="A50" s="567"/>
      <c r="B50" s="847" t="s">
        <v>230</v>
      </c>
      <c r="C50" s="848" t="s">
        <v>230</v>
      </c>
    </row>
    <row r="51" spans="1:3" ht="11.25" customHeight="1">
      <c r="A51" s="567"/>
      <c r="B51" s="847" t="s">
        <v>859</v>
      </c>
      <c r="C51" s="848" t="s">
        <v>231</v>
      </c>
    </row>
    <row r="52" spans="1:3" ht="33.6" customHeight="1">
      <c r="A52" s="567"/>
      <c r="B52" s="847" t="s">
        <v>232</v>
      </c>
      <c r="C52" s="848" t="s">
        <v>232</v>
      </c>
    </row>
    <row r="53" spans="1:3" ht="11.25" customHeight="1">
      <c r="A53" s="567"/>
      <c r="B53" s="847" t="s">
        <v>321</v>
      </c>
      <c r="C53" s="848" t="s">
        <v>233</v>
      </c>
    </row>
    <row r="54" spans="1:3" ht="11.25" customHeight="1" thickBot="1">
      <c r="A54" s="857" t="s">
        <v>275</v>
      </c>
      <c r="B54" s="858"/>
      <c r="C54" s="859"/>
    </row>
    <row r="55" spans="1:3" ht="12" thickTop="1">
      <c r="A55" s="143"/>
      <c r="B55" s="860" t="s">
        <v>228</v>
      </c>
      <c r="C55" s="861" t="s">
        <v>228</v>
      </c>
    </row>
    <row r="56" spans="1:3">
      <c r="A56" s="567"/>
      <c r="B56" s="847" t="s">
        <v>234</v>
      </c>
      <c r="C56" s="848" t="s">
        <v>234</v>
      </c>
    </row>
    <row r="57" spans="1:3">
      <c r="A57" s="567"/>
      <c r="B57" s="847" t="s">
        <v>278</v>
      </c>
      <c r="C57" s="848" t="s">
        <v>235</v>
      </c>
    </row>
    <row r="58" spans="1:3">
      <c r="A58" s="567"/>
      <c r="B58" s="847" t="s">
        <v>236</v>
      </c>
      <c r="C58" s="848" t="s">
        <v>236</v>
      </c>
    </row>
    <row r="59" spans="1:3">
      <c r="A59" s="567"/>
      <c r="B59" s="847" t="s">
        <v>237</v>
      </c>
      <c r="C59" s="848" t="s">
        <v>237</v>
      </c>
    </row>
    <row r="60" spans="1:3">
      <c r="A60" s="567"/>
      <c r="B60" s="847" t="s">
        <v>238</v>
      </c>
      <c r="C60" s="848" t="s">
        <v>238</v>
      </c>
    </row>
    <row r="61" spans="1:3">
      <c r="A61" s="567"/>
      <c r="B61" s="847" t="s">
        <v>279</v>
      </c>
      <c r="C61" s="848" t="s">
        <v>239</v>
      </c>
    </row>
    <row r="62" spans="1:3">
      <c r="A62" s="567"/>
      <c r="B62" s="847" t="s">
        <v>240</v>
      </c>
      <c r="C62" s="848" t="s">
        <v>240</v>
      </c>
    </row>
    <row r="63" spans="1:3" ht="12" thickBot="1">
      <c r="A63" s="144"/>
      <c r="B63" s="874" t="s">
        <v>241</v>
      </c>
      <c r="C63" s="875" t="s">
        <v>241</v>
      </c>
    </row>
    <row r="64" spans="1:3" ht="11.25" customHeight="1" thickTop="1">
      <c r="A64" s="879" t="s">
        <v>276</v>
      </c>
      <c r="B64" s="880"/>
      <c r="C64" s="881"/>
    </row>
    <row r="65" spans="1:3" ht="12" thickBot="1">
      <c r="A65" s="144"/>
      <c r="B65" s="874" t="s">
        <v>242</v>
      </c>
      <c r="C65" s="875" t="s">
        <v>242</v>
      </c>
    </row>
    <row r="66" spans="1:3" ht="11.25" customHeight="1" thickTop="1" thickBot="1">
      <c r="A66" s="857" t="s">
        <v>277</v>
      </c>
      <c r="B66" s="858"/>
      <c r="C66" s="859"/>
    </row>
    <row r="67" spans="1:3" ht="12" thickTop="1">
      <c r="A67" s="143"/>
      <c r="B67" s="860" t="s">
        <v>243</v>
      </c>
      <c r="C67" s="861" t="s">
        <v>243</v>
      </c>
    </row>
    <row r="68" spans="1:3">
      <c r="A68" s="567"/>
      <c r="B68" s="847" t="s">
        <v>861</v>
      </c>
      <c r="C68" s="848" t="s">
        <v>244</v>
      </c>
    </row>
    <row r="69" spans="1:3">
      <c r="A69" s="567"/>
      <c r="B69" s="847" t="s">
        <v>245</v>
      </c>
      <c r="C69" s="848" t="s">
        <v>245</v>
      </c>
    </row>
    <row r="70" spans="1:3" ht="54.95" customHeight="1">
      <c r="A70" s="567"/>
      <c r="B70" s="877" t="s">
        <v>690</v>
      </c>
      <c r="C70" s="878" t="s">
        <v>246</v>
      </c>
    </row>
    <row r="71" spans="1:3" ht="33.75" customHeight="1">
      <c r="A71" s="567"/>
      <c r="B71" s="877" t="s">
        <v>280</v>
      </c>
      <c r="C71" s="878" t="s">
        <v>247</v>
      </c>
    </row>
    <row r="72" spans="1:3" ht="15.75" customHeight="1">
      <c r="A72" s="567"/>
      <c r="B72" s="877" t="s">
        <v>862</v>
      </c>
      <c r="C72" s="878" t="s">
        <v>248</v>
      </c>
    </row>
    <row r="73" spans="1:3">
      <c r="A73" s="567"/>
      <c r="B73" s="847" t="s">
        <v>249</v>
      </c>
      <c r="C73" s="848" t="s">
        <v>249</v>
      </c>
    </row>
    <row r="74" spans="1:3" ht="12" thickBot="1">
      <c r="A74" s="144"/>
      <c r="B74" s="874" t="s">
        <v>250</v>
      </c>
      <c r="C74" s="875" t="s">
        <v>250</v>
      </c>
    </row>
    <row r="75" spans="1:3" ht="12" thickTop="1">
      <c r="A75" s="879" t="s">
        <v>304</v>
      </c>
      <c r="B75" s="880"/>
      <c r="C75" s="881"/>
    </row>
    <row r="76" spans="1:3">
      <c r="A76" s="567"/>
      <c r="B76" s="847" t="s">
        <v>242</v>
      </c>
      <c r="C76" s="848"/>
    </row>
    <row r="77" spans="1:3">
      <c r="A77" s="567"/>
      <c r="B77" s="847" t="s">
        <v>302</v>
      </c>
      <c r="C77" s="848"/>
    </row>
    <row r="78" spans="1:3">
      <c r="A78" s="567"/>
      <c r="B78" s="847" t="s">
        <v>303</v>
      </c>
      <c r="C78" s="848"/>
    </row>
    <row r="79" spans="1:3">
      <c r="A79" s="879" t="s">
        <v>305</v>
      </c>
      <c r="B79" s="880"/>
      <c r="C79" s="881"/>
    </row>
    <row r="80" spans="1:3">
      <c r="A80" s="567"/>
      <c r="B80" s="847" t="s">
        <v>242</v>
      </c>
      <c r="C80" s="848"/>
    </row>
    <row r="81" spans="1:3">
      <c r="A81" s="567"/>
      <c r="B81" s="847" t="s">
        <v>306</v>
      </c>
      <c r="C81" s="848"/>
    </row>
    <row r="82" spans="1:3" ht="79.5" customHeight="1">
      <c r="A82" s="567"/>
      <c r="B82" s="847" t="s">
        <v>320</v>
      </c>
      <c r="C82" s="848"/>
    </row>
    <row r="83" spans="1:3" ht="53.25" customHeight="1">
      <c r="A83" s="567"/>
      <c r="B83" s="847" t="s">
        <v>319</v>
      </c>
      <c r="C83" s="848"/>
    </row>
    <row r="84" spans="1:3">
      <c r="A84" s="567"/>
      <c r="B84" s="847" t="s">
        <v>307</v>
      </c>
      <c r="C84" s="848"/>
    </row>
    <row r="85" spans="1:3">
      <c r="A85" s="567"/>
      <c r="B85" s="847" t="s">
        <v>308</v>
      </c>
      <c r="C85" s="848"/>
    </row>
    <row r="86" spans="1:3">
      <c r="A86" s="567"/>
      <c r="B86" s="847" t="s">
        <v>309</v>
      </c>
      <c r="C86" s="848"/>
    </row>
    <row r="87" spans="1:3">
      <c r="A87" s="879" t="s">
        <v>310</v>
      </c>
      <c r="B87" s="880"/>
      <c r="C87" s="881"/>
    </row>
    <row r="88" spans="1:3">
      <c r="A88" s="567"/>
      <c r="B88" s="847" t="s">
        <v>242</v>
      </c>
      <c r="C88" s="848"/>
    </row>
    <row r="89" spans="1:3">
      <c r="A89" s="567"/>
      <c r="B89" s="847" t="s">
        <v>312</v>
      </c>
      <c r="C89" s="848"/>
    </row>
    <row r="90" spans="1:3" ht="12" customHeight="1">
      <c r="A90" s="567"/>
      <c r="B90" s="847" t="s">
        <v>313</v>
      </c>
      <c r="C90" s="848"/>
    </row>
    <row r="91" spans="1:3">
      <c r="A91" s="567"/>
      <c r="B91" s="847" t="s">
        <v>314</v>
      </c>
      <c r="C91" s="848"/>
    </row>
    <row r="92" spans="1:3" ht="24.75" customHeight="1">
      <c r="A92" s="567"/>
      <c r="B92" s="882" t="s">
        <v>350</v>
      </c>
      <c r="C92" s="883"/>
    </row>
    <row r="93" spans="1:3" ht="24" customHeight="1">
      <c r="A93" s="567"/>
      <c r="B93" s="882" t="s">
        <v>351</v>
      </c>
      <c r="C93" s="883"/>
    </row>
    <row r="94" spans="1:3" ht="13.5" customHeight="1">
      <c r="A94" s="567"/>
      <c r="B94" s="884" t="s">
        <v>315</v>
      </c>
      <c r="C94" s="885"/>
    </row>
    <row r="95" spans="1:3" ht="11.25" customHeight="1" thickBot="1">
      <c r="A95" s="886" t="s">
        <v>346</v>
      </c>
      <c r="B95" s="887"/>
      <c r="C95" s="888"/>
    </row>
    <row r="96" spans="1:3" ht="12.75" thickTop="1" thickBot="1">
      <c r="A96" s="889" t="s">
        <v>251</v>
      </c>
      <c r="B96" s="889"/>
      <c r="C96" s="889"/>
    </row>
    <row r="97" spans="1:3">
      <c r="A97" s="224">
        <v>2</v>
      </c>
      <c r="B97" s="376" t="s">
        <v>326</v>
      </c>
      <c r="C97" s="376" t="s">
        <v>347</v>
      </c>
    </row>
    <row r="98" spans="1:3">
      <c r="A98" s="148">
        <v>3</v>
      </c>
      <c r="B98" s="377" t="s">
        <v>327</v>
      </c>
      <c r="C98" s="378" t="s">
        <v>348</v>
      </c>
    </row>
    <row r="99" spans="1:3">
      <c r="A99" s="148">
        <v>4</v>
      </c>
      <c r="B99" s="377" t="s">
        <v>328</v>
      </c>
      <c r="C99" s="378" t="s">
        <v>352</v>
      </c>
    </row>
    <row r="100" spans="1:3" ht="11.25" customHeight="1">
      <c r="A100" s="148">
        <v>5</v>
      </c>
      <c r="B100" s="377" t="s">
        <v>329</v>
      </c>
      <c r="C100" s="378" t="s">
        <v>349</v>
      </c>
    </row>
    <row r="101" spans="1:3" ht="12" customHeight="1">
      <c r="A101" s="148">
        <v>6</v>
      </c>
      <c r="B101" s="377" t="s">
        <v>344</v>
      </c>
      <c r="C101" s="378" t="s">
        <v>330</v>
      </c>
    </row>
    <row r="102" spans="1:3" ht="12" customHeight="1">
      <c r="A102" s="148">
        <v>7</v>
      </c>
      <c r="B102" s="377" t="s">
        <v>331</v>
      </c>
      <c r="C102" s="378" t="s">
        <v>345</v>
      </c>
    </row>
    <row r="103" spans="1:3">
      <c r="A103" s="148">
        <v>8</v>
      </c>
      <c r="B103" s="377" t="s">
        <v>336</v>
      </c>
      <c r="C103" s="378" t="s">
        <v>356</v>
      </c>
    </row>
    <row r="104" spans="1:3" ht="11.25" customHeight="1">
      <c r="A104" s="879" t="s">
        <v>316</v>
      </c>
      <c r="B104" s="880"/>
      <c r="C104" s="881"/>
    </row>
    <row r="105" spans="1:3" ht="12" customHeight="1">
      <c r="A105" s="567"/>
      <c r="B105" s="847" t="s">
        <v>242</v>
      </c>
      <c r="C105" s="848"/>
    </row>
    <row r="106" spans="1:3">
      <c r="A106" s="879" t="s">
        <v>491</v>
      </c>
      <c r="B106" s="880"/>
      <c r="C106" s="881"/>
    </row>
    <row r="107" spans="1:3" ht="12" customHeight="1">
      <c r="A107" s="567"/>
      <c r="B107" s="847" t="s">
        <v>493</v>
      </c>
      <c r="C107" s="848"/>
    </row>
    <row r="108" spans="1:3">
      <c r="A108" s="567"/>
      <c r="B108" s="847" t="s">
        <v>494</v>
      </c>
      <c r="C108" s="848"/>
    </row>
    <row r="109" spans="1:3">
      <c r="A109" s="567"/>
      <c r="B109" s="847" t="s">
        <v>492</v>
      </c>
      <c r="C109" s="848"/>
    </row>
    <row r="110" spans="1:3">
      <c r="A110" s="890" t="s">
        <v>726</v>
      </c>
      <c r="B110" s="890"/>
      <c r="C110" s="890"/>
    </row>
    <row r="111" spans="1:3">
      <c r="A111" s="891" t="s">
        <v>189</v>
      </c>
      <c r="B111" s="891"/>
      <c r="C111" s="891"/>
    </row>
    <row r="112" spans="1:3">
      <c r="A112" s="589">
        <v>1</v>
      </c>
      <c r="B112" s="892" t="s">
        <v>609</v>
      </c>
      <c r="C112" s="893"/>
    </row>
    <row r="113" spans="1:3">
      <c r="A113" s="589">
        <v>2</v>
      </c>
      <c r="B113" s="894" t="s">
        <v>610</v>
      </c>
      <c r="C113" s="895"/>
    </row>
    <row r="114" spans="1:3">
      <c r="A114" s="589">
        <v>3</v>
      </c>
      <c r="B114" s="892" t="s">
        <v>937</v>
      </c>
      <c r="C114" s="893"/>
    </row>
    <row r="115" spans="1:3">
      <c r="A115" s="589">
        <v>4</v>
      </c>
      <c r="B115" s="892" t="s">
        <v>936</v>
      </c>
      <c r="C115" s="893"/>
    </row>
    <row r="116" spans="1:3">
      <c r="A116" s="589">
        <v>5</v>
      </c>
      <c r="B116" s="593" t="s">
        <v>935</v>
      </c>
      <c r="C116" s="592"/>
    </row>
    <row r="117" spans="1:3">
      <c r="A117" s="589">
        <v>6</v>
      </c>
      <c r="B117" s="892" t="s">
        <v>977</v>
      </c>
      <c r="C117" s="893"/>
    </row>
    <row r="118" spans="1:3" ht="48.6" customHeight="1">
      <c r="A118" s="589">
        <v>7</v>
      </c>
      <c r="B118" s="892" t="s">
        <v>978</v>
      </c>
      <c r="C118" s="893"/>
    </row>
    <row r="119" spans="1:3">
      <c r="A119" s="566">
        <v>8</v>
      </c>
      <c r="B119" s="561" t="s">
        <v>636</v>
      </c>
      <c r="C119" s="586" t="s">
        <v>934</v>
      </c>
    </row>
    <row r="120" spans="1:3" ht="22.5">
      <c r="A120" s="589">
        <v>9.01</v>
      </c>
      <c r="B120" s="561" t="s">
        <v>520</v>
      </c>
      <c r="C120" s="562" t="s">
        <v>685</v>
      </c>
    </row>
    <row r="121" spans="1:3" ht="33.75">
      <c r="A121" s="589">
        <v>9.02</v>
      </c>
      <c r="B121" s="561" t="s">
        <v>521</v>
      </c>
      <c r="C121" s="562" t="s">
        <v>688</v>
      </c>
    </row>
    <row r="122" spans="1:3">
      <c r="A122" s="589">
        <v>9.0299999999999994</v>
      </c>
      <c r="B122" s="562" t="s">
        <v>870</v>
      </c>
      <c r="C122" s="562" t="s">
        <v>611</v>
      </c>
    </row>
    <row r="123" spans="1:3">
      <c r="A123" s="589">
        <v>9.0399999999999991</v>
      </c>
      <c r="B123" s="561" t="s">
        <v>522</v>
      </c>
      <c r="C123" s="562" t="s">
        <v>612</v>
      </c>
    </row>
    <row r="124" spans="1:3">
      <c r="A124" s="589">
        <v>9.0500000000000007</v>
      </c>
      <c r="B124" s="561" t="s">
        <v>523</v>
      </c>
      <c r="C124" s="562" t="s">
        <v>613</v>
      </c>
    </row>
    <row r="125" spans="1:3" ht="22.5">
      <c r="A125" s="589">
        <v>9.06</v>
      </c>
      <c r="B125" s="561" t="s">
        <v>524</v>
      </c>
      <c r="C125" s="562" t="s">
        <v>614</v>
      </c>
    </row>
    <row r="126" spans="1:3">
      <c r="A126" s="589">
        <v>9.07</v>
      </c>
      <c r="B126" s="591" t="s">
        <v>525</v>
      </c>
      <c r="C126" s="562" t="s">
        <v>615</v>
      </c>
    </row>
    <row r="127" spans="1:3" ht="22.5">
      <c r="A127" s="589">
        <v>9.08</v>
      </c>
      <c r="B127" s="561" t="s">
        <v>526</v>
      </c>
      <c r="C127" s="562" t="s">
        <v>616</v>
      </c>
    </row>
    <row r="128" spans="1:3" ht="22.5">
      <c r="A128" s="589">
        <v>9.09</v>
      </c>
      <c r="B128" s="561" t="s">
        <v>527</v>
      </c>
      <c r="C128" s="562" t="s">
        <v>617</v>
      </c>
    </row>
    <row r="129" spans="1:3">
      <c r="A129" s="590">
        <v>9.1</v>
      </c>
      <c r="B129" s="561" t="s">
        <v>528</v>
      </c>
      <c r="C129" s="562" t="s">
        <v>618</v>
      </c>
    </row>
    <row r="130" spans="1:3">
      <c r="A130" s="589">
        <v>9.11</v>
      </c>
      <c r="B130" s="561" t="s">
        <v>529</v>
      </c>
      <c r="C130" s="562" t="s">
        <v>619</v>
      </c>
    </row>
    <row r="131" spans="1:3">
      <c r="A131" s="589">
        <v>9.1199999999999992</v>
      </c>
      <c r="B131" s="561" t="s">
        <v>530</v>
      </c>
      <c r="C131" s="562" t="s">
        <v>620</v>
      </c>
    </row>
    <row r="132" spans="1:3">
      <c r="A132" s="589">
        <v>9.1300000000000008</v>
      </c>
      <c r="B132" s="561" t="s">
        <v>531</v>
      </c>
      <c r="C132" s="562" t="s">
        <v>621</v>
      </c>
    </row>
    <row r="133" spans="1:3">
      <c r="A133" s="589">
        <v>9.14</v>
      </c>
      <c r="B133" s="561" t="s">
        <v>532</v>
      </c>
      <c r="C133" s="562" t="s">
        <v>622</v>
      </c>
    </row>
    <row r="134" spans="1:3">
      <c r="A134" s="589">
        <v>9.15</v>
      </c>
      <c r="B134" s="561" t="s">
        <v>533</v>
      </c>
      <c r="C134" s="562" t="s">
        <v>623</v>
      </c>
    </row>
    <row r="135" spans="1:3">
      <c r="A135" s="589">
        <v>9.16</v>
      </c>
      <c r="B135" s="561" t="s">
        <v>534</v>
      </c>
      <c r="C135" s="562" t="s">
        <v>624</v>
      </c>
    </row>
    <row r="136" spans="1:3">
      <c r="A136" s="589">
        <v>9.17</v>
      </c>
      <c r="B136" s="562" t="s">
        <v>535</v>
      </c>
      <c r="C136" s="562" t="s">
        <v>625</v>
      </c>
    </row>
    <row r="137" spans="1:3" ht="22.5">
      <c r="A137" s="589">
        <v>9.18</v>
      </c>
      <c r="B137" s="561" t="s">
        <v>536</v>
      </c>
      <c r="C137" s="562" t="s">
        <v>626</v>
      </c>
    </row>
    <row r="138" spans="1:3">
      <c r="A138" s="589">
        <v>9.19</v>
      </c>
      <c r="B138" s="561" t="s">
        <v>537</v>
      </c>
      <c r="C138" s="562" t="s">
        <v>627</v>
      </c>
    </row>
    <row r="139" spans="1:3">
      <c r="A139" s="590">
        <v>9.1999999999999993</v>
      </c>
      <c r="B139" s="561" t="s">
        <v>538</v>
      </c>
      <c r="C139" s="562" t="s">
        <v>628</v>
      </c>
    </row>
    <row r="140" spans="1:3">
      <c r="A140" s="589">
        <v>9.2100000000000009</v>
      </c>
      <c r="B140" s="561" t="s">
        <v>539</v>
      </c>
      <c r="C140" s="562" t="s">
        <v>629</v>
      </c>
    </row>
    <row r="141" spans="1:3">
      <c r="A141" s="589">
        <v>9.2200000000000006</v>
      </c>
      <c r="B141" s="561" t="s">
        <v>540</v>
      </c>
      <c r="C141" s="562" t="s">
        <v>630</v>
      </c>
    </row>
    <row r="142" spans="1:3" ht="22.5">
      <c r="A142" s="589">
        <v>9.23</v>
      </c>
      <c r="B142" s="561" t="s">
        <v>541</v>
      </c>
      <c r="C142" s="562" t="s">
        <v>631</v>
      </c>
    </row>
    <row r="143" spans="1:3" ht="22.5">
      <c r="A143" s="589">
        <v>9.24</v>
      </c>
      <c r="B143" s="561" t="s">
        <v>542</v>
      </c>
      <c r="C143" s="562" t="s">
        <v>632</v>
      </c>
    </row>
    <row r="144" spans="1:3">
      <c r="A144" s="589">
        <v>9.2500000000000107</v>
      </c>
      <c r="B144" s="561" t="s">
        <v>543</v>
      </c>
      <c r="C144" s="562" t="s">
        <v>633</v>
      </c>
    </row>
    <row r="145" spans="1:3" ht="22.5">
      <c r="A145" s="589">
        <v>9.2600000000000193</v>
      </c>
      <c r="B145" s="561" t="s">
        <v>634</v>
      </c>
      <c r="C145" s="588" t="s">
        <v>635</v>
      </c>
    </row>
    <row r="146" spans="1:3" s="388" customFormat="1" ht="22.5">
      <c r="A146" s="589">
        <v>9.2700000000000298</v>
      </c>
      <c r="B146" s="561" t="s">
        <v>101</v>
      </c>
      <c r="C146" s="588" t="s">
        <v>686</v>
      </c>
    </row>
    <row r="147" spans="1:3" s="388" customFormat="1">
      <c r="A147" s="567"/>
      <c r="B147" s="896" t="s">
        <v>637</v>
      </c>
      <c r="C147" s="897"/>
    </row>
    <row r="148" spans="1:3" s="388" customFormat="1">
      <c r="A148" s="566">
        <v>1</v>
      </c>
      <c r="B148" s="847" t="s">
        <v>933</v>
      </c>
      <c r="C148" s="848"/>
    </row>
    <row r="149" spans="1:3" s="388" customFormat="1">
      <c r="A149" s="566">
        <v>2</v>
      </c>
      <c r="B149" s="847" t="s">
        <v>687</v>
      </c>
      <c r="C149" s="848"/>
    </row>
    <row r="150" spans="1:3" s="388" customFormat="1">
      <c r="A150" s="566">
        <v>3</v>
      </c>
      <c r="B150" s="847" t="s">
        <v>684</v>
      </c>
      <c r="C150" s="848"/>
    </row>
    <row r="151" spans="1:3" s="388" customFormat="1">
      <c r="A151" s="567"/>
      <c r="B151" s="896" t="s">
        <v>638</v>
      </c>
      <c r="C151" s="897"/>
    </row>
    <row r="152" spans="1:3" s="388" customFormat="1">
      <c r="A152" s="566">
        <v>1</v>
      </c>
      <c r="B152" s="898" t="s">
        <v>932</v>
      </c>
      <c r="C152" s="899"/>
    </row>
    <row r="153" spans="1:3" s="388" customFormat="1">
      <c r="A153" s="566">
        <v>2</v>
      </c>
      <c r="B153" s="561" t="s">
        <v>868</v>
      </c>
      <c r="C153" s="586" t="s">
        <v>979</v>
      </c>
    </row>
    <row r="154" spans="1:3" ht="22.5">
      <c r="A154" s="566">
        <v>3</v>
      </c>
      <c r="B154" s="561" t="s">
        <v>867</v>
      </c>
      <c r="C154" s="586" t="s">
        <v>931</v>
      </c>
    </row>
    <row r="155" spans="1:3">
      <c r="A155" s="566">
        <v>4</v>
      </c>
      <c r="B155" s="561" t="s">
        <v>513</v>
      </c>
      <c r="C155" s="561" t="s">
        <v>980</v>
      </c>
    </row>
    <row r="156" spans="1:3" ht="24.95" customHeight="1">
      <c r="A156" s="567"/>
      <c r="B156" s="896" t="s">
        <v>639</v>
      </c>
      <c r="C156" s="897"/>
    </row>
    <row r="157" spans="1:3" ht="33.75">
      <c r="A157" s="566"/>
      <c r="B157" s="561" t="s">
        <v>920</v>
      </c>
      <c r="C157" s="568" t="s">
        <v>981</v>
      </c>
    </row>
    <row r="158" spans="1:3">
      <c r="A158" s="567"/>
      <c r="B158" s="896" t="s">
        <v>640</v>
      </c>
      <c r="C158" s="897"/>
    </row>
    <row r="159" spans="1:3" ht="39" customHeight="1">
      <c r="A159" s="567"/>
      <c r="B159" s="847" t="s">
        <v>930</v>
      </c>
      <c r="C159" s="848"/>
    </row>
    <row r="160" spans="1:3">
      <c r="A160" s="567" t="s">
        <v>641</v>
      </c>
      <c r="B160" s="587" t="s">
        <v>551</v>
      </c>
      <c r="C160" s="579" t="s">
        <v>642</v>
      </c>
    </row>
    <row r="161" spans="1:3">
      <c r="A161" s="567" t="s">
        <v>371</v>
      </c>
      <c r="B161" s="584" t="s">
        <v>552</v>
      </c>
      <c r="C161" s="586" t="s">
        <v>929</v>
      </c>
    </row>
    <row r="162" spans="1:3" ht="22.5">
      <c r="A162" s="567" t="s">
        <v>378</v>
      </c>
      <c r="B162" s="579" t="s">
        <v>553</v>
      </c>
      <c r="C162" s="586" t="s">
        <v>643</v>
      </c>
    </row>
    <row r="163" spans="1:3">
      <c r="A163" s="567" t="s">
        <v>644</v>
      </c>
      <c r="B163" s="584" t="s">
        <v>554</v>
      </c>
      <c r="C163" s="585" t="s">
        <v>645</v>
      </c>
    </row>
    <row r="164" spans="1:3" ht="22.5">
      <c r="A164" s="567" t="s">
        <v>646</v>
      </c>
      <c r="B164" s="584" t="s">
        <v>883</v>
      </c>
      <c r="C164" s="578" t="s">
        <v>928</v>
      </c>
    </row>
    <row r="165" spans="1:3" ht="22.5">
      <c r="A165" s="567" t="s">
        <v>379</v>
      </c>
      <c r="B165" s="584" t="s">
        <v>555</v>
      </c>
      <c r="C165" s="578" t="s">
        <v>648</v>
      </c>
    </row>
    <row r="166" spans="1:3" ht="22.5">
      <c r="A166" s="567" t="s">
        <v>647</v>
      </c>
      <c r="B166" s="582" t="s">
        <v>558</v>
      </c>
      <c r="C166" s="583" t="s">
        <v>655</v>
      </c>
    </row>
    <row r="167" spans="1:3" ht="22.5">
      <c r="A167" s="567" t="s">
        <v>649</v>
      </c>
      <c r="B167" s="582" t="s">
        <v>556</v>
      </c>
      <c r="C167" s="578" t="s">
        <v>651</v>
      </c>
    </row>
    <row r="168" spans="1:3" ht="26.45" customHeight="1">
      <c r="A168" s="567" t="s">
        <v>650</v>
      </c>
      <c r="B168" s="582" t="s">
        <v>557</v>
      </c>
      <c r="C168" s="583" t="s">
        <v>653</v>
      </c>
    </row>
    <row r="169" spans="1:3">
      <c r="A169" s="567" t="s">
        <v>652</v>
      </c>
      <c r="B169" s="562" t="s">
        <v>559</v>
      </c>
      <c r="C169" s="583" t="s">
        <v>657</v>
      </c>
    </row>
    <row r="170" spans="1:3" ht="22.5">
      <c r="A170" s="567" t="s">
        <v>654</v>
      </c>
      <c r="B170" s="582" t="s">
        <v>560</v>
      </c>
      <c r="C170" s="581" t="s">
        <v>658</v>
      </c>
    </row>
    <row r="171" spans="1:3">
      <c r="A171" s="567" t="s">
        <v>656</v>
      </c>
      <c r="B171" s="580" t="s">
        <v>561</v>
      </c>
      <c r="C171" s="579" t="s">
        <v>659</v>
      </c>
    </row>
    <row r="172" spans="1:3" ht="22.5">
      <c r="A172" s="567"/>
      <c r="B172" s="578" t="s">
        <v>927</v>
      </c>
      <c r="C172" s="562" t="s">
        <v>660</v>
      </c>
    </row>
    <row r="173" spans="1:3" ht="22.5">
      <c r="A173" s="567"/>
      <c r="B173" s="578" t="s">
        <v>926</v>
      </c>
      <c r="C173" s="562" t="s">
        <v>661</v>
      </c>
    </row>
    <row r="174" spans="1:3" ht="22.5">
      <c r="A174" s="567"/>
      <c r="B174" s="578" t="s">
        <v>925</v>
      </c>
      <c r="C174" s="562" t="s">
        <v>662</v>
      </c>
    </row>
    <row r="175" spans="1:3">
      <c r="A175" s="567"/>
      <c r="B175" s="896" t="s">
        <v>663</v>
      </c>
      <c r="C175" s="897"/>
    </row>
    <row r="176" spans="1:3">
      <c r="A176" s="567"/>
      <c r="B176" s="847" t="s">
        <v>924</v>
      </c>
      <c r="C176" s="848"/>
    </row>
    <row r="177" spans="1:3">
      <c r="A177" s="566">
        <v>1</v>
      </c>
      <c r="B177" s="562" t="s">
        <v>565</v>
      </c>
      <c r="C177" s="562" t="s">
        <v>565</v>
      </c>
    </row>
    <row r="178" spans="1:3" ht="22.5">
      <c r="A178" s="566">
        <v>2</v>
      </c>
      <c r="B178" s="562" t="s">
        <v>664</v>
      </c>
      <c r="C178" s="562" t="s">
        <v>665</v>
      </c>
    </row>
    <row r="179" spans="1:3">
      <c r="A179" s="566">
        <v>3</v>
      </c>
      <c r="B179" s="562" t="s">
        <v>567</v>
      </c>
      <c r="C179" s="562" t="s">
        <v>666</v>
      </c>
    </row>
    <row r="180" spans="1:3" ht="22.5">
      <c r="A180" s="566">
        <v>4</v>
      </c>
      <c r="B180" s="562" t="s">
        <v>568</v>
      </c>
      <c r="C180" s="562" t="s">
        <v>667</v>
      </c>
    </row>
    <row r="181" spans="1:3" ht="22.5">
      <c r="A181" s="566">
        <v>5</v>
      </c>
      <c r="B181" s="562" t="s">
        <v>569</v>
      </c>
      <c r="C181" s="562" t="s">
        <v>689</v>
      </c>
    </row>
    <row r="182" spans="1:3" ht="45">
      <c r="A182" s="566">
        <v>6</v>
      </c>
      <c r="B182" s="562" t="s">
        <v>570</v>
      </c>
      <c r="C182" s="562" t="s">
        <v>668</v>
      </c>
    </row>
    <row r="183" spans="1:3">
      <c r="A183" s="567"/>
      <c r="B183" s="896" t="s">
        <v>669</v>
      </c>
      <c r="C183" s="897"/>
    </row>
    <row r="184" spans="1:3">
      <c r="A184" s="567"/>
      <c r="B184" s="900" t="s">
        <v>923</v>
      </c>
      <c r="C184" s="898"/>
    </row>
    <row r="185" spans="1:3" ht="22.5">
      <c r="A185" s="567">
        <v>1.1000000000000001</v>
      </c>
      <c r="B185" s="577" t="s">
        <v>575</v>
      </c>
      <c r="C185" s="562" t="s">
        <v>670</v>
      </c>
    </row>
    <row r="186" spans="1:3" ht="50.1" customHeight="1">
      <c r="A186" s="567" t="s">
        <v>159</v>
      </c>
      <c r="B186" s="563" t="s">
        <v>576</v>
      </c>
      <c r="C186" s="562" t="s">
        <v>671</v>
      </c>
    </row>
    <row r="187" spans="1:3">
      <c r="A187" s="567" t="s">
        <v>577</v>
      </c>
      <c r="B187" s="576" t="s">
        <v>578</v>
      </c>
      <c r="C187" s="856" t="s">
        <v>922</v>
      </c>
    </row>
    <row r="188" spans="1:3">
      <c r="A188" s="567" t="s">
        <v>579</v>
      </c>
      <c r="B188" s="576" t="s">
        <v>580</v>
      </c>
      <c r="C188" s="856"/>
    </row>
    <row r="189" spans="1:3">
      <c r="A189" s="567" t="s">
        <v>581</v>
      </c>
      <c r="B189" s="576" t="s">
        <v>582</v>
      </c>
      <c r="C189" s="856"/>
    </row>
    <row r="190" spans="1:3">
      <c r="A190" s="567" t="s">
        <v>583</v>
      </c>
      <c r="B190" s="576" t="s">
        <v>584</v>
      </c>
      <c r="C190" s="856"/>
    </row>
    <row r="191" spans="1:3" ht="25.5" customHeight="1">
      <c r="A191" s="567">
        <v>1.2</v>
      </c>
      <c r="B191" s="575" t="s">
        <v>897</v>
      </c>
      <c r="C191" s="561" t="s">
        <v>982</v>
      </c>
    </row>
    <row r="192" spans="1:3" ht="22.5">
      <c r="A192" s="567" t="s">
        <v>586</v>
      </c>
      <c r="B192" s="570" t="s">
        <v>587</v>
      </c>
      <c r="C192" s="573" t="s">
        <v>672</v>
      </c>
    </row>
    <row r="193" spans="1:4" ht="22.5">
      <c r="A193" s="567" t="s">
        <v>588</v>
      </c>
      <c r="B193" s="574" t="s">
        <v>589</v>
      </c>
      <c r="C193" s="573" t="s">
        <v>673</v>
      </c>
    </row>
    <row r="194" spans="1:4" ht="26.1" customHeight="1">
      <c r="A194" s="567" t="s">
        <v>590</v>
      </c>
      <c r="B194" s="572" t="s">
        <v>591</v>
      </c>
      <c r="C194" s="561" t="s">
        <v>674</v>
      </c>
    </row>
    <row r="195" spans="1:4" ht="22.5">
      <c r="A195" s="567" t="s">
        <v>592</v>
      </c>
      <c r="B195" s="571" t="s">
        <v>593</v>
      </c>
      <c r="C195" s="561" t="s">
        <v>675</v>
      </c>
      <c r="D195" s="389"/>
    </row>
    <row r="196" spans="1:4" ht="12.75">
      <c r="A196" s="567">
        <v>1.4</v>
      </c>
      <c r="B196" s="570" t="s">
        <v>682</v>
      </c>
      <c r="C196" s="569" t="s">
        <v>676</v>
      </c>
      <c r="D196" s="390"/>
    </row>
    <row r="197" spans="1:4" ht="12.75">
      <c r="A197" s="567">
        <v>1.5</v>
      </c>
      <c r="B197" s="570" t="s">
        <v>683</v>
      </c>
      <c r="C197" s="569" t="s">
        <v>676</v>
      </c>
      <c r="D197" s="391"/>
    </row>
    <row r="198" spans="1:4" ht="12.75">
      <c r="A198" s="567"/>
      <c r="B198" s="890" t="s">
        <v>677</v>
      </c>
      <c r="C198" s="890"/>
      <c r="D198" s="391"/>
    </row>
    <row r="199" spans="1:4" ht="12.75">
      <c r="A199" s="567"/>
      <c r="B199" s="900" t="s">
        <v>921</v>
      </c>
      <c r="C199" s="900"/>
      <c r="D199" s="391"/>
    </row>
    <row r="200" spans="1:4" ht="12.75">
      <c r="A200" s="566"/>
      <c r="B200" s="561" t="s">
        <v>920</v>
      </c>
      <c r="C200" s="568" t="s">
        <v>979</v>
      </c>
      <c r="D200" s="391"/>
    </row>
    <row r="201" spans="1:4" ht="12.75">
      <c r="A201" s="567"/>
      <c r="B201" s="890" t="s">
        <v>678</v>
      </c>
      <c r="C201" s="890"/>
      <c r="D201" s="392"/>
    </row>
    <row r="202" spans="1:4" ht="12.75">
      <c r="A202" s="566"/>
      <c r="B202" s="900" t="s">
        <v>919</v>
      </c>
      <c r="C202" s="900"/>
      <c r="D202" s="393"/>
    </row>
    <row r="203" spans="1:4" ht="12.75">
      <c r="B203" s="890" t="s">
        <v>716</v>
      </c>
      <c r="C203" s="890"/>
      <c r="D203" s="394"/>
    </row>
    <row r="204" spans="1:4" ht="22.5">
      <c r="A204" s="563">
        <v>1</v>
      </c>
      <c r="B204" s="561" t="s">
        <v>692</v>
      </c>
      <c r="C204" s="561" t="s">
        <v>704</v>
      </c>
      <c r="D204" s="393"/>
    </row>
    <row r="205" spans="1:4" ht="18" customHeight="1">
      <c r="A205" s="563">
        <v>2</v>
      </c>
      <c r="B205" s="561" t="s">
        <v>693</v>
      </c>
      <c r="C205" s="561" t="s">
        <v>705</v>
      </c>
      <c r="D205" s="394"/>
    </row>
    <row r="206" spans="1:4" ht="22.5">
      <c r="A206" s="563">
        <v>3</v>
      </c>
      <c r="B206" s="561" t="s">
        <v>694</v>
      </c>
      <c r="C206" s="561" t="s">
        <v>706</v>
      </c>
      <c r="D206" s="395"/>
    </row>
    <row r="207" spans="1:4" ht="12.75">
      <c r="A207" s="563">
        <v>4</v>
      </c>
      <c r="B207" s="561" t="s">
        <v>695</v>
      </c>
      <c r="C207" s="561" t="s">
        <v>707</v>
      </c>
      <c r="D207" s="395"/>
    </row>
    <row r="208" spans="1:4">
      <c r="A208" s="563">
        <v>5</v>
      </c>
      <c r="B208" s="561" t="s">
        <v>696</v>
      </c>
      <c r="C208" s="561" t="s">
        <v>708</v>
      </c>
    </row>
    <row r="209" spans="1:3" ht="24.6" customHeight="1">
      <c r="A209" s="563">
        <v>6</v>
      </c>
      <c r="B209" s="561" t="s">
        <v>697</v>
      </c>
      <c r="C209" s="561" t="s">
        <v>709</v>
      </c>
    </row>
    <row r="210" spans="1:3" ht="22.5">
      <c r="A210" s="563">
        <v>7</v>
      </c>
      <c r="B210" s="561" t="s">
        <v>698</v>
      </c>
      <c r="C210" s="561" t="s">
        <v>710</v>
      </c>
    </row>
    <row r="211" spans="1:3">
      <c r="A211" s="563">
        <v>7.1</v>
      </c>
      <c r="B211" s="565" t="s">
        <v>699</v>
      </c>
      <c r="C211" s="561" t="s">
        <v>711</v>
      </c>
    </row>
    <row r="212" spans="1:3">
      <c r="A212" s="563">
        <v>7.2</v>
      </c>
      <c r="B212" s="565" t="s">
        <v>700</v>
      </c>
      <c r="C212" s="561" t="s">
        <v>712</v>
      </c>
    </row>
    <row r="213" spans="1:3">
      <c r="A213" s="563">
        <v>7.3</v>
      </c>
      <c r="B213" s="564" t="s">
        <v>701</v>
      </c>
      <c r="C213" s="561" t="s">
        <v>713</v>
      </c>
    </row>
    <row r="214" spans="1:3" ht="39.6" customHeight="1">
      <c r="A214" s="563">
        <v>8</v>
      </c>
      <c r="B214" s="561" t="s">
        <v>702</v>
      </c>
      <c r="C214" s="561" t="s">
        <v>714</v>
      </c>
    </row>
    <row r="215" spans="1:3">
      <c r="A215" s="563">
        <v>9</v>
      </c>
      <c r="B215" s="561" t="s">
        <v>703</v>
      </c>
      <c r="C215" s="561" t="s">
        <v>715</v>
      </c>
    </row>
    <row r="216" spans="1:3">
      <c r="A216" s="601">
        <v>10.1</v>
      </c>
      <c r="B216" s="602" t="s">
        <v>723</v>
      </c>
      <c r="C216" s="594" t="s">
        <v>724</v>
      </c>
    </row>
    <row r="217" spans="1:3">
      <c r="A217" s="901"/>
      <c r="B217" s="603" t="s">
        <v>911</v>
      </c>
      <c r="C217" s="561" t="s">
        <v>918</v>
      </c>
    </row>
    <row r="218" spans="1:3">
      <c r="A218" s="901"/>
      <c r="B218" s="562" t="s">
        <v>574</v>
      </c>
      <c r="C218" s="561" t="s">
        <v>917</v>
      </c>
    </row>
    <row r="219" spans="1:3">
      <c r="A219" s="901"/>
      <c r="B219" s="562" t="s">
        <v>910</v>
      </c>
      <c r="C219" s="561" t="s">
        <v>983</v>
      </c>
    </row>
    <row r="220" spans="1:3">
      <c r="A220" s="901"/>
      <c r="B220" s="562" t="s">
        <v>717</v>
      </c>
      <c r="C220" s="561" t="s">
        <v>916</v>
      </c>
    </row>
    <row r="221" spans="1:3" ht="22.5">
      <c r="A221" s="901"/>
      <c r="B221" s="562" t="s">
        <v>721</v>
      </c>
      <c r="C221" s="562" t="s">
        <v>915</v>
      </c>
    </row>
    <row r="222" spans="1:3" ht="33.75">
      <c r="A222" s="901"/>
      <c r="B222" s="562" t="s">
        <v>720</v>
      </c>
      <c r="C222" s="561" t="s">
        <v>914</v>
      </c>
    </row>
    <row r="223" spans="1:3">
      <c r="A223" s="901"/>
      <c r="B223" s="562" t="s">
        <v>973</v>
      </c>
      <c r="C223" s="561" t="s">
        <v>913</v>
      </c>
    </row>
    <row r="224" spans="1:3" ht="22.5">
      <c r="A224" s="901"/>
      <c r="B224" s="562" t="s">
        <v>974</v>
      </c>
      <c r="C224" s="561" t="s">
        <v>912</v>
      </c>
    </row>
    <row r="225" spans="1:3" ht="12.75">
      <c r="A225" s="595"/>
      <c r="B225" s="596"/>
      <c r="C225" s="597"/>
    </row>
    <row r="226" spans="1:3" ht="12.75">
      <c r="A226" s="595"/>
      <c r="B226" s="597"/>
      <c r="C226" s="597"/>
    </row>
    <row r="227" spans="1:3" ht="12.75">
      <c r="A227" s="595"/>
      <c r="B227" s="597"/>
      <c r="C227" s="597"/>
    </row>
    <row r="228" spans="1:3" ht="12.75">
      <c r="A228" s="595"/>
      <c r="B228" s="598"/>
      <c r="C228" s="597"/>
    </row>
    <row r="229" spans="1:3" ht="12.75">
      <c r="A229" s="902"/>
      <c r="B229" s="599"/>
      <c r="C229" s="597"/>
    </row>
    <row r="230" spans="1:3" ht="12.75">
      <c r="A230" s="902"/>
      <c r="B230" s="599"/>
      <c r="C230" s="597"/>
    </row>
    <row r="231" spans="1:3" ht="12.75">
      <c r="A231" s="902"/>
      <c r="B231" s="599"/>
      <c r="C231" s="597"/>
    </row>
    <row r="232" spans="1:3" ht="12.75">
      <c r="A232" s="902"/>
      <c r="B232" s="599"/>
      <c r="C232" s="600"/>
    </row>
    <row r="233" spans="1:3" ht="40.5" customHeight="1">
      <c r="A233" s="902"/>
      <c r="B233" s="599"/>
      <c r="C233" s="597"/>
    </row>
    <row r="234" spans="1:3" ht="24" customHeight="1">
      <c r="A234" s="902"/>
      <c r="B234" s="599"/>
      <c r="C234" s="597"/>
    </row>
    <row r="235" spans="1:3" ht="12.75">
      <c r="A235" s="902"/>
      <c r="B235" s="599"/>
      <c r="C235" s="597"/>
    </row>
  </sheetData>
  <mergeCells count="131">
    <mergeCell ref="B201:C201"/>
    <mergeCell ref="B202:C202"/>
    <mergeCell ref="B203:C203"/>
    <mergeCell ref="A217:A224"/>
    <mergeCell ref="A229:A235"/>
    <mergeCell ref="B176:C176"/>
    <mergeCell ref="B183:C183"/>
    <mergeCell ref="B184:C184"/>
    <mergeCell ref="C187:C190"/>
    <mergeCell ref="B198:C198"/>
    <mergeCell ref="B199:C199"/>
    <mergeCell ref="B151:C151"/>
    <mergeCell ref="B152:C152"/>
    <mergeCell ref="B156:C156"/>
    <mergeCell ref="B158:C158"/>
    <mergeCell ref="B159:C159"/>
    <mergeCell ref="B175:C175"/>
    <mergeCell ref="B117:C117"/>
    <mergeCell ref="B118:C118"/>
    <mergeCell ref="B147:C147"/>
    <mergeCell ref="B148:C148"/>
    <mergeCell ref="B149:C149"/>
    <mergeCell ref="B150:C150"/>
    <mergeCell ref="A110:C110"/>
    <mergeCell ref="A111:C111"/>
    <mergeCell ref="B112:C112"/>
    <mergeCell ref="B113:C113"/>
    <mergeCell ref="B114:C114"/>
    <mergeCell ref="B115:C115"/>
    <mergeCell ref="A104:C104"/>
    <mergeCell ref="B105:C105"/>
    <mergeCell ref="A106:C106"/>
    <mergeCell ref="B107:C107"/>
    <mergeCell ref="B108:C108"/>
    <mergeCell ref="B109:C109"/>
    <mergeCell ref="B91:C91"/>
    <mergeCell ref="B92:C92"/>
    <mergeCell ref="B93:C93"/>
    <mergeCell ref="B94:C94"/>
    <mergeCell ref="A95:C95"/>
    <mergeCell ref="A96:C96"/>
    <mergeCell ref="B85:C85"/>
    <mergeCell ref="B86:C86"/>
    <mergeCell ref="A87:C87"/>
    <mergeCell ref="B88:C88"/>
    <mergeCell ref="B89:C89"/>
    <mergeCell ref="B90:C90"/>
    <mergeCell ref="A79:C79"/>
    <mergeCell ref="B80:C80"/>
    <mergeCell ref="B81:C81"/>
    <mergeCell ref="B82:C82"/>
    <mergeCell ref="B83:C83"/>
    <mergeCell ref="B84:C84"/>
    <mergeCell ref="B73:C73"/>
    <mergeCell ref="B74:C74"/>
    <mergeCell ref="A75:C75"/>
    <mergeCell ref="B76:C76"/>
    <mergeCell ref="B77:C77"/>
    <mergeCell ref="B78:C78"/>
    <mergeCell ref="B67:C67"/>
    <mergeCell ref="B68:C68"/>
    <mergeCell ref="B69:C69"/>
    <mergeCell ref="B70:C70"/>
    <mergeCell ref="B71:C71"/>
    <mergeCell ref="B72:C72"/>
    <mergeCell ref="B61:C61"/>
    <mergeCell ref="B62:C62"/>
    <mergeCell ref="B63:C63"/>
    <mergeCell ref="A64:C64"/>
    <mergeCell ref="B65:C65"/>
    <mergeCell ref="A66:C66"/>
    <mergeCell ref="B55:C55"/>
    <mergeCell ref="B56:C56"/>
    <mergeCell ref="B57:C57"/>
    <mergeCell ref="B58:C58"/>
    <mergeCell ref="B59:C59"/>
    <mergeCell ref="B60:C60"/>
    <mergeCell ref="B49:C49"/>
    <mergeCell ref="B50:C50"/>
    <mergeCell ref="B51:C51"/>
    <mergeCell ref="B52:C52"/>
    <mergeCell ref="B53:C53"/>
    <mergeCell ref="A54:C54"/>
    <mergeCell ref="B43:C43"/>
    <mergeCell ref="B44:C44"/>
    <mergeCell ref="A45:C45"/>
    <mergeCell ref="B46:C46"/>
    <mergeCell ref="A47:C47"/>
    <mergeCell ref="B48:C48"/>
    <mergeCell ref="B37:C37"/>
    <mergeCell ref="B38:C38"/>
    <mergeCell ref="B39:C39"/>
    <mergeCell ref="B40:C40"/>
    <mergeCell ref="A41:C41"/>
    <mergeCell ref="B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topLeftCell="A24" zoomScale="85" zoomScaleNormal="85" workbookViewId="0">
      <selection activeCell="E6" sqref="E6"/>
    </sheetView>
  </sheetViews>
  <sheetFormatPr defaultRowHeight="15"/>
  <cols>
    <col min="2" max="2" width="66.625" customWidth="1"/>
    <col min="3" max="8" width="17.875" style="630" customWidth="1"/>
  </cols>
  <sheetData>
    <row r="1" spans="1:8" ht="15.75">
      <c r="A1" s="13" t="s">
        <v>110</v>
      </c>
      <c r="B1" s="299" t="str">
        <f>Info!C2</f>
        <v>სს "პეისერა ბანკი საქართველო"</v>
      </c>
      <c r="C1" s="628"/>
      <c r="D1" s="629"/>
      <c r="E1" s="629"/>
      <c r="F1" s="629"/>
      <c r="G1" s="629"/>
    </row>
    <row r="2" spans="1:8" ht="15.75">
      <c r="A2" s="13" t="s">
        <v>111</v>
      </c>
      <c r="B2" s="334">
        <f>'1. key ratios'!B2</f>
        <v>45016</v>
      </c>
      <c r="C2" s="628"/>
      <c r="D2" s="629"/>
      <c r="E2" s="629"/>
      <c r="F2" s="629"/>
      <c r="G2" s="629"/>
    </row>
    <row r="3" spans="1:8" ht="15.75">
      <c r="A3" s="13"/>
      <c r="B3" s="12"/>
      <c r="C3" s="628"/>
      <c r="D3" s="629"/>
      <c r="E3" s="629"/>
      <c r="F3" s="629"/>
      <c r="G3" s="629"/>
    </row>
    <row r="4" spans="1:8">
      <c r="A4" s="744" t="s">
        <v>27</v>
      </c>
      <c r="B4" s="742" t="s">
        <v>168</v>
      </c>
      <c r="C4" s="740" t="s">
        <v>116</v>
      </c>
      <c r="D4" s="740"/>
      <c r="E4" s="740"/>
      <c r="F4" s="740" t="s">
        <v>117</v>
      </c>
      <c r="G4" s="740"/>
      <c r="H4" s="741"/>
    </row>
    <row r="5" spans="1:8" ht="15.6" customHeight="1">
      <c r="A5" s="745"/>
      <c r="B5" s="743"/>
      <c r="C5" s="640" t="s">
        <v>28</v>
      </c>
      <c r="D5" s="640" t="s">
        <v>90</v>
      </c>
      <c r="E5" s="640" t="s">
        <v>68</v>
      </c>
      <c r="F5" s="640" t="s">
        <v>28</v>
      </c>
      <c r="G5" s="640" t="s">
        <v>90</v>
      </c>
      <c r="H5" s="640" t="s">
        <v>68</v>
      </c>
    </row>
    <row r="6" spans="1:8">
      <c r="A6" s="451">
        <v>1</v>
      </c>
      <c r="B6" s="424" t="s">
        <v>778</v>
      </c>
      <c r="C6" s="639">
        <f>SUM(C7:C12)</f>
        <v>50063.53</v>
      </c>
      <c r="D6" s="639">
        <f>SUM(D7:D12)</f>
        <v>0</v>
      </c>
      <c r="E6" s="641">
        <f>C6+D6</f>
        <v>50063.53</v>
      </c>
      <c r="F6" s="639">
        <f>SUM(F7:F12)</f>
        <v>0</v>
      </c>
      <c r="G6" s="639">
        <f>SUM(G7:G12)</f>
        <v>0</v>
      </c>
      <c r="H6" s="641">
        <f>F6+G6</f>
        <v>0</v>
      </c>
    </row>
    <row r="7" spans="1:8">
      <c r="A7" s="451">
        <v>1.1000000000000001</v>
      </c>
      <c r="B7" s="425" t="s">
        <v>732</v>
      </c>
      <c r="C7" s="637">
        <v>0</v>
      </c>
      <c r="D7" s="637">
        <v>0</v>
      </c>
      <c r="E7" s="638">
        <f t="shared" ref="E7:E45" si="0">C7+D7</f>
        <v>0</v>
      </c>
      <c r="F7" s="637">
        <v>0</v>
      </c>
      <c r="G7" s="637">
        <v>0</v>
      </c>
      <c r="H7" s="638">
        <f t="shared" ref="H7:H45" si="1">F7+G7</f>
        <v>0</v>
      </c>
    </row>
    <row r="8" spans="1:8" ht="21">
      <c r="A8" s="451">
        <v>1.2</v>
      </c>
      <c r="B8" s="425" t="s">
        <v>779</v>
      </c>
      <c r="C8" s="637">
        <v>0</v>
      </c>
      <c r="D8" s="637">
        <v>0</v>
      </c>
      <c r="E8" s="638">
        <f t="shared" si="0"/>
        <v>0</v>
      </c>
      <c r="F8" s="637">
        <v>0</v>
      </c>
      <c r="G8" s="637">
        <v>0</v>
      </c>
      <c r="H8" s="638">
        <f t="shared" si="1"/>
        <v>0</v>
      </c>
    </row>
    <row r="9" spans="1:8" ht="21.6" customHeight="1">
      <c r="A9" s="451">
        <v>1.3</v>
      </c>
      <c r="B9" s="415" t="s">
        <v>780</v>
      </c>
      <c r="C9" s="637">
        <v>0</v>
      </c>
      <c r="D9" s="637">
        <v>0</v>
      </c>
      <c r="E9" s="638">
        <f t="shared" si="0"/>
        <v>0</v>
      </c>
      <c r="F9" s="637">
        <v>0</v>
      </c>
      <c r="G9" s="637">
        <v>0</v>
      </c>
      <c r="H9" s="638">
        <f t="shared" si="1"/>
        <v>0</v>
      </c>
    </row>
    <row r="10" spans="1:8" ht="21">
      <c r="A10" s="451">
        <v>1.4</v>
      </c>
      <c r="B10" s="415" t="s">
        <v>736</v>
      </c>
      <c r="C10" s="637">
        <v>0</v>
      </c>
      <c r="D10" s="637">
        <v>0</v>
      </c>
      <c r="E10" s="638">
        <f t="shared" si="0"/>
        <v>0</v>
      </c>
      <c r="F10" s="637">
        <v>0</v>
      </c>
      <c r="G10" s="637">
        <v>0</v>
      </c>
      <c r="H10" s="638">
        <f t="shared" si="1"/>
        <v>0</v>
      </c>
    </row>
    <row r="11" spans="1:8">
      <c r="A11" s="451">
        <v>1.5</v>
      </c>
      <c r="B11" s="415" t="s">
        <v>739</v>
      </c>
      <c r="C11" s="637">
        <v>0</v>
      </c>
      <c r="D11" s="637">
        <v>0</v>
      </c>
      <c r="E11" s="638">
        <f t="shared" si="0"/>
        <v>0</v>
      </c>
      <c r="F11" s="637">
        <v>0</v>
      </c>
      <c r="G11" s="637">
        <v>0</v>
      </c>
      <c r="H11" s="638">
        <f t="shared" si="1"/>
        <v>0</v>
      </c>
    </row>
    <row r="12" spans="1:8">
      <c r="A12" s="451">
        <v>1.6</v>
      </c>
      <c r="B12" s="416" t="s">
        <v>101</v>
      </c>
      <c r="C12" s="637">
        <v>50063.53</v>
      </c>
      <c r="D12" s="637">
        <v>0</v>
      </c>
      <c r="E12" s="638">
        <f t="shared" si="0"/>
        <v>50063.53</v>
      </c>
      <c r="F12" s="637">
        <v>0</v>
      </c>
      <c r="G12" s="637">
        <v>0</v>
      </c>
      <c r="H12" s="638">
        <f t="shared" si="1"/>
        <v>0</v>
      </c>
    </row>
    <row r="13" spans="1:8">
      <c r="A13" s="451">
        <v>2</v>
      </c>
      <c r="B13" s="426" t="s">
        <v>781</v>
      </c>
      <c r="C13" s="639">
        <f>SUM(C14:C17)</f>
        <v>0</v>
      </c>
      <c r="D13" s="639">
        <f>SUM(D14:D17)</f>
        <v>-2500.9499999999998</v>
      </c>
      <c r="E13" s="641">
        <f t="shared" si="0"/>
        <v>-2500.9499999999998</v>
      </c>
      <c r="F13" s="639">
        <f>SUM(F14:F17)</f>
        <v>0</v>
      </c>
      <c r="G13" s="639">
        <f>SUM(G14:G17)</f>
        <v>0</v>
      </c>
      <c r="H13" s="641">
        <f t="shared" si="1"/>
        <v>0</v>
      </c>
    </row>
    <row r="14" spans="1:8">
      <c r="A14" s="451">
        <v>2.1</v>
      </c>
      <c r="B14" s="415" t="s">
        <v>782</v>
      </c>
      <c r="C14" s="637">
        <v>0</v>
      </c>
      <c r="D14" s="637">
        <v>0</v>
      </c>
      <c r="E14" s="638">
        <f t="shared" si="0"/>
        <v>0</v>
      </c>
      <c r="F14" s="637">
        <v>0</v>
      </c>
      <c r="G14" s="637">
        <v>0</v>
      </c>
      <c r="H14" s="638">
        <f t="shared" si="1"/>
        <v>0</v>
      </c>
    </row>
    <row r="15" spans="1:8" ht="24.6" customHeight="1">
      <c r="A15" s="451">
        <v>2.2000000000000002</v>
      </c>
      <c r="B15" s="415" t="s">
        <v>783</v>
      </c>
      <c r="C15" s="637">
        <v>0</v>
      </c>
      <c r="D15" s="637">
        <v>0</v>
      </c>
      <c r="E15" s="638">
        <f t="shared" si="0"/>
        <v>0</v>
      </c>
      <c r="F15" s="637">
        <v>0</v>
      </c>
      <c r="G15" s="637">
        <v>0</v>
      </c>
      <c r="H15" s="638">
        <f t="shared" si="1"/>
        <v>0</v>
      </c>
    </row>
    <row r="16" spans="1:8" ht="20.45" customHeight="1">
      <c r="A16" s="451">
        <v>2.2999999999999998</v>
      </c>
      <c r="B16" s="415" t="s">
        <v>784</v>
      </c>
      <c r="C16" s="637">
        <v>0</v>
      </c>
      <c r="D16" s="637">
        <v>0</v>
      </c>
      <c r="E16" s="638">
        <f t="shared" si="0"/>
        <v>0</v>
      </c>
      <c r="F16" s="637">
        <v>0</v>
      </c>
      <c r="G16" s="637">
        <v>0</v>
      </c>
      <c r="H16" s="638">
        <f t="shared" si="1"/>
        <v>0</v>
      </c>
    </row>
    <row r="17" spans="1:8">
      <c r="A17" s="451">
        <v>2.4</v>
      </c>
      <c r="B17" s="415" t="s">
        <v>785</v>
      </c>
      <c r="C17" s="637">
        <v>0</v>
      </c>
      <c r="D17" s="637">
        <v>-2500.9499999999998</v>
      </c>
      <c r="E17" s="638">
        <f t="shared" si="0"/>
        <v>-2500.9499999999998</v>
      </c>
      <c r="F17" s="637">
        <v>0</v>
      </c>
      <c r="G17" s="637">
        <v>0</v>
      </c>
      <c r="H17" s="638">
        <f t="shared" si="1"/>
        <v>0</v>
      </c>
    </row>
    <row r="18" spans="1:8">
      <c r="A18" s="451">
        <v>3</v>
      </c>
      <c r="B18" s="426" t="s">
        <v>786</v>
      </c>
      <c r="C18" s="637">
        <v>0</v>
      </c>
      <c r="D18" s="637">
        <v>0</v>
      </c>
      <c r="E18" s="638">
        <f t="shared" si="0"/>
        <v>0</v>
      </c>
      <c r="F18" s="637">
        <v>0</v>
      </c>
      <c r="G18" s="637">
        <v>0</v>
      </c>
      <c r="H18" s="638">
        <f t="shared" si="1"/>
        <v>0</v>
      </c>
    </row>
    <row r="19" spans="1:8">
      <c r="A19" s="451">
        <v>4</v>
      </c>
      <c r="B19" s="426" t="s">
        <v>787</v>
      </c>
      <c r="C19" s="637">
        <v>0</v>
      </c>
      <c r="D19" s="637">
        <v>0</v>
      </c>
      <c r="E19" s="638">
        <f t="shared" si="0"/>
        <v>0</v>
      </c>
      <c r="F19" s="637">
        <v>0</v>
      </c>
      <c r="G19" s="637">
        <v>0</v>
      </c>
      <c r="H19" s="638">
        <f t="shared" si="1"/>
        <v>0</v>
      </c>
    </row>
    <row r="20" spans="1:8">
      <c r="A20" s="451">
        <v>5</v>
      </c>
      <c r="B20" s="426" t="s">
        <v>788</v>
      </c>
      <c r="C20" s="637">
        <v>-287.64</v>
      </c>
      <c r="D20" s="637">
        <v>0</v>
      </c>
      <c r="E20" s="638">
        <f t="shared" si="0"/>
        <v>-287.64</v>
      </c>
      <c r="F20" s="637">
        <v>0</v>
      </c>
      <c r="G20" s="637">
        <v>0</v>
      </c>
      <c r="H20" s="638">
        <f t="shared" si="1"/>
        <v>0</v>
      </c>
    </row>
    <row r="21" spans="1:8" ht="38.450000000000003" customHeight="1">
      <c r="A21" s="451">
        <v>6</v>
      </c>
      <c r="B21" s="426" t="s">
        <v>789</v>
      </c>
      <c r="C21" s="637">
        <v>0</v>
      </c>
      <c r="D21" s="637">
        <v>0</v>
      </c>
      <c r="E21" s="638">
        <f t="shared" si="0"/>
        <v>0</v>
      </c>
      <c r="F21" s="637">
        <v>0</v>
      </c>
      <c r="G21" s="637">
        <v>0</v>
      </c>
      <c r="H21" s="638">
        <f t="shared" si="1"/>
        <v>0</v>
      </c>
    </row>
    <row r="22" spans="1:8" ht="27.6" customHeight="1">
      <c r="A22" s="451">
        <v>7</v>
      </c>
      <c r="B22" s="426" t="s">
        <v>790</v>
      </c>
      <c r="C22" s="637">
        <v>0</v>
      </c>
      <c r="D22" s="637">
        <v>0</v>
      </c>
      <c r="E22" s="638">
        <f t="shared" si="0"/>
        <v>0</v>
      </c>
      <c r="F22" s="637">
        <v>0</v>
      </c>
      <c r="G22" s="637">
        <v>0</v>
      </c>
      <c r="H22" s="638">
        <f t="shared" si="1"/>
        <v>0</v>
      </c>
    </row>
    <row r="23" spans="1:8" ht="36.950000000000003" customHeight="1">
      <c r="A23" s="451">
        <v>8</v>
      </c>
      <c r="B23" s="427" t="s">
        <v>791</v>
      </c>
      <c r="C23" s="637">
        <v>0</v>
      </c>
      <c r="D23" s="637">
        <v>0</v>
      </c>
      <c r="E23" s="638">
        <f t="shared" si="0"/>
        <v>0</v>
      </c>
      <c r="F23" s="637">
        <v>0</v>
      </c>
      <c r="G23" s="637">
        <v>0</v>
      </c>
      <c r="H23" s="638">
        <f t="shared" si="1"/>
        <v>0</v>
      </c>
    </row>
    <row r="24" spans="1:8" ht="34.5" customHeight="1">
      <c r="A24" s="451">
        <v>9</v>
      </c>
      <c r="B24" s="427" t="s">
        <v>792</v>
      </c>
      <c r="C24" s="637">
        <v>0</v>
      </c>
      <c r="D24" s="637">
        <v>0</v>
      </c>
      <c r="E24" s="638">
        <f t="shared" si="0"/>
        <v>0</v>
      </c>
      <c r="F24" s="637">
        <v>0</v>
      </c>
      <c r="G24" s="637">
        <v>0</v>
      </c>
      <c r="H24" s="638">
        <f t="shared" si="1"/>
        <v>0</v>
      </c>
    </row>
    <row r="25" spans="1:8">
      <c r="A25" s="451">
        <v>10</v>
      </c>
      <c r="B25" s="426" t="s">
        <v>793</v>
      </c>
      <c r="C25" s="637">
        <v>12682.13</v>
      </c>
      <c r="D25" s="637">
        <v>0</v>
      </c>
      <c r="E25" s="638">
        <f t="shared" si="0"/>
        <v>12682.13</v>
      </c>
      <c r="F25" s="637">
        <v>0</v>
      </c>
      <c r="G25" s="637">
        <v>0</v>
      </c>
      <c r="H25" s="638">
        <f t="shared" si="1"/>
        <v>0</v>
      </c>
    </row>
    <row r="26" spans="1:8" ht="27" customHeight="1">
      <c r="A26" s="451">
        <v>11</v>
      </c>
      <c r="B26" s="428" t="s">
        <v>794</v>
      </c>
      <c r="C26" s="637">
        <v>0</v>
      </c>
      <c r="D26" s="637">
        <v>0</v>
      </c>
      <c r="E26" s="638">
        <f t="shared" si="0"/>
        <v>0</v>
      </c>
      <c r="F26" s="637">
        <v>0</v>
      </c>
      <c r="G26" s="637">
        <v>0</v>
      </c>
      <c r="H26" s="638">
        <f t="shared" si="1"/>
        <v>0</v>
      </c>
    </row>
    <row r="27" spans="1:8">
      <c r="A27" s="451">
        <v>12</v>
      </c>
      <c r="B27" s="426" t="s">
        <v>795</v>
      </c>
      <c r="C27" s="637">
        <v>0</v>
      </c>
      <c r="D27" s="637">
        <v>0</v>
      </c>
      <c r="E27" s="638">
        <f t="shared" si="0"/>
        <v>0</v>
      </c>
      <c r="F27" s="637">
        <v>0</v>
      </c>
      <c r="G27" s="637">
        <v>0</v>
      </c>
      <c r="H27" s="638">
        <f t="shared" si="1"/>
        <v>0</v>
      </c>
    </row>
    <row r="28" spans="1:8">
      <c r="A28" s="451">
        <v>13</v>
      </c>
      <c r="B28" s="429" t="s">
        <v>796</v>
      </c>
      <c r="C28" s="637">
        <v>0</v>
      </c>
      <c r="D28" s="637">
        <v>0</v>
      </c>
      <c r="E28" s="638">
        <f t="shared" si="0"/>
        <v>0</v>
      </c>
      <c r="F28" s="637">
        <v>0</v>
      </c>
      <c r="G28" s="637">
        <v>0</v>
      </c>
      <c r="H28" s="638">
        <f t="shared" si="1"/>
        <v>0</v>
      </c>
    </row>
    <row r="29" spans="1:8">
      <c r="A29" s="451">
        <v>14</v>
      </c>
      <c r="B29" s="430" t="s">
        <v>797</v>
      </c>
      <c r="C29" s="639">
        <f>SUM(C30:C31)</f>
        <v>-261519.21000000002</v>
      </c>
      <c r="D29" s="639">
        <f>SUM(D30:D31)</f>
        <v>0</v>
      </c>
      <c r="E29" s="641">
        <f t="shared" si="0"/>
        <v>-261519.21000000002</v>
      </c>
      <c r="F29" s="639">
        <f>SUM(F30:F31)</f>
        <v>0</v>
      </c>
      <c r="G29" s="639">
        <f>SUM(G30:G31)</f>
        <v>0</v>
      </c>
      <c r="H29" s="641">
        <f t="shared" si="1"/>
        <v>0</v>
      </c>
    </row>
    <row r="30" spans="1:8">
      <c r="A30" s="451">
        <v>14.1</v>
      </c>
      <c r="B30" s="407" t="s">
        <v>798</v>
      </c>
      <c r="C30" s="637">
        <v>-181899.88</v>
      </c>
      <c r="D30" s="637">
        <v>0</v>
      </c>
      <c r="E30" s="638">
        <f t="shared" si="0"/>
        <v>-181899.88</v>
      </c>
      <c r="F30" s="637">
        <v>0</v>
      </c>
      <c r="G30" s="637">
        <v>0</v>
      </c>
      <c r="H30" s="638">
        <f t="shared" si="1"/>
        <v>0</v>
      </c>
    </row>
    <row r="31" spans="1:8">
      <c r="A31" s="451">
        <v>14.2</v>
      </c>
      <c r="B31" s="407" t="s">
        <v>799</v>
      </c>
      <c r="C31" s="637">
        <v>-79619.33</v>
      </c>
      <c r="D31" s="637">
        <v>0</v>
      </c>
      <c r="E31" s="638">
        <f t="shared" si="0"/>
        <v>-79619.33</v>
      </c>
      <c r="F31" s="637">
        <v>0</v>
      </c>
      <c r="G31" s="637">
        <v>0</v>
      </c>
      <c r="H31" s="638">
        <f t="shared" si="1"/>
        <v>0</v>
      </c>
    </row>
    <row r="32" spans="1:8">
      <c r="A32" s="451">
        <v>15</v>
      </c>
      <c r="B32" s="431" t="s">
        <v>800</v>
      </c>
      <c r="C32" s="637">
        <v>-35455.72</v>
      </c>
      <c r="D32" s="637">
        <v>0</v>
      </c>
      <c r="E32" s="638">
        <f t="shared" si="0"/>
        <v>-35455.72</v>
      </c>
      <c r="F32" s="637">
        <v>0</v>
      </c>
      <c r="G32" s="637">
        <v>0</v>
      </c>
      <c r="H32" s="638">
        <f t="shared" si="1"/>
        <v>0</v>
      </c>
    </row>
    <row r="33" spans="1:8" ht="22.5" customHeight="1">
      <c r="A33" s="451">
        <v>16</v>
      </c>
      <c r="B33" s="403" t="s">
        <v>801</v>
      </c>
      <c r="C33" s="637">
        <v>0</v>
      </c>
      <c r="D33" s="637">
        <v>0</v>
      </c>
      <c r="E33" s="638">
        <f t="shared" si="0"/>
        <v>0</v>
      </c>
      <c r="F33" s="637">
        <v>0</v>
      </c>
      <c r="G33" s="637">
        <v>0</v>
      </c>
      <c r="H33" s="638">
        <f t="shared" si="1"/>
        <v>0</v>
      </c>
    </row>
    <row r="34" spans="1:8">
      <c r="A34" s="451">
        <v>17</v>
      </c>
      <c r="B34" s="426" t="s">
        <v>802</v>
      </c>
      <c r="C34" s="639">
        <f>SUM(C35:C36)</f>
        <v>0</v>
      </c>
      <c r="D34" s="639">
        <f>SUM(D35:D36)</f>
        <v>0</v>
      </c>
      <c r="E34" s="641">
        <f t="shared" si="0"/>
        <v>0</v>
      </c>
      <c r="F34" s="639">
        <f>SUM(F35:F36)</f>
        <v>0</v>
      </c>
      <c r="G34" s="639">
        <f>SUM(G35:G36)</f>
        <v>0</v>
      </c>
      <c r="H34" s="641">
        <f t="shared" si="1"/>
        <v>0</v>
      </c>
    </row>
    <row r="35" spans="1:8">
      <c r="A35" s="451">
        <v>17.100000000000001</v>
      </c>
      <c r="B35" s="432" t="s">
        <v>803</v>
      </c>
      <c r="C35" s="637">
        <v>0</v>
      </c>
      <c r="D35" s="637">
        <v>0</v>
      </c>
      <c r="E35" s="638">
        <f t="shared" si="0"/>
        <v>0</v>
      </c>
      <c r="F35" s="637"/>
      <c r="G35" s="637"/>
      <c r="H35" s="638">
        <f t="shared" si="1"/>
        <v>0</v>
      </c>
    </row>
    <row r="36" spans="1:8">
      <c r="A36" s="451">
        <v>17.2</v>
      </c>
      <c r="B36" s="407" t="s">
        <v>804</v>
      </c>
      <c r="C36" s="637">
        <v>0</v>
      </c>
      <c r="D36" s="637">
        <v>0</v>
      </c>
      <c r="E36" s="638">
        <f t="shared" si="0"/>
        <v>0</v>
      </c>
      <c r="F36" s="637"/>
      <c r="G36" s="637"/>
      <c r="H36" s="638">
        <f t="shared" si="1"/>
        <v>0</v>
      </c>
    </row>
    <row r="37" spans="1:8" ht="41.45" customHeight="1">
      <c r="A37" s="451">
        <v>18</v>
      </c>
      <c r="B37" s="433" t="s">
        <v>805</v>
      </c>
      <c r="C37" s="639">
        <f>SUM(C38:C39)</f>
        <v>0</v>
      </c>
      <c r="D37" s="639">
        <f>SUM(D38:D39)</f>
        <v>0</v>
      </c>
      <c r="E37" s="641">
        <f t="shared" si="0"/>
        <v>0</v>
      </c>
      <c r="F37" s="639">
        <f>SUM(F38:F39)</f>
        <v>0</v>
      </c>
      <c r="G37" s="639">
        <f>SUM(G38:G39)</f>
        <v>0</v>
      </c>
      <c r="H37" s="641">
        <f t="shared" si="1"/>
        <v>0</v>
      </c>
    </row>
    <row r="38" spans="1:8" ht="21">
      <c r="A38" s="451">
        <v>18.100000000000001</v>
      </c>
      <c r="B38" s="415" t="s">
        <v>806</v>
      </c>
      <c r="C38" s="637">
        <v>0</v>
      </c>
      <c r="D38" s="637">
        <v>0</v>
      </c>
      <c r="E38" s="638">
        <f t="shared" si="0"/>
        <v>0</v>
      </c>
      <c r="F38" s="637"/>
      <c r="G38" s="637"/>
      <c r="H38" s="638">
        <f t="shared" si="1"/>
        <v>0</v>
      </c>
    </row>
    <row r="39" spans="1:8">
      <c r="A39" s="451">
        <v>18.2</v>
      </c>
      <c r="B39" s="415" t="s">
        <v>807</v>
      </c>
      <c r="C39" s="637">
        <v>0</v>
      </c>
      <c r="D39" s="637">
        <v>0</v>
      </c>
      <c r="E39" s="638">
        <f t="shared" si="0"/>
        <v>0</v>
      </c>
      <c r="F39" s="637"/>
      <c r="G39" s="637"/>
      <c r="H39" s="638">
        <f t="shared" si="1"/>
        <v>0</v>
      </c>
    </row>
    <row r="40" spans="1:8" ht="24.6" customHeight="1">
      <c r="A40" s="451">
        <v>19</v>
      </c>
      <c r="B40" s="433" t="s">
        <v>808</v>
      </c>
      <c r="C40" s="637">
        <v>0</v>
      </c>
      <c r="D40" s="637">
        <v>0</v>
      </c>
      <c r="E40" s="638">
        <f t="shared" si="0"/>
        <v>0</v>
      </c>
      <c r="F40" s="637"/>
      <c r="G40" s="637"/>
      <c r="H40" s="638">
        <f t="shared" si="1"/>
        <v>0</v>
      </c>
    </row>
    <row r="41" spans="1:8" ht="24.95" customHeight="1">
      <c r="A41" s="451">
        <v>20</v>
      </c>
      <c r="B41" s="433" t="s">
        <v>809</v>
      </c>
      <c r="C41" s="637">
        <v>0</v>
      </c>
      <c r="D41" s="637">
        <v>0</v>
      </c>
      <c r="E41" s="638">
        <f t="shared" si="0"/>
        <v>0</v>
      </c>
      <c r="F41" s="637"/>
      <c r="G41" s="637"/>
      <c r="H41" s="638">
        <f t="shared" si="1"/>
        <v>0</v>
      </c>
    </row>
    <row r="42" spans="1:8" ht="33" customHeight="1">
      <c r="A42" s="451">
        <v>21</v>
      </c>
      <c r="B42" s="434" t="s">
        <v>810</v>
      </c>
      <c r="C42" s="637">
        <v>0</v>
      </c>
      <c r="D42" s="637">
        <v>0</v>
      </c>
      <c r="E42" s="638">
        <f t="shared" si="0"/>
        <v>0</v>
      </c>
      <c r="F42" s="637"/>
      <c r="G42" s="637"/>
      <c r="H42" s="638">
        <f t="shared" si="1"/>
        <v>0</v>
      </c>
    </row>
    <row r="43" spans="1:8">
      <c r="A43" s="451">
        <v>22</v>
      </c>
      <c r="B43" s="435" t="s">
        <v>811</v>
      </c>
      <c r="C43" s="639">
        <f>SUM(C6,C13,C18,C19,C20,C21,C22,C23,C24,C25,C26,C27,C28,C29,C32,C33,C34,C37,C40,C41,C42)</f>
        <v>-234516.91000000003</v>
      </c>
      <c r="D43" s="639">
        <f>SUM(D6,D13,D18,D19,D20,D21,D22,D23,D24,D25,D26,D27,D28,D29,D32,D33,D34,D37,D40,D41,D42)</f>
        <v>-2500.9499999999998</v>
      </c>
      <c r="E43" s="641">
        <f t="shared" si="0"/>
        <v>-237017.86000000004</v>
      </c>
      <c r="F43" s="639">
        <f>SUM(F6,F13,F18,F19,F20,F21,F22,F23,F24,F25,F26,F27,F28,F29,F32,F33,F34,F37,F40,F41,F42)</f>
        <v>0</v>
      </c>
      <c r="G43" s="639">
        <f>SUM(G6,G13,G18,G19,G20,G21,G22,G23,G24,G25,G26,G27,G28,G29,G32,G33,G34,G37,G40,G41,G42)</f>
        <v>0</v>
      </c>
      <c r="H43" s="641">
        <f t="shared" si="1"/>
        <v>0</v>
      </c>
    </row>
    <row r="44" spans="1:8">
      <c r="A44" s="451">
        <v>23</v>
      </c>
      <c r="B44" s="435" t="s">
        <v>812</v>
      </c>
      <c r="C44" s="637">
        <v>-26173.29</v>
      </c>
      <c r="D44" s="637">
        <v>0</v>
      </c>
      <c r="E44" s="638">
        <f t="shared" si="0"/>
        <v>-26173.29</v>
      </c>
      <c r="F44" s="637"/>
      <c r="G44" s="637"/>
      <c r="H44" s="638">
        <f t="shared" si="1"/>
        <v>0</v>
      </c>
    </row>
    <row r="45" spans="1:8">
      <c r="A45" s="451">
        <v>24</v>
      </c>
      <c r="B45" s="435" t="s">
        <v>813</v>
      </c>
      <c r="C45" s="639">
        <f>C43-C44</f>
        <v>-208343.62000000002</v>
      </c>
      <c r="D45" s="639">
        <f>D43-D44</f>
        <v>-2500.9499999999998</v>
      </c>
      <c r="E45" s="641">
        <f t="shared" si="0"/>
        <v>-210844.57000000004</v>
      </c>
      <c r="F45" s="639">
        <f>F43-F44</f>
        <v>0</v>
      </c>
      <c r="G45" s="639">
        <f>G43-G44</f>
        <v>0</v>
      </c>
      <c r="H45" s="641">
        <f t="shared" si="1"/>
        <v>0</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topLeftCell="A9" zoomScale="70" zoomScaleNormal="70" workbookViewId="0">
      <selection activeCell="B9" sqref="B1:B1048576"/>
    </sheetView>
  </sheetViews>
  <sheetFormatPr defaultRowHeight="15"/>
  <cols>
    <col min="1" max="1" width="8.75" style="449"/>
    <col min="2" max="2" width="87.625" bestFit="1" customWidth="1"/>
    <col min="3" max="8" width="12.75" customWidth="1"/>
  </cols>
  <sheetData>
    <row r="1" spans="1:8" ht="15.75">
      <c r="A1" s="13" t="s">
        <v>110</v>
      </c>
      <c r="B1" s="299" t="str">
        <f>Info!C2</f>
        <v>სს "პეისერა ბანკი საქართველო"</v>
      </c>
      <c r="C1" s="12"/>
      <c r="D1" s="1"/>
      <c r="E1" s="1"/>
      <c r="F1" s="1"/>
      <c r="G1" s="1"/>
    </row>
    <row r="2" spans="1:8" ht="15.75">
      <c r="A2" s="13" t="s">
        <v>111</v>
      </c>
      <c r="B2" s="334">
        <f>'1. key ratios'!B2</f>
        <v>45016</v>
      </c>
      <c r="C2" s="12"/>
      <c r="D2" s="1"/>
      <c r="E2" s="1"/>
      <c r="F2" s="1"/>
      <c r="G2" s="1"/>
    </row>
    <row r="3" spans="1:8" ht="15.75">
      <c r="A3" s="13"/>
      <c r="B3" s="12"/>
      <c r="C3" s="12"/>
      <c r="D3" s="1"/>
      <c r="E3" s="1"/>
      <c r="F3" s="1"/>
      <c r="G3" s="1"/>
    </row>
    <row r="4" spans="1:8" ht="15.75">
      <c r="A4" s="737" t="s">
        <v>27</v>
      </c>
      <c r="B4" s="746" t="s">
        <v>153</v>
      </c>
      <c r="C4" s="747" t="s">
        <v>116</v>
      </c>
      <c r="D4" s="747"/>
      <c r="E4" s="747"/>
      <c r="F4" s="747" t="s">
        <v>117</v>
      </c>
      <c r="G4" s="747"/>
      <c r="H4" s="748"/>
    </row>
    <row r="5" spans="1:8">
      <c r="A5" s="737"/>
      <c r="B5" s="746"/>
      <c r="C5" s="423" t="s">
        <v>28</v>
      </c>
      <c r="D5" s="423" t="s">
        <v>90</v>
      </c>
      <c r="E5" s="423" t="s">
        <v>68</v>
      </c>
      <c r="F5" s="423" t="s">
        <v>28</v>
      </c>
      <c r="G5" s="423" t="s">
        <v>90</v>
      </c>
      <c r="H5" s="436" t="s">
        <v>68</v>
      </c>
    </row>
    <row r="6" spans="1:8" ht="15.75">
      <c r="A6" s="437">
        <v>1</v>
      </c>
      <c r="B6" s="438" t="s">
        <v>814</v>
      </c>
      <c r="C6" s="439"/>
      <c r="D6" s="439"/>
      <c r="E6" s="440">
        <f t="shared" ref="E6:E43" si="0">C6+D6</f>
        <v>0</v>
      </c>
      <c r="F6" s="439"/>
      <c r="G6" s="439"/>
      <c r="H6" s="441">
        <f t="shared" ref="H6:H43" si="1">F6+G6</f>
        <v>0</v>
      </c>
    </row>
    <row r="7" spans="1:8" ht="15.75">
      <c r="A7" s="437">
        <v>2</v>
      </c>
      <c r="B7" s="442" t="s">
        <v>179</v>
      </c>
      <c r="C7" s="439"/>
      <c r="D7" s="439"/>
      <c r="E7" s="440">
        <f t="shared" si="0"/>
        <v>0</v>
      </c>
      <c r="F7" s="439"/>
      <c r="G7" s="439"/>
      <c r="H7" s="441">
        <f t="shared" si="1"/>
        <v>0</v>
      </c>
    </row>
    <row r="8" spans="1:8" ht="15.75">
      <c r="A8" s="437">
        <v>3</v>
      </c>
      <c r="B8" s="442" t="s">
        <v>181</v>
      </c>
      <c r="C8" s="439">
        <f>C9+C10</f>
        <v>0</v>
      </c>
      <c r="D8" s="439">
        <f>D9+D10</f>
        <v>0</v>
      </c>
      <c r="E8" s="440">
        <f t="shared" si="0"/>
        <v>0</v>
      </c>
      <c r="F8" s="439">
        <f>F9+F10</f>
        <v>0</v>
      </c>
      <c r="G8" s="439">
        <f>G9+G10</f>
        <v>0</v>
      </c>
      <c r="H8" s="441">
        <f t="shared" si="1"/>
        <v>0</v>
      </c>
    </row>
    <row r="9" spans="1:8" ht="15.75">
      <c r="A9" s="437">
        <v>3.1</v>
      </c>
      <c r="B9" s="443" t="s">
        <v>815</v>
      </c>
      <c r="C9" s="439"/>
      <c r="D9" s="439"/>
      <c r="E9" s="440">
        <f t="shared" si="0"/>
        <v>0</v>
      </c>
      <c r="F9" s="439"/>
      <c r="G9" s="439"/>
      <c r="H9" s="441">
        <f t="shared" si="1"/>
        <v>0</v>
      </c>
    </row>
    <row r="10" spans="1:8" ht="15.75">
      <c r="A10" s="437">
        <v>3.2</v>
      </c>
      <c r="B10" s="443" t="s">
        <v>816</v>
      </c>
      <c r="C10" s="439"/>
      <c r="D10" s="439"/>
      <c r="E10" s="440">
        <f t="shared" si="0"/>
        <v>0</v>
      </c>
      <c r="F10" s="439"/>
      <c r="G10" s="439"/>
      <c r="H10" s="441">
        <f t="shared" si="1"/>
        <v>0</v>
      </c>
    </row>
    <row r="11" spans="1:8" ht="30">
      <c r="A11" s="437">
        <v>4</v>
      </c>
      <c r="B11" s="442" t="s">
        <v>180</v>
      </c>
      <c r="C11" s="439">
        <f>C12+C13</f>
        <v>0</v>
      </c>
      <c r="D11" s="439">
        <f>D12+D13</f>
        <v>0</v>
      </c>
      <c r="E11" s="440">
        <f t="shared" si="0"/>
        <v>0</v>
      </c>
      <c r="F11" s="439">
        <f>F12+F13</f>
        <v>0</v>
      </c>
      <c r="G11" s="439">
        <f>G12+G13</f>
        <v>0</v>
      </c>
      <c r="H11" s="441">
        <f t="shared" si="1"/>
        <v>0</v>
      </c>
    </row>
    <row r="12" spans="1:8" ht="15.75">
      <c r="A12" s="437">
        <v>4.0999999999999996</v>
      </c>
      <c r="B12" s="443" t="s">
        <v>817</v>
      </c>
      <c r="C12" s="439"/>
      <c r="D12" s="439"/>
      <c r="E12" s="440">
        <f t="shared" si="0"/>
        <v>0</v>
      </c>
      <c r="F12" s="439"/>
      <c r="G12" s="439"/>
      <c r="H12" s="441">
        <f t="shared" si="1"/>
        <v>0</v>
      </c>
    </row>
    <row r="13" spans="1:8" ht="15.75">
      <c r="A13" s="437">
        <v>4.2</v>
      </c>
      <c r="B13" s="443" t="s">
        <v>818</v>
      </c>
      <c r="C13" s="439"/>
      <c r="D13" s="439"/>
      <c r="E13" s="440">
        <f t="shared" si="0"/>
        <v>0</v>
      </c>
      <c r="F13" s="439"/>
      <c r="G13" s="439"/>
      <c r="H13" s="441">
        <f t="shared" si="1"/>
        <v>0</v>
      </c>
    </row>
    <row r="14" spans="1:8" ht="15.75">
      <c r="A14" s="437">
        <v>5</v>
      </c>
      <c r="B14" s="444" t="s">
        <v>819</v>
      </c>
      <c r="C14" s="439">
        <f>C15+C16+C17+C23+C24+C25+C26</f>
        <v>0</v>
      </c>
      <c r="D14" s="439">
        <f>D15+D16+D17+D23+D24+D25+D26</f>
        <v>0</v>
      </c>
      <c r="E14" s="440">
        <f t="shared" si="0"/>
        <v>0</v>
      </c>
      <c r="F14" s="439">
        <f>F15+F16+F17+F23+F24+F25+F26</f>
        <v>0</v>
      </c>
      <c r="G14" s="439">
        <f>G15+G16+G17+G23+G24+G25+G26</f>
        <v>0</v>
      </c>
      <c r="H14" s="441">
        <f t="shared" si="1"/>
        <v>0</v>
      </c>
    </row>
    <row r="15" spans="1:8" ht="15.75">
      <c r="A15" s="437">
        <v>5.0999999999999996</v>
      </c>
      <c r="B15" s="445" t="s">
        <v>820</v>
      </c>
      <c r="C15" s="439"/>
      <c r="D15" s="439"/>
      <c r="E15" s="440">
        <f t="shared" si="0"/>
        <v>0</v>
      </c>
      <c r="F15" s="439"/>
      <c r="G15" s="439"/>
      <c r="H15" s="441">
        <f t="shared" si="1"/>
        <v>0</v>
      </c>
    </row>
    <row r="16" spans="1:8" ht="15.75">
      <c r="A16" s="437">
        <v>5.2</v>
      </c>
      <c r="B16" s="445" t="s">
        <v>821</v>
      </c>
      <c r="C16" s="439"/>
      <c r="D16" s="439"/>
      <c r="E16" s="440">
        <f t="shared" si="0"/>
        <v>0</v>
      </c>
      <c r="F16" s="439"/>
      <c r="G16" s="439"/>
      <c r="H16" s="441">
        <f t="shared" si="1"/>
        <v>0</v>
      </c>
    </row>
    <row r="17" spans="1:8" ht="15.75">
      <c r="A17" s="437">
        <v>5.3</v>
      </c>
      <c r="B17" s="445" t="s">
        <v>822</v>
      </c>
      <c r="C17" s="439">
        <f>C18+C19+C20+C21+C22</f>
        <v>0</v>
      </c>
      <c r="D17" s="439">
        <f>D18+D19+D20+D21+D22</f>
        <v>0</v>
      </c>
      <c r="E17" s="440">
        <f t="shared" si="0"/>
        <v>0</v>
      </c>
      <c r="F17" s="439"/>
      <c r="G17" s="439"/>
      <c r="H17" s="441">
        <f t="shared" si="1"/>
        <v>0</v>
      </c>
    </row>
    <row r="18" spans="1:8" ht="15.75">
      <c r="A18" s="437" t="s">
        <v>182</v>
      </c>
      <c r="B18" s="446" t="s">
        <v>823</v>
      </c>
      <c r="C18" s="439"/>
      <c r="D18" s="439"/>
      <c r="E18" s="440">
        <f t="shared" si="0"/>
        <v>0</v>
      </c>
      <c r="F18" s="439"/>
      <c r="G18" s="439"/>
      <c r="H18" s="441">
        <f t="shared" si="1"/>
        <v>0</v>
      </c>
    </row>
    <row r="19" spans="1:8" ht="15.75">
      <c r="A19" s="437" t="s">
        <v>183</v>
      </c>
      <c r="B19" s="447" t="s">
        <v>824</v>
      </c>
      <c r="C19" s="439"/>
      <c r="D19" s="439"/>
      <c r="E19" s="440">
        <f t="shared" si="0"/>
        <v>0</v>
      </c>
      <c r="F19" s="439"/>
      <c r="G19" s="439"/>
      <c r="H19" s="441">
        <f t="shared" si="1"/>
        <v>0</v>
      </c>
    </row>
    <row r="20" spans="1:8" ht="15.75">
      <c r="A20" s="437" t="s">
        <v>184</v>
      </c>
      <c r="B20" s="447" t="s">
        <v>825</v>
      </c>
      <c r="C20" s="439"/>
      <c r="D20" s="439"/>
      <c r="E20" s="440">
        <f t="shared" si="0"/>
        <v>0</v>
      </c>
      <c r="F20" s="439"/>
      <c r="G20" s="439"/>
      <c r="H20" s="441">
        <f t="shared" si="1"/>
        <v>0</v>
      </c>
    </row>
    <row r="21" spans="1:8" ht="15.75">
      <c r="A21" s="437" t="s">
        <v>185</v>
      </c>
      <c r="B21" s="447" t="s">
        <v>826</v>
      </c>
      <c r="C21" s="439"/>
      <c r="D21" s="439"/>
      <c r="E21" s="440">
        <f t="shared" si="0"/>
        <v>0</v>
      </c>
      <c r="F21" s="439"/>
      <c r="G21" s="439"/>
      <c r="H21" s="441">
        <f t="shared" si="1"/>
        <v>0</v>
      </c>
    </row>
    <row r="22" spans="1:8" ht="15.75">
      <c r="A22" s="437" t="s">
        <v>186</v>
      </c>
      <c r="B22" s="447" t="s">
        <v>543</v>
      </c>
      <c r="C22" s="439"/>
      <c r="D22" s="439"/>
      <c r="E22" s="440">
        <f t="shared" si="0"/>
        <v>0</v>
      </c>
      <c r="F22" s="439"/>
      <c r="G22" s="439"/>
      <c r="H22" s="441">
        <f t="shared" si="1"/>
        <v>0</v>
      </c>
    </row>
    <row r="23" spans="1:8" ht="15.75">
      <c r="A23" s="437">
        <v>5.4</v>
      </c>
      <c r="B23" s="445" t="s">
        <v>827</v>
      </c>
      <c r="C23" s="439"/>
      <c r="D23" s="439"/>
      <c r="E23" s="440">
        <f t="shared" si="0"/>
        <v>0</v>
      </c>
      <c r="F23" s="439"/>
      <c r="G23" s="439"/>
      <c r="H23" s="441">
        <f t="shared" si="1"/>
        <v>0</v>
      </c>
    </row>
    <row r="24" spans="1:8" ht="15.75">
      <c r="A24" s="437">
        <v>5.5</v>
      </c>
      <c r="B24" s="445" t="s">
        <v>828</v>
      </c>
      <c r="C24" s="439"/>
      <c r="D24" s="439"/>
      <c r="E24" s="440">
        <f t="shared" si="0"/>
        <v>0</v>
      </c>
      <c r="F24" s="439"/>
      <c r="G24" s="439"/>
      <c r="H24" s="441">
        <f t="shared" si="1"/>
        <v>0</v>
      </c>
    </row>
    <row r="25" spans="1:8" ht="15.75">
      <c r="A25" s="437">
        <v>5.6</v>
      </c>
      <c r="B25" s="445" t="s">
        <v>829</v>
      </c>
      <c r="C25" s="439"/>
      <c r="D25" s="439"/>
      <c r="E25" s="440">
        <f t="shared" si="0"/>
        <v>0</v>
      </c>
      <c r="F25" s="439"/>
      <c r="G25" s="439"/>
      <c r="H25" s="441">
        <f t="shared" si="1"/>
        <v>0</v>
      </c>
    </row>
    <row r="26" spans="1:8" ht="15.75">
      <c r="A26" s="437">
        <v>5.7</v>
      </c>
      <c r="B26" s="445" t="s">
        <v>543</v>
      </c>
      <c r="C26" s="439"/>
      <c r="D26" s="439"/>
      <c r="E26" s="440">
        <f t="shared" si="0"/>
        <v>0</v>
      </c>
      <c r="F26" s="439"/>
      <c r="G26" s="439"/>
      <c r="H26" s="441">
        <f t="shared" si="1"/>
        <v>0</v>
      </c>
    </row>
    <row r="27" spans="1:8" ht="15.75">
      <c r="A27" s="437">
        <v>6</v>
      </c>
      <c r="B27" s="444" t="s">
        <v>830</v>
      </c>
      <c r="C27" s="439"/>
      <c r="D27" s="439"/>
      <c r="E27" s="440">
        <f t="shared" si="0"/>
        <v>0</v>
      </c>
      <c r="F27" s="439"/>
      <c r="G27" s="439"/>
      <c r="H27" s="441">
        <f t="shared" si="1"/>
        <v>0</v>
      </c>
    </row>
    <row r="28" spans="1:8" ht="15.75">
      <c r="A28" s="437">
        <v>7</v>
      </c>
      <c r="B28" s="444" t="s">
        <v>831</v>
      </c>
      <c r="C28" s="439"/>
      <c r="D28" s="439"/>
      <c r="E28" s="440">
        <f t="shared" si="0"/>
        <v>0</v>
      </c>
      <c r="F28" s="439"/>
      <c r="G28" s="439"/>
      <c r="H28" s="441">
        <f t="shared" si="1"/>
        <v>0</v>
      </c>
    </row>
    <row r="29" spans="1:8" ht="15.75">
      <c r="A29" s="437">
        <v>8</v>
      </c>
      <c r="B29" s="444" t="s">
        <v>832</v>
      </c>
      <c r="C29" s="439"/>
      <c r="D29" s="439"/>
      <c r="E29" s="440">
        <f t="shared" si="0"/>
        <v>0</v>
      </c>
      <c r="F29" s="439"/>
      <c r="G29" s="439"/>
      <c r="H29" s="441">
        <f t="shared" si="1"/>
        <v>0</v>
      </c>
    </row>
    <row r="30" spans="1:8" ht="15.75">
      <c r="A30" s="437">
        <v>9</v>
      </c>
      <c r="B30" s="442" t="s">
        <v>187</v>
      </c>
      <c r="C30" s="439">
        <f>C31+C32+C33+C34+C35+C36+C37</f>
        <v>0</v>
      </c>
      <c r="D30" s="439">
        <f>D31+D32+D33+D34+D35+D36+D37</f>
        <v>0</v>
      </c>
      <c r="E30" s="440">
        <f t="shared" si="0"/>
        <v>0</v>
      </c>
      <c r="F30" s="439">
        <f>F31+F32+F33+F34+F35+F36+F37</f>
        <v>0</v>
      </c>
      <c r="G30" s="439">
        <f>G31+G32+G33+G34+G35+G36+G37</f>
        <v>0</v>
      </c>
      <c r="H30" s="441">
        <f t="shared" si="1"/>
        <v>0</v>
      </c>
    </row>
    <row r="31" spans="1:8" ht="15.75">
      <c r="A31" s="437">
        <v>9.1</v>
      </c>
      <c r="B31" s="443" t="s">
        <v>833</v>
      </c>
      <c r="C31" s="439"/>
      <c r="D31" s="439"/>
      <c r="E31" s="440">
        <f t="shared" si="0"/>
        <v>0</v>
      </c>
      <c r="F31" s="439"/>
      <c r="G31" s="439"/>
      <c r="H31" s="441">
        <f t="shared" si="1"/>
        <v>0</v>
      </c>
    </row>
    <row r="32" spans="1:8" ht="15.75">
      <c r="A32" s="437">
        <v>9.1999999999999993</v>
      </c>
      <c r="B32" s="443" t="s">
        <v>834</v>
      </c>
      <c r="C32" s="439"/>
      <c r="D32" s="439"/>
      <c r="E32" s="440">
        <f t="shared" si="0"/>
        <v>0</v>
      </c>
      <c r="F32" s="439"/>
      <c r="G32" s="439"/>
      <c r="H32" s="441">
        <f t="shared" si="1"/>
        <v>0</v>
      </c>
    </row>
    <row r="33" spans="1:8" ht="15.75">
      <c r="A33" s="437">
        <v>9.3000000000000007</v>
      </c>
      <c r="B33" s="443" t="s">
        <v>835</v>
      </c>
      <c r="C33" s="439"/>
      <c r="D33" s="439"/>
      <c r="E33" s="440">
        <f t="shared" si="0"/>
        <v>0</v>
      </c>
      <c r="F33" s="439"/>
      <c r="G33" s="439"/>
      <c r="H33" s="441">
        <f t="shared" si="1"/>
        <v>0</v>
      </c>
    </row>
    <row r="34" spans="1:8" ht="15.75">
      <c r="A34" s="437">
        <v>9.4</v>
      </c>
      <c r="B34" s="443" t="s">
        <v>836</v>
      </c>
      <c r="C34" s="439"/>
      <c r="D34" s="439"/>
      <c r="E34" s="440">
        <f t="shared" si="0"/>
        <v>0</v>
      </c>
      <c r="F34" s="439"/>
      <c r="G34" s="439"/>
      <c r="H34" s="441">
        <f t="shared" si="1"/>
        <v>0</v>
      </c>
    </row>
    <row r="35" spans="1:8" ht="15.75">
      <c r="A35" s="437">
        <v>9.5</v>
      </c>
      <c r="B35" s="443" t="s">
        <v>837</v>
      </c>
      <c r="C35" s="439"/>
      <c r="D35" s="439"/>
      <c r="E35" s="440">
        <f t="shared" si="0"/>
        <v>0</v>
      </c>
      <c r="F35" s="439"/>
      <c r="G35" s="439"/>
      <c r="H35" s="441">
        <f t="shared" si="1"/>
        <v>0</v>
      </c>
    </row>
    <row r="36" spans="1:8" ht="30">
      <c r="A36" s="437">
        <v>9.6</v>
      </c>
      <c r="B36" s="443" t="s">
        <v>838</v>
      </c>
      <c r="C36" s="439"/>
      <c r="D36" s="439"/>
      <c r="E36" s="440">
        <f t="shared" si="0"/>
        <v>0</v>
      </c>
      <c r="F36" s="439"/>
      <c r="G36" s="439"/>
      <c r="H36" s="441">
        <f t="shared" si="1"/>
        <v>0</v>
      </c>
    </row>
    <row r="37" spans="1:8" ht="30">
      <c r="A37" s="437">
        <v>9.6999999999999993</v>
      </c>
      <c r="B37" s="443" t="s">
        <v>839</v>
      </c>
      <c r="C37" s="439"/>
      <c r="D37" s="439"/>
      <c r="E37" s="440">
        <f t="shared" si="0"/>
        <v>0</v>
      </c>
      <c r="F37" s="439"/>
      <c r="G37" s="439"/>
      <c r="H37" s="441">
        <f t="shared" si="1"/>
        <v>0</v>
      </c>
    </row>
    <row r="38" spans="1:8" ht="15.75">
      <c r="A38" s="437">
        <v>10</v>
      </c>
      <c r="B38" s="444" t="s">
        <v>840</v>
      </c>
      <c r="C38" s="439">
        <f>C39+C40+C41+C42</f>
        <v>0</v>
      </c>
      <c r="D38" s="439">
        <f>D39+D40+D41+D42</f>
        <v>0</v>
      </c>
      <c r="E38" s="440">
        <f t="shared" si="0"/>
        <v>0</v>
      </c>
      <c r="F38" s="439">
        <f>F39+F40+F41+F42</f>
        <v>0</v>
      </c>
      <c r="G38" s="439">
        <f>G39+G40+G41+G42</f>
        <v>0</v>
      </c>
      <c r="H38" s="441">
        <f t="shared" si="1"/>
        <v>0</v>
      </c>
    </row>
    <row r="39" spans="1:8" ht="15.75">
      <c r="A39" s="437">
        <v>10.1</v>
      </c>
      <c r="B39" s="443" t="s">
        <v>841</v>
      </c>
      <c r="C39" s="439"/>
      <c r="D39" s="439"/>
      <c r="E39" s="440">
        <f t="shared" si="0"/>
        <v>0</v>
      </c>
      <c r="F39" s="439"/>
      <c r="G39" s="439"/>
      <c r="H39" s="441">
        <f t="shared" si="1"/>
        <v>0</v>
      </c>
    </row>
    <row r="40" spans="1:8" ht="30">
      <c r="A40" s="437">
        <v>10.199999999999999</v>
      </c>
      <c r="B40" s="443" t="s">
        <v>842</v>
      </c>
      <c r="C40" s="439"/>
      <c r="D40" s="439"/>
      <c r="E40" s="440">
        <f t="shared" si="0"/>
        <v>0</v>
      </c>
      <c r="F40" s="439"/>
      <c r="G40" s="439"/>
      <c r="H40" s="441">
        <f t="shared" si="1"/>
        <v>0</v>
      </c>
    </row>
    <row r="41" spans="1:8" ht="30">
      <c r="A41" s="437">
        <v>10.3</v>
      </c>
      <c r="B41" s="443" t="s">
        <v>843</v>
      </c>
      <c r="C41" s="439"/>
      <c r="D41" s="439"/>
      <c r="E41" s="440">
        <f t="shared" si="0"/>
        <v>0</v>
      </c>
      <c r="F41" s="439"/>
      <c r="G41" s="439"/>
      <c r="H41" s="441">
        <f t="shared" si="1"/>
        <v>0</v>
      </c>
    </row>
    <row r="42" spans="1:8" ht="30">
      <c r="A42" s="437">
        <v>10.4</v>
      </c>
      <c r="B42" s="443" t="s">
        <v>844</v>
      </c>
      <c r="C42" s="439"/>
      <c r="D42" s="439"/>
      <c r="E42" s="440">
        <f t="shared" si="0"/>
        <v>0</v>
      </c>
      <c r="F42" s="439"/>
      <c r="G42" s="439"/>
      <c r="H42" s="441">
        <f t="shared" si="1"/>
        <v>0</v>
      </c>
    </row>
    <row r="43" spans="1:8" ht="15.75">
      <c r="A43" s="437">
        <v>11</v>
      </c>
      <c r="B43" s="448" t="s">
        <v>188</v>
      </c>
      <c r="C43" s="439"/>
      <c r="D43" s="439"/>
      <c r="E43" s="440">
        <f t="shared" si="0"/>
        <v>0</v>
      </c>
      <c r="F43" s="439"/>
      <c r="G43" s="439"/>
      <c r="H43" s="441">
        <f t="shared" si="1"/>
        <v>0</v>
      </c>
    </row>
    <row r="44" spans="1:8" ht="15.75">
      <c r="C44" s="450"/>
      <c r="D44" s="450"/>
      <c r="E44" s="450"/>
      <c r="F44" s="450"/>
      <c r="G44" s="450"/>
      <c r="H44" s="450"/>
    </row>
    <row r="45" spans="1:8" ht="15.75">
      <c r="C45" s="450"/>
      <c r="D45" s="450"/>
      <c r="E45" s="450"/>
      <c r="F45" s="450"/>
      <c r="G45" s="450"/>
      <c r="H45" s="450"/>
    </row>
    <row r="46" spans="1:8" ht="15.75">
      <c r="C46" s="450"/>
      <c r="D46" s="450"/>
      <c r="E46" s="450"/>
      <c r="F46" s="450"/>
      <c r="G46" s="450"/>
      <c r="H46" s="450"/>
    </row>
    <row r="47" spans="1:8" ht="15.75">
      <c r="C47" s="450"/>
      <c r="D47" s="450"/>
      <c r="E47" s="450"/>
      <c r="F47" s="450"/>
      <c r="G47" s="450"/>
      <c r="H47" s="450"/>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ySplit="4" topLeftCell="A5" activePane="bottomLeft" state="frozen"/>
      <selection pane="bottomLeft" activeCell="B14" sqref="B14"/>
    </sheetView>
  </sheetViews>
  <sheetFormatPr defaultColWidth="9.125" defaultRowHeight="15"/>
  <cols>
    <col min="1" max="1" width="9.5" style="1" bestFit="1" customWidth="1"/>
    <col min="2" max="2" width="93.5" style="1" customWidth="1"/>
    <col min="3" max="4" width="12.75" style="1" customWidth="1"/>
    <col min="5" max="11" width="9.75" style="8" customWidth="1"/>
    <col min="12" max="16384" width="9.125" style="8"/>
  </cols>
  <sheetData>
    <row r="1" spans="1:7">
      <c r="A1" s="13" t="s">
        <v>110</v>
      </c>
      <c r="B1" s="12" t="str">
        <f>Info!C2</f>
        <v>სს "პეისერა ბანკი საქართველო"</v>
      </c>
      <c r="C1" s="12"/>
    </row>
    <row r="2" spans="1:7">
      <c r="A2" s="13" t="s">
        <v>111</v>
      </c>
      <c r="B2" s="334">
        <f>'1. key ratios'!B2</f>
        <v>45016</v>
      </c>
      <c r="C2" s="12"/>
    </row>
    <row r="3" spans="1:7">
      <c r="A3" s="13"/>
      <c r="B3" s="12"/>
      <c r="C3" s="12"/>
    </row>
    <row r="4" spans="1:7" ht="15" customHeight="1" thickBot="1">
      <c r="A4" s="138" t="s">
        <v>255</v>
      </c>
      <c r="B4" s="139" t="s">
        <v>109</v>
      </c>
      <c r="C4" s="140" t="s">
        <v>89</v>
      </c>
    </row>
    <row r="5" spans="1:7" ht="15" customHeight="1">
      <c r="A5" s="136" t="s">
        <v>27</v>
      </c>
      <c r="B5" s="137"/>
      <c r="C5" s="320" t="str">
        <f>INT((MONTH($B$2))/3)&amp;"Q"&amp;"-"&amp;YEAR($B$2)</f>
        <v>1Q-2023</v>
      </c>
      <c r="D5" s="320" t="str">
        <f>IF(INT(MONTH($B$2))=3, "4"&amp;"Q"&amp;"-"&amp;YEAR($B$2)-1, IF(INT(MONTH($B$2))=6, "1"&amp;"Q"&amp;"-"&amp;YEAR($B$2), IF(INT(MONTH($B$2))=9, "2"&amp;"Q"&amp;"-"&amp;YEAR($B$2),IF(INT(MONTH($B$2))=12, "3"&amp;"Q"&amp;"-"&amp;YEAR($B$2), 0))))</f>
        <v>4Q-2022</v>
      </c>
      <c r="E5" s="320" t="str">
        <f>IF(INT(MONTH($B$2))=3, "3"&amp;"Q"&amp;"-"&amp;YEAR($B$2)-1, IF(INT(MONTH($B$2))=6, "4"&amp;"Q"&amp;"-"&amp;YEAR($B$2)-1, IF(INT(MONTH($B$2))=9, "1"&amp;"Q"&amp;"-"&amp;YEAR($B$2),IF(INT(MONTH($B$2))=12, "2"&amp;"Q"&amp;"-"&amp;YEAR($B$2), 0))))</f>
        <v>3Q-2022</v>
      </c>
      <c r="F5" s="320" t="str">
        <f>IF(INT(MONTH($B$2))=3, "2"&amp;"Q"&amp;"-"&amp;YEAR($B$2)-1, IF(INT(MONTH($B$2))=6, "3"&amp;"Q"&amp;"-"&amp;YEAR($B$2)-1, IF(INT(MONTH($B$2))=9, "4"&amp;"Q"&amp;"-"&amp;YEAR($B$2)-1,IF(INT(MONTH($B$2))=12, "1"&amp;"Q"&amp;"-"&amp;YEAR($B$2), 0))))</f>
        <v>2Q-2022</v>
      </c>
      <c r="G5" s="321" t="str">
        <f>IF(INT(MONTH($B$2))=3, "1"&amp;"Q"&amp;"-"&amp;YEAR($B$2)-1, IF(INT(MONTH($B$2))=6, "2"&amp;"Q"&amp;"-"&amp;YEAR($B$2)-1, IF(INT(MONTH($B$2))=9, "3"&amp;"Q"&amp;"-"&amp;YEAR($B$2)-1,IF(INT(MONTH($B$2))=12, "4"&amp;"Q"&amp;"-"&amp;YEAR($B$2)-1, 0))))</f>
        <v>1Q-2022</v>
      </c>
    </row>
    <row r="6" spans="1:7" ht="15" customHeight="1">
      <c r="A6" s="254">
        <v>1</v>
      </c>
      <c r="B6" s="305" t="s">
        <v>114</v>
      </c>
      <c r="C6" s="255">
        <f>C7+C9+C10</f>
        <v>2985926.2459999998</v>
      </c>
      <c r="D6" s="307">
        <f>D7+D9+D10</f>
        <v>3173226.4816558827</v>
      </c>
      <c r="E6" s="307">
        <f t="shared" ref="E6:G6" si="0">E7+E9+E10</f>
        <v>0</v>
      </c>
      <c r="F6" s="255">
        <f t="shared" si="0"/>
        <v>0</v>
      </c>
      <c r="G6" s="308">
        <f t="shared" si="0"/>
        <v>0</v>
      </c>
    </row>
    <row r="7" spans="1:7" ht="15" customHeight="1">
      <c r="A7" s="254">
        <v>1.1000000000000001</v>
      </c>
      <c r="B7" s="256" t="s">
        <v>438</v>
      </c>
      <c r="C7" s="257">
        <v>2985926.2459999998</v>
      </c>
      <c r="D7" s="309">
        <v>3173226.4816558827</v>
      </c>
      <c r="E7" s="257">
        <v>0</v>
      </c>
      <c r="F7" s="257">
        <v>0</v>
      </c>
      <c r="G7" s="310">
        <v>0</v>
      </c>
    </row>
    <row r="8" spans="1:7" ht="30">
      <c r="A8" s="254" t="s">
        <v>159</v>
      </c>
      <c r="B8" s="258" t="s">
        <v>252</v>
      </c>
      <c r="C8" s="257">
        <v>0</v>
      </c>
      <c r="D8" s="309">
        <v>0</v>
      </c>
      <c r="E8" s="257">
        <v>0</v>
      </c>
      <c r="F8" s="257">
        <v>0</v>
      </c>
      <c r="G8" s="310">
        <v>0</v>
      </c>
    </row>
    <row r="9" spans="1:7" ht="15" customHeight="1">
      <c r="A9" s="254">
        <v>1.2</v>
      </c>
      <c r="B9" s="256" t="s">
        <v>23</v>
      </c>
      <c r="C9" s="257">
        <v>0</v>
      </c>
      <c r="D9" s="309">
        <v>0</v>
      </c>
      <c r="E9" s="257">
        <v>0</v>
      </c>
      <c r="F9" s="257">
        <v>0</v>
      </c>
      <c r="G9" s="310">
        <v>0</v>
      </c>
    </row>
    <row r="10" spans="1:7" ht="15" customHeight="1">
      <c r="A10" s="254">
        <v>1.3</v>
      </c>
      <c r="B10" s="306" t="s">
        <v>76</v>
      </c>
      <c r="C10" s="257">
        <v>0</v>
      </c>
      <c r="D10" s="309">
        <v>0</v>
      </c>
      <c r="E10" s="257">
        <v>0</v>
      </c>
      <c r="F10" s="257">
        <v>0</v>
      </c>
      <c r="G10" s="310">
        <v>0</v>
      </c>
    </row>
    <row r="11" spans="1:7" ht="15" customHeight="1">
      <c r="A11" s="254">
        <v>2</v>
      </c>
      <c r="B11" s="305" t="s">
        <v>115</v>
      </c>
      <c r="C11" s="257">
        <v>236673.77000000043</v>
      </c>
      <c r="D11" s="309">
        <v>12200.900000000001</v>
      </c>
      <c r="E11" s="257">
        <v>0</v>
      </c>
      <c r="F11" s="257">
        <v>0</v>
      </c>
      <c r="G11" s="310">
        <v>0</v>
      </c>
    </row>
    <row r="12" spans="1:7" ht="15" customHeight="1">
      <c r="A12" s="254">
        <v>3</v>
      </c>
      <c r="B12" s="305" t="s">
        <v>113</v>
      </c>
      <c r="C12" s="257">
        <v>0</v>
      </c>
      <c r="D12" s="309">
        <v>0</v>
      </c>
      <c r="E12" s="257">
        <v>0</v>
      </c>
      <c r="F12" s="257">
        <v>0</v>
      </c>
      <c r="G12" s="310">
        <v>0</v>
      </c>
    </row>
    <row r="13" spans="1:7" ht="15" customHeight="1" thickBot="1">
      <c r="A13" s="76">
        <v>4</v>
      </c>
      <c r="B13" s="313" t="s">
        <v>160</v>
      </c>
      <c r="C13" s="160">
        <f>C6+C11+C12</f>
        <v>3222600.0160000003</v>
      </c>
      <c r="D13" s="311">
        <f>D6+D11+D12</f>
        <v>3185427.3816558826</v>
      </c>
      <c r="E13" s="311">
        <f t="shared" ref="E13:G13" si="1">E6+E11+E12</f>
        <v>0</v>
      </c>
      <c r="F13" s="160">
        <f t="shared" si="1"/>
        <v>0</v>
      </c>
      <c r="G13" s="312">
        <f t="shared" si="1"/>
        <v>0</v>
      </c>
    </row>
    <row r="14" spans="1:7">
      <c r="B14" s="17"/>
    </row>
    <row r="15" spans="1:7" ht="30">
      <c r="B15" s="17" t="s">
        <v>439</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2"/>
  <sheetViews>
    <sheetView showGridLines="0" zoomScaleNormal="100" workbookViewId="0">
      <pane xSplit="1" ySplit="4" topLeftCell="B5" activePane="bottomRight" state="frozen"/>
      <selection pane="topRight" activeCell="B1" sqref="B1"/>
      <selection pane="bottomLeft" activeCell="A4" sqref="A4"/>
      <selection pane="bottomRight" activeCell="I17" sqref="I17"/>
    </sheetView>
  </sheetViews>
  <sheetFormatPr defaultRowHeight="15.75"/>
  <cols>
    <col min="1" max="1" width="9.5" style="1" bestFit="1" customWidth="1"/>
    <col min="2" max="2" width="58.875" style="1" customWidth="1"/>
    <col min="3" max="3" width="41.25" style="1" bestFit="1" customWidth="1"/>
  </cols>
  <sheetData>
    <row r="1" spans="1:8">
      <c r="A1" s="1" t="s">
        <v>110</v>
      </c>
      <c r="B1" s="1" t="str">
        <f>Info!C2</f>
        <v>სს "პეისერა ბანკი საქართველო"</v>
      </c>
    </row>
    <row r="2" spans="1:8">
      <c r="A2" s="1" t="s">
        <v>111</v>
      </c>
      <c r="B2" s="694">
        <f>'1. key ratios'!B2</f>
        <v>45016</v>
      </c>
    </row>
    <row r="4" spans="1:8" ht="30.75" thickBot="1">
      <c r="A4" s="152" t="s">
        <v>256</v>
      </c>
      <c r="B4" s="24" t="s">
        <v>93</v>
      </c>
      <c r="C4" s="9"/>
    </row>
    <row r="5" spans="1:8">
      <c r="A5" s="7"/>
      <c r="B5" s="301" t="s">
        <v>94</v>
      </c>
      <c r="C5" s="318" t="s">
        <v>452</v>
      </c>
    </row>
    <row r="6" spans="1:8">
      <c r="A6" s="10">
        <v>1</v>
      </c>
      <c r="B6" s="642" t="s">
        <v>949</v>
      </c>
      <c r="C6" s="643" t="s">
        <v>950</v>
      </c>
    </row>
    <row r="7" spans="1:8">
      <c r="A7" s="10">
        <v>2</v>
      </c>
      <c r="B7" s="642" t="s">
        <v>951</v>
      </c>
      <c r="C7" s="643" t="s">
        <v>952</v>
      </c>
    </row>
    <row r="8" spans="1:8">
      <c r="A8" s="10">
        <v>3</v>
      </c>
      <c r="B8" s="642" t="s">
        <v>953</v>
      </c>
      <c r="C8" s="643" t="s">
        <v>954</v>
      </c>
    </row>
    <row r="9" spans="1:8">
      <c r="A9" s="10">
        <v>4</v>
      </c>
      <c r="B9" s="642" t="s">
        <v>955</v>
      </c>
      <c r="C9" s="643" t="s">
        <v>954</v>
      </c>
    </row>
    <row r="10" spans="1:8">
      <c r="A10" s="10">
        <v>5</v>
      </c>
      <c r="B10" s="25"/>
      <c r="C10" s="314"/>
    </row>
    <row r="11" spans="1:8">
      <c r="A11" s="10">
        <v>6</v>
      </c>
      <c r="B11" s="25"/>
      <c r="C11" s="314"/>
    </row>
    <row r="12" spans="1:8">
      <c r="A12" s="10">
        <v>7</v>
      </c>
      <c r="B12" s="25"/>
      <c r="C12" s="314"/>
      <c r="H12" s="2"/>
    </row>
    <row r="13" spans="1:8">
      <c r="A13" s="10">
        <v>8</v>
      </c>
      <c r="B13" s="25"/>
      <c r="C13" s="314"/>
    </row>
    <row r="14" spans="1:8">
      <c r="A14" s="10">
        <v>9</v>
      </c>
      <c r="B14" s="25"/>
      <c r="C14" s="314"/>
    </row>
    <row r="15" spans="1:8">
      <c r="A15" s="10">
        <v>10</v>
      </c>
      <c r="B15" s="25"/>
      <c r="C15" s="314"/>
    </row>
    <row r="16" spans="1:8">
      <c r="A16" s="10"/>
      <c r="B16" s="749"/>
      <c r="C16" s="750"/>
    </row>
    <row r="17" spans="1:3" ht="30">
      <c r="A17" s="10"/>
      <c r="B17" s="302" t="s">
        <v>95</v>
      </c>
      <c r="C17" s="319" t="s">
        <v>453</v>
      </c>
    </row>
    <row r="18" spans="1:3">
      <c r="A18" s="10">
        <v>1</v>
      </c>
      <c r="B18" s="644" t="s">
        <v>956</v>
      </c>
      <c r="C18" s="645" t="s">
        <v>957</v>
      </c>
    </row>
    <row r="19" spans="1:3">
      <c r="A19" s="10">
        <v>2</v>
      </c>
      <c r="B19" s="644" t="s">
        <v>958</v>
      </c>
      <c r="C19" s="645" t="s">
        <v>959</v>
      </c>
    </row>
    <row r="20" spans="1:3">
      <c r="A20" s="10">
        <v>3</v>
      </c>
      <c r="B20" s="644" t="s">
        <v>960</v>
      </c>
      <c r="C20" s="645" t="s">
        <v>961</v>
      </c>
    </row>
    <row r="21" spans="1:3">
      <c r="A21" s="10">
        <v>4</v>
      </c>
      <c r="B21" s="21"/>
      <c r="C21" s="316"/>
    </row>
    <row r="22" spans="1:3">
      <c r="A22" s="10">
        <v>5</v>
      </c>
      <c r="B22" s="21"/>
      <c r="C22" s="316"/>
    </row>
    <row r="23" spans="1:3">
      <c r="A23" s="10">
        <v>6</v>
      </c>
      <c r="B23" s="21"/>
      <c r="C23" s="316"/>
    </row>
    <row r="24" spans="1:3">
      <c r="A24" s="10">
        <v>7</v>
      </c>
      <c r="B24" s="21"/>
      <c r="C24" s="316"/>
    </row>
    <row r="25" spans="1:3">
      <c r="A25" s="10">
        <v>8</v>
      </c>
      <c r="B25" s="21"/>
      <c r="C25" s="316"/>
    </row>
    <row r="26" spans="1:3">
      <c r="A26" s="10">
        <v>9</v>
      </c>
      <c r="B26" s="21"/>
      <c r="C26" s="316"/>
    </row>
    <row r="27" spans="1:3" ht="15.75" customHeight="1">
      <c r="A27" s="10">
        <v>10</v>
      </c>
      <c r="B27" s="21"/>
      <c r="C27" s="317"/>
    </row>
    <row r="28" spans="1:3" ht="15.75" customHeight="1">
      <c r="A28" s="10"/>
      <c r="B28" s="21"/>
      <c r="C28" s="22"/>
    </row>
    <row r="29" spans="1:3" ht="30" customHeight="1">
      <c r="A29" s="10"/>
      <c r="B29" s="751" t="s">
        <v>96</v>
      </c>
      <c r="C29" s="752"/>
    </row>
    <row r="30" spans="1:3">
      <c r="A30" s="646">
        <v>1</v>
      </c>
      <c r="B30" s="642" t="s">
        <v>962</v>
      </c>
      <c r="C30" s="647">
        <v>0.11538461538461539</v>
      </c>
    </row>
    <row r="31" spans="1:3">
      <c r="A31" s="646">
        <v>2</v>
      </c>
      <c r="B31" s="648" t="s">
        <v>963</v>
      </c>
      <c r="C31" s="649">
        <v>0.1</v>
      </c>
    </row>
    <row r="32" spans="1:3">
      <c r="A32" s="646">
        <v>3</v>
      </c>
      <c r="B32" s="648" t="s">
        <v>956</v>
      </c>
      <c r="C32" s="649">
        <v>0.30769230769230771</v>
      </c>
    </row>
    <row r="33" spans="1:3">
      <c r="A33" s="646">
        <v>4</v>
      </c>
      <c r="B33" s="648" t="s">
        <v>964</v>
      </c>
      <c r="C33" s="649">
        <v>0.30769230769230771</v>
      </c>
    </row>
    <row r="34" spans="1:3">
      <c r="A34" s="646">
        <v>5</v>
      </c>
      <c r="B34" s="648" t="s">
        <v>965</v>
      </c>
      <c r="C34" s="649">
        <v>0.16923076923076924</v>
      </c>
    </row>
    <row r="35" spans="1:3" ht="15.75" customHeight="1">
      <c r="A35" s="10"/>
      <c r="B35" s="25"/>
      <c r="C35" s="26"/>
    </row>
    <row r="36" spans="1:3" ht="29.25" customHeight="1">
      <c r="A36" s="10"/>
      <c r="B36" s="751" t="s">
        <v>176</v>
      </c>
      <c r="C36" s="752"/>
    </row>
    <row r="37" spans="1:3">
      <c r="A37" s="646">
        <v>1</v>
      </c>
      <c r="B37" s="642" t="s">
        <v>962</v>
      </c>
      <c r="C37" s="647">
        <v>0.11538461538461539</v>
      </c>
    </row>
    <row r="38" spans="1:3">
      <c r="A38" s="646">
        <v>2</v>
      </c>
      <c r="B38" s="648" t="s">
        <v>963</v>
      </c>
      <c r="C38" s="649">
        <v>0.1</v>
      </c>
    </row>
    <row r="39" spans="1:3">
      <c r="A39" s="646">
        <v>3</v>
      </c>
      <c r="B39" s="648" t="s">
        <v>956</v>
      </c>
      <c r="C39" s="649">
        <v>0.30769230769230771</v>
      </c>
    </row>
    <row r="40" spans="1:3">
      <c r="A40" s="646">
        <v>4</v>
      </c>
      <c r="B40" s="648" t="s">
        <v>964</v>
      </c>
      <c r="C40" s="649">
        <v>0.30769230769230771</v>
      </c>
    </row>
    <row r="41" spans="1:3">
      <c r="A41" s="646">
        <v>5</v>
      </c>
      <c r="B41" s="642" t="s">
        <v>965</v>
      </c>
      <c r="C41" s="647">
        <v>0.16923076923076924</v>
      </c>
    </row>
    <row r="42" spans="1:3" ht="16.5" thickBot="1">
      <c r="A42" s="11"/>
      <c r="B42" s="27"/>
      <c r="C42" s="315"/>
    </row>
  </sheetData>
  <mergeCells count="3">
    <mergeCell ref="B16:C16"/>
    <mergeCell ref="B36:C36"/>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80" zoomScaleNormal="80" workbookViewId="0">
      <pane xSplit="1" ySplit="5" topLeftCell="B16" activePane="bottomRight" state="frozen"/>
      <selection activeCell="H6" sqref="H6"/>
      <selection pane="topRight" activeCell="H6" sqref="H6"/>
      <selection pane="bottomLeft" activeCell="H6" sqref="H6"/>
      <selection pane="bottomRight" activeCell="D34" sqref="D34"/>
    </sheetView>
  </sheetViews>
  <sheetFormatPr defaultRowHeight="15.75"/>
  <cols>
    <col min="1" max="1" width="9.5" style="1" bestFit="1" customWidth="1"/>
    <col min="2" max="2" width="47.5" style="1" customWidth="1"/>
    <col min="3" max="3" width="28" style="629" customWidth="1"/>
    <col min="4" max="4" width="25.625" style="629" customWidth="1"/>
    <col min="5" max="5" width="18.875" style="629" customWidth="1"/>
    <col min="6" max="6" width="12" bestFit="1" customWidth="1"/>
    <col min="7" max="7" width="12.5" bestFit="1" customWidth="1"/>
  </cols>
  <sheetData>
    <row r="1" spans="1:5">
      <c r="A1" s="13" t="s">
        <v>110</v>
      </c>
      <c r="B1" s="12" t="str">
        <f>Info!C2</f>
        <v>სს "პეისერა ბანკი საქართველო"</v>
      </c>
    </row>
    <row r="2" spans="1:5" s="13" customFormat="1" ht="15.75" customHeight="1">
      <c r="A2" s="13" t="s">
        <v>111</v>
      </c>
      <c r="B2" s="694">
        <f>'1. key ratios'!B2</f>
        <v>45016</v>
      </c>
      <c r="C2" s="651"/>
      <c r="D2" s="651"/>
      <c r="E2" s="651"/>
    </row>
    <row r="3" spans="1:5" s="13" customFormat="1" ht="15.75" customHeight="1">
      <c r="C3" s="651"/>
      <c r="D3" s="651"/>
      <c r="E3" s="651"/>
    </row>
    <row r="4" spans="1:5" s="13" customFormat="1" ht="15.75" customHeight="1" thickBot="1">
      <c r="A4" s="153" t="s">
        <v>257</v>
      </c>
      <c r="B4" s="154" t="s">
        <v>170</v>
      </c>
      <c r="C4" s="652"/>
      <c r="D4" s="652"/>
      <c r="E4" s="653" t="s">
        <v>89</v>
      </c>
    </row>
    <row r="5" spans="1:5" s="72" customFormat="1" ht="17.45" customHeight="1">
      <c r="A5" s="233"/>
      <c r="B5" s="234"/>
      <c r="C5" s="654" t="s">
        <v>0</v>
      </c>
      <c r="D5" s="654" t="s">
        <v>1</v>
      </c>
      <c r="E5" s="655" t="s">
        <v>2</v>
      </c>
    </row>
    <row r="6" spans="1:5" ht="14.45" customHeight="1">
      <c r="A6" s="235"/>
      <c r="B6" s="753" t="s">
        <v>146</v>
      </c>
      <c r="C6" s="754" t="s">
        <v>858</v>
      </c>
      <c r="D6" s="755" t="s">
        <v>145</v>
      </c>
      <c r="E6" s="756"/>
    </row>
    <row r="7" spans="1:5" ht="99.6" customHeight="1">
      <c r="A7" s="235"/>
      <c r="B7" s="753"/>
      <c r="C7" s="754"/>
      <c r="D7" s="656" t="s">
        <v>144</v>
      </c>
      <c r="E7" s="657" t="s">
        <v>355</v>
      </c>
    </row>
    <row r="8" spans="1:5" ht="22.5" customHeight="1">
      <c r="A8" s="451">
        <v>1</v>
      </c>
      <c r="B8" s="398" t="s">
        <v>845</v>
      </c>
      <c r="C8" s="650">
        <f>SUM(C9:C11)</f>
        <v>5978245.3200000003</v>
      </c>
      <c r="D8" s="650">
        <f t="shared" ref="D8:E8" si="0">SUM(D9:D11)</f>
        <v>0</v>
      </c>
      <c r="E8" s="650">
        <f t="shared" si="0"/>
        <v>5978245.3200000003</v>
      </c>
    </row>
    <row r="9" spans="1:5" ht="15">
      <c r="A9" s="451">
        <v>1.1000000000000001</v>
      </c>
      <c r="B9" s="399" t="s">
        <v>98</v>
      </c>
      <c r="C9" s="650"/>
      <c r="D9" s="650"/>
      <c r="E9" s="650"/>
    </row>
    <row r="10" spans="1:5" ht="15">
      <c r="A10" s="451">
        <v>1.2</v>
      </c>
      <c r="B10" s="399" t="s">
        <v>99</v>
      </c>
      <c r="C10" s="650"/>
      <c r="D10" s="650"/>
      <c r="E10" s="650"/>
    </row>
    <row r="11" spans="1:5" ht="15">
      <c r="A11" s="451">
        <v>1.3</v>
      </c>
      <c r="B11" s="399" t="s">
        <v>100</v>
      </c>
      <c r="C11" s="650">
        <v>5978245.3200000003</v>
      </c>
      <c r="D11" s="650"/>
      <c r="E11" s="650">
        <f>C11</f>
        <v>5978245.3200000003</v>
      </c>
    </row>
    <row r="12" spans="1:5" ht="15">
      <c r="A12" s="451">
        <v>2</v>
      </c>
      <c r="B12" s="400" t="s">
        <v>732</v>
      </c>
      <c r="C12" s="650"/>
      <c r="D12" s="650"/>
      <c r="E12" s="650"/>
    </row>
    <row r="13" spans="1:5" ht="15">
      <c r="A13" s="451">
        <v>2.1</v>
      </c>
      <c r="B13" s="401" t="s">
        <v>733</v>
      </c>
      <c r="C13" s="650"/>
      <c r="D13" s="650"/>
      <c r="E13" s="650"/>
    </row>
    <row r="14" spans="1:5" ht="33.950000000000003" customHeight="1">
      <c r="A14" s="451">
        <v>3</v>
      </c>
      <c r="B14" s="402" t="s">
        <v>734</v>
      </c>
      <c r="C14" s="650"/>
      <c r="D14" s="650"/>
      <c r="E14" s="650"/>
    </row>
    <row r="15" spans="1:5" ht="32.450000000000003" customHeight="1">
      <c r="A15" s="451">
        <v>4</v>
      </c>
      <c r="B15" s="403" t="s">
        <v>735</v>
      </c>
      <c r="C15" s="650"/>
      <c r="D15" s="650"/>
      <c r="E15" s="650"/>
    </row>
    <row r="16" spans="1:5" ht="23.1" customHeight="1">
      <c r="A16" s="451">
        <v>5</v>
      </c>
      <c r="B16" s="403" t="s">
        <v>736</v>
      </c>
      <c r="C16" s="650">
        <f>SUM(C17:C19)</f>
        <v>0</v>
      </c>
      <c r="D16" s="650">
        <f t="shared" ref="D16:E16" si="1">SUM(D17:D19)</f>
        <v>0</v>
      </c>
      <c r="E16" s="650">
        <f t="shared" si="1"/>
        <v>0</v>
      </c>
    </row>
    <row r="17" spans="1:5" ht="15">
      <c r="A17" s="451">
        <v>5.0999999999999996</v>
      </c>
      <c r="B17" s="404" t="s">
        <v>737</v>
      </c>
      <c r="C17" s="650"/>
      <c r="D17" s="650"/>
      <c r="E17" s="650"/>
    </row>
    <row r="18" spans="1:5" ht="15">
      <c r="A18" s="451">
        <v>5.2</v>
      </c>
      <c r="B18" s="404" t="s">
        <v>571</v>
      </c>
      <c r="C18" s="650"/>
      <c r="D18" s="650"/>
      <c r="E18" s="650"/>
    </row>
    <row r="19" spans="1:5" ht="15">
      <c r="A19" s="451">
        <v>5.3</v>
      </c>
      <c r="B19" s="404" t="s">
        <v>738</v>
      </c>
      <c r="C19" s="650"/>
      <c r="D19" s="650"/>
      <c r="E19" s="650"/>
    </row>
    <row r="20" spans="1:5" ht="21">
      <c r="A20" s="451">
        <v>6</v>
      </c>
      <c r="B20" s="402" t="s">
        <v>739</v>
      </c>
      <c r="C20" s="650">
        <f>SUM(C21:C22)</f>
        <v>0</v>
      </c>
      <c r="D20" s="650">
        <f t="shared" ref="D20:E20" si="2">SUM(D21:D22)</f>
        <v>0</v>
      </c>
      <c r="E20" s="650">
        <f t="shared" si="2"/>
        <v>0</v>
      </c>
    </row>
    <row r="21" spans="1:5" ht="15">
      <c r="A21" s="451">
        <v>6.1</v>
      </c>
      <c r="B21" s="404" t="s">
        <v>571</v>
      </c>
      <c r="C21" s="658"/>
      <c r="D21" s="658"/>
      <c r="E21" s="658"/>
    </row>
    <row r="22" spans="1:5" ht="15">
      <c r="A22" s="451">
        <v>6.2</v>
      </c>
      <c r="B22" s="404" t="s">
        <v>738</v>
      </c>
      <c r="C22" s="658"/>
      <c r="D22" s="658"/>
      <c r="E22" s="658"/>
    </row>
    <row r="23" spans="1:5" ht="21">
      <c r="A23" s="451">
        <v>7</v>
      </c>
      <c r="B23" s="405" t="s">
        <v>740</v>
      </c>
      <c r="C23" s="659"/>
      <c r="D23" s="659"/>
      <c r="E23" s="659"/>
    </row>
    <row r="24" spans="1:5" ht="21">
      <c r="A24" s="451">
        <v>8</v>
      </c>
      <c r="B24" s="406" t="s">
        <v>741</v>
      </c>
      <c r="C24" s="659"/>
      <c r="D24" s="659"/>
      <c r="E24" s="659"/>
    </row>
    <row r="25" spans="1:5" ht="15">
      <c r="A25" s="451">
        <v>9</v>
      </c>
      <c r="B25" s="403" t="s">
        <v>742</v>
      </c>
      <c r="C25" s="659">
        <f>SUM(C26:C27)</f>
        <v>531496.53</v>
      </c>
      <c r="D25" s="659">
        <f>SUM(D26:D27)</f>
        <v>0</v>
      </c>
      <c r="E25" s="659">
        <f>SUM(E26:E27)</f>
        <v>531496.53</v>
      </c>
    </row>
    <row r="26" spans="1:5" ht="15">
      <c r="A26" s="451">
        <v>9.1</v>
      </c>
      <c r="B26" s="407" t="s">
        <v>743</v>
      </c>
      <c r="C26" s="659">
        <v>531496.53</v>
      </c>
      <c r="D26" s="659"/>
      <c r="E26" s="659">
        <f>C26</f>
        <v>531496.53</v>
      </c>
    </row>
    <row r="27" spans="1:5" ht="15">
      <c r="A27" s="451">
        <v>9.1999999999999993</v>
      </c>
      <c r="B27" s="407" t="s">
        <v>744</v>
      </c>
      <c r="C27" s="659"/>
      <c r="D27" s="659"/>
      <c r="E27" s="659"/>
    </row>
    <row r="28" spans="1:5" ht="15">
      <c r="A28" s="451">
        <v>10</v>
      </c>
      <c r="B28" s="403" t="s">
        <v>38</v>
      </c>
      <c r="C28" s="659">
        <f>SUM(C29:C30)</f>
        <v>201292.66</v>
      </c>
      <c r="D28" s="659">
        <f t="shared" ref="D28:E28" si="3">SUM(D29:D30)</f>
        <v>201292.66</v>
      </c>
      <c r="E28" s="659">
        <f t="shared" si="3"/>
        <v>0</v>
      </c>
    </row>
    <row r="29" spans="1:5" ht="15">
      <c r="A29" s="451">
        <v>10.1</v>
      </c>
      <c r="B29" s="407" t="s">
        <v>745</v>
      </c>
      <c r="C29" s="659"/>
      <c r="D29" s="659"/>
      <c r="E29" s="659"/>
    </row>
    <row r="30" spans="1:5" ht="15">
      <c r="A30" s="451">
        <v>10.199999999999999</v>
      </c>
      <c r="B30" s="407" t="s">
        <v>746</v>
      </c>
      <c r="C30" s="659">
        <v>201292.66</v>
      </c>
      <c r="D30" s="659">
        <f>C30</f>
        <v>201292.66</v>
      </c>
      <c r="E30" s="659">
        <f>C30-D30</f>
        <v>0</v>
      </c>
    </row>
    <row r="31" spans="1:5" ht="15">
      <c r="A31" s="451">
        <v>11</v>
      </c>
      <c r="B31" s="403" t="s">
        <v>747</v>
      </c>
      <c r="C31" s="659">
        <f>SUM(C32:C33)</f>
        <v>0</v>
      </c>
      <c r="D31" s="659">
        <f t="shared" ref="D31:E31" si="4">SUM(D32:D33)</f>
        <v>0</v>
      </c>
      <c r="E31" s="659">
        <f t="shared" si="4"/>
        <v>0</v>
      </c>
    </row>
    <row r="32" spans="1:5" ht="15">
      <c r="A32" s="451">
        <v>11.1</v>
      </c>
      <c r="B32" s="407" t="s">
        <v>748</v>
      </c>
      <c r="C32" s="659"/>
      <c r="D32" s="659"/>
      <c r="E32" s="659"/>
    </row>
    <row r="33" spans="1:7" ht="15">
      <c r="A33" s="451">
        <v>11.2</v>
      </c>
      <c r="B33" s="407" t="s">
        <v>749</v>
      </c>
      <c r="C33" s="659"/>
      <c r="D33" s="659"/>
      <c r="E33" s="659"/>
    </row>
    <row r="34" spans="1:7" ht="15">
      <c r="A34" s="451">
        <v>13</v>
      </c>
      <c r="B34" s="403" t="s">
        <v>101</v>
      </c>
      <c r="C34" s="658">
        <v>102526.7</v>
      </c>
      <c r="D34" s="658"/>
      <c r="E34" s="658">
        <f>C34</f>
        <v>102526.7</v>
      </c>
    </row>
    <row r="35" spans="1:7" ht="15">
      <c r="A35" s="451">
        <v>13.1</v>
      </c>
      <c r="B35" s="408" t="s">
        <v>750</v>
      </c>
      <c r="C35" s="658"/>
      <c r="D35" s="658"/>
      <c r="E35" s="658"/>
    </row>
    <row r="36" spans="1:7" ht="15">
      <c r="A36" s="451">
        <v>13.2</v>
      </c>
      <c r="B36" s="408" t="s">
        <v>751</v>
      </c>
      <c r="C36" s="658"/>
      <c r="D36" s="658"/>
      <c r="E36" s="658"/>
    </row>
    <row r="37" spans="1:7" ht="45.75" thickBot="1">
      <c r="A37" s="236"/>
      <c r="B37" s="237" t="s">
        <v>322</v>
      </c>
      <c r="C37" s="660">
        <f>SUM(C8,C12,C14,C15,C16,C20,C23,C24,C25,C28,C31,C34)</f>
        <v>6813561.2100000009</v>
      </c>
      <c r="D37" s="660">
        <f t="shared" ref="D37:E37" si="5">SUM(D8,D12,D14,D15,D16,D20,D23,D24,D25,D28,D31,D34)</f>
        <v>201292.66</v>
      </c>
      <c r="E37" s="660">
        <f t="shared" si="5"/>
        <v>6612268.5500000007</v>
      </c>
    </row>
    <row r="38" spans="1:7" ht="15">
      <c r="A38"/>
      <c r="B38"/>
      <c r="C38" s="630"/>
      <c r="D38" s="630"/>
      <c r="E38" s="630"/>
    </row>
    <row r="39" spans="1:7" ht="15">
      <c r="A39"/>
      <c r="B39"/>
      <c r="C39" s="630"/>
      <c r="D39" s="630"/>
      <c r="E39" s="630"/>
    </row>
    <row r="41" spans="1:7" s="1" customFormat="1">
      <c r="B41" s="29"/>
      <c r="C41" s="629"/>
      <c r="D41" s="629"/>
      <c r="E41" s="629"/>
      <c r="F41"/>
      <c r="G41"/>
    </row>
    <row r="42" spans="1:7" s="1" customFormat="1">
      <c r="B42" s="30"/>
      <c r="C42" s="629"/>
      <c r="D42" s="629"/>
      <c r="E42" s="629"/>
      <c r="F42"/>
      <c r="G42"/>
    </row>
    <row r="43" spans="1:7" s="1" customFormat="1">
      <c r="B43" s="29"/>
      <c r="C43" s="629"/>
      <c r="D43" s="629"/>
      <c r="E43" s="629"/>
      <c r="F43"/>
      <c r="G43"/>
    </row>
    <row r="44" spans="1:7" s="1" customFormat="1">
      <c r="B44" s="29"/>
      <c r="C44" s="629"/>
      <c r="D44" s="629"/>
      <c r="E44" s="629"/>
      <c r="F44"/>
      <c r="G44"/>
    </row>
    <row r="45" spans="1:7" s="1" customFormat="1">
      <c r="B45" s="29"/>
      <c r="C45" s="629"/>
      <c r="D45" s="629"/>
      <c r="E45" s="629"/>
      <c r="F45"/>
      <c r="G45"/>
    </row>
    <row r="46" spans="1:7" s="1" customFormat="1">
      <c r="B46" s="29"/>
      <c r="C46" s="629"/>
      <c r="D46" s="629"/>
      <c r="E46" s="629"/>
      <c r="F46"/>
      <c r="G46"/>
    </row>
    <row r="47" spans="1:7" s="1" customFormat="1">
      <c r="B47" s="29"/>
      <c r="C47" s="629"/>
      <c r="D47" s="629"/>
      <c r="E47" s="629"/>
      <c r="F47"/>
      <c r="G47"/>
    </row>
    <row r="48" spans="1:7" s="1" customFormat="1">
      <c r="B48" s="30"/>
      <c r="C48" s="629"/>
      <c r="D48" s="629"/>
      <c r="E48" s="629"/>
      <c r="F48"/>
      <c r="G48"/>
    </row>
    <row r="49" spans="2:7" s="1" customFormat="1">
      <c r="B49" s="30"/>
      <c r="C49" s="629"/>
      <c r="D49" s="629"/>
      <c r="E49" s="629"/>
      <c r="F49"/>
      <c r="G49"/>
    </row>
    <row r="50" spans="2:7" s="1" customFormat="1">
      <c r="B50" s="30"/>
      <c r="C50" s="629"/>
      <c r="D50" s="629"/>
      <c r="E50" s="629"/>
      <c r="F50"/>
      <c r="G50"/>
    </row>
    <row r="51" spans="2:7" s="1" customFormat="1">
      <c r="B51" s="30"/>
      <c r="C51" s="629"/>
      <c r="D51" s="629"/>
      <c r="E51" s="629"/>
      <c r="F51"/>
      <c r="G51"/>
    </row>
    <row r="52" spans="2:7" s="1" customFormat="1">
      <c r="B52" s="30"/>
      <c r="C52" s="629"/>
      <c r="D52" s="629"/>
      <c r="E52" s="629"/>
      <c r="F52"/>
      <c r="G52"/>
    </row>
    <row r="53" spans="2:7" s="1" customFormat="1">
      <c r="B53" s="30"/>
      <c r="C53" s="629"/>
      <c r="D53" s="629"/>
      <c r="E53" s="62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1" sqref="C11"/>
    </sheetView>
  </sheetViews>
  <sheetFormatPr defaultRowHeight="15.75" outlineLevelRow="1"/>
  <cols>
    <col min="1" max="1" width="9.5" style="1" bestFit="1" customWidth="1"/>
    <col min="2" max="2" width="114.25" style="1" customWidth="1"/>
    <col min="3" max="3" width="18.875" customWidth="1"/>
    <col min="4" max="4" width="25.5" customWidth="1"/>
    <col min="5" max="5" width="24.25" customWidth="1"/>
    <col min="6" max="6" width="24" customWidth="1"/>
    <col min="7" max="7" width="10" bestFit="1" customWidth="1"/>
    <col min="8" max="8" width="12" bestFit="1" customWidth="1"/>
    <col min="9" max="9" width="12.5" bestFit="1" customWidth="1"/>
  </cols>
  <sheetData>
    <row r="1" spans="1:6">
      <c r="A1" s="13" t="s">
        <v>110</v>
      </c>
      <c r="B1" s="12" t="str">
        <f>Info!C2</f>
        <v>სს "პეისერა ბანკი საქართველო"</v>
      </c>
    </row>
    <row r="2" spans="1:6" s="13" customFormat="1" ht="15.75" customHeight="1">
      <c r="A2" s="13" t="s">
        <v>111</v>
      </c>
      <c r="B2" s="334">
        <f>'1. key ratios'!B2</f>
        <v>45016</v>
      </c>
      <c r="C2"/>
      <c r="D2"/>
      <c r="E2"/>
      <c r="F2"/>
    </row>
    <row r="3" spans="1:6" s="13" customFormat="1" ht="15.75" customHeight="1">
      <c r="C3"/>
      <c r="D3"/>
      <c r="E3"/>
      <c r="F3"/>
    </row>
    <row r="4" spans="1:6" s="13" customFormat="1" ht="30.75" thickBot="1">
      <c r="A4" s="13" t="s">
        <v>258</v>
      </c>
      <c r="B4" s="126" t="s">
        <v>173</v>
      </c>
      <c r="C4" s="120" t="s">
        <v>89</v>
      </c>
      <c r="D4"/>
      <c r="E4"/>
      <c r="F4"/>
    </row>
    <row r="5" spans="1:6">
      <c r="A5" s="121">
        <v>1</v>
      </c>
      <c r="B5" s="122" t="s">
        <v>729</v>
      </c>
      <c r="C5" s="161">
        <f>'7. LI1'!E37</f>
        <v>6612268.5500000007</v>
      </c>
    </row>
    <row r="6" spans="1:6">
      <c r="A6" s="71">
        <v>2.1</v>
      </c>
      <c r="B6" s="128" t="s">
        <v>863</v>
      </c>
      <c r="C6" s="162"/>
    </row>
    <row r="7" spans="1:6" s="2" customFormat="1" ht="30" outlineLevel="1">
      <c r="A7" s="127">
        <v>2.2000000000000002</v>
      </c>
      <c r="B7" s="123" t="s">
        <v>864</v>
      </c>
      <c r="C7" s="163"/>
    </row>
    <row r="8" spans="1:6" s="2" customFormat="1" ht="30">
      <c r="A8" s="127">
        <v>3</v>
      </c>
      <c r="B8" s="124" t="s">
        <v>730</v>
      </c>
      <c r="C8" s="164">
        <f>SUM(C5:C7)</f>
        <v>6612268.5500000007</v>
      </c>
    </row>
    <row r="9" spans="1:6" ht="15">
      <c r="A9" s="71">
        <v>4</v>
      </c>
      <c r="B9" s="131" t="s">
        <v>171</v>
      </c>
      <c r="C9" s="162"/>
    </row>
    <row r="10" spans="1:6" s="2" customFormat="1" ht="15" outlineLevel="1">
      <c r="A10" s="127">
        <v>5.0999999999999996</v>
      </c>
      <c r="B10" s="123" t="s">
        <v>177</v>
      </c>
      <c r="C10" s="163"/>
    </row>
    <row r="11" spans="1:6" s="2" customFormat="1" ht="30" outlineLevel="1">
      <c r="A11" s="127">
        <v>5.2</v>
      </c>
      <c r="B11" s="123" t="s">
        <v>178</v>
      </c>
      <c r="C11" s="163"/>
    </row>
    <row r="12" spans="1:6" s="2" customFormat="1">
      <c r="A12" s="127">
        <v>6</v>
      </c>
      <c r="B12" s="129" t="s">
        <v>440</v>
      </c>
      <c r="C12" s="163"/>
    </row>
    <row r="13" spans="1:6" s="2" customFormat="1" ht="16.5" thickBot="1">
      <c r="A13" s="130">
        <v>7</v>
      </c>
      <c r="B13" s="125" t="s">
        <v>172</v>
      </c>
      <c r="C13" s="165">
        <f>SUM(C8:C12)</f>
        <v>6612268.5500000007</v>
      </c>
    </row>
    <row r="15" spans="1:6" ht="30">
      <c r="B15" s="17" t="s">
        <v>441</v>
      </c>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MrMB4R+nLyfBsWcWQ1PcyuRGOCI9MHqYZ77jpvgz4wE=</DigestValue>
    </Reference>
    <Reference Type="http://www.w3.org/2000/09/xmldsig#Object" URI="#idOfficeObject">
      <DigestMethod Algorithm="http://www.w3.org/2001/04/xmlenc#sha256"/>
      <DigestValue>N5m8KxcxCDWJ8llEh1gK9Q7Q2I/aU6O/zsT1T+BSBE4=</DigestValue>
    </Reference>
    <Reference Type="http://uri.etsi.org/01903#SignedProperties" URI="#idSignedProperties">
      <Transforms>
        <Transform Algorithm="http://www.w3.org/TR/2001/REC-xml-c14n-20010315"/>
      </Transforms>
      <DigestMethod Algorithm="http://www.w3.org/2001/04/xmlenc#sha256"/>
      <DigestValue>xZPClY4SNGRojxVDyavBRP+G5+SMjwKN7kYyrpHvYWo=</DigestValue>
    </Reference>
  </SignedInfo>
  <SignatureValue>JlY8tRjcFKNYgCVf0TuWIz0A+Ykps060/XBMyWCk/KRWkRv0tJLkSPxgCrtDDeG6N3GgEdoiMbNT
iqN9lrIg1k/ZdK5ugIhvCp7vZ1gFkP/iz70YlohCTmY+bl7lfgm4wad+xDyl7HR88onjPZ+QQMFd
0NxjSkUBshtFyHdJ8se5Mx0YLkyyQ5fM2DmurjmMa/hKlF+OZaLFbZnO8yfju/nx6OTL2Ty0+cbl
rA+FrKBHd7ZLXB3UTyjUmWBm3QeeqXhB4EJHGuIf3J9jN5oxWjIjKSBV/dRRb+YAdY7VwF1sIYT1
c1UJgr7t8gflV7TZErl1ExzceUzXdbWQXzZdIw==</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FyJuk3Gf30LyrAWPsRS+WUtZ2c+MNDQTqXRuxfGlShU=</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MJIRMH6v0QbwIZ2crvLbVFsWHVPKbvRmYE6dtOyV+00=</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Zf+2inOYROVAfhawxowIAh57tXNb6KmisDMViR1ikcU=</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Dv6FMk1lTUrlNZxWUR9UfRp42ZfovUaXDntI2iUkcEM=</DigestValue>
      </Reference>
      <Reference URI="/xl/styles.xml?ContentType=application/vnd.openxmlformats-officedocument.spreadsheetml.styles+xml">
        <DigestMethod Algorithm="http://www.w3.org/2001/04/xmlenc#sha256"/>
        <DigestValue>+Sc5Nq5k1C44MltOFxZrTsokLD35lc9zloz9EsOUa8I=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hp6ZS+hrmReuE1jC9ST+MquZttjlMVWOc34p0+/cQwo=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4iSK4bK06KErAwZAGwJ40GFn10XU1yzQ4VumbVuyI/o=</DigestValue>
      </Reference>
      <Reference URI="/xl/worksheets/sheet10.xml?ContentType=application/vnd.openxmlformats-officedocument.spreadsheetml.worksheet+xml">
        <DigestMethod Algorithm="http://www.w3.org/2001/04/xmlenc#sha256"/>
        <DigestValue>6KQTKsbuYvxHCSTn73BE9JGK9zid/xK6U4+zz4NNd9w=</DigestValue>
      </Reference>
      <Reference URI="/xl/worksheets/sheet11.xml?ContentType=application/vnd.openxmlformats-officedocument.spreadsheetml.worksheet+xml">
        <DigestMethod Algorithm="http://www.w3.org/2001/04/xmlenc#sha256"/>
        <DigestValue>j9wiKioyK4PGgW2qxtF+OuS3xtkA8D/oCT00yPLxFow=</DigestValue>
      </Reference>
      <Reference URI="/xl/worksheets/sheet12.xml?ContentType=application/vnd.openxmlformats-officedocument.spreadsheetml.worksheet+xml">
        <DigestMethod Algorithm="http://www.w3.org/2001/04/xmlenc#sha256"/>
        <DigestValue>KJ4ei7yvkr9KlDPjd7/7Le0owkPg6141Vc6ZTi5zXDc=</DigestValue>
      </Reference>
      <Reference URI="/xl/worksheets/sheet13.xml?ContentType=application/vnd.openxmlformats-officedocument.spreadsheetml.worksheet+xml">
        <DigestMethod Algorithm="http://www.w3.org/2001/04/xmlenc#sha256"/>
        <DigestValue>YgASLZ5wwDjbwLYhbme4D2qDyGtnrQ8incEL6iuktRA=</DigestValue>
      </Reference>
      <Reference URI="/xl/worksheets/sheet14.xml?ContentType=application/vnd.openxmlformats-officedocument.spreadsheetml.worksheet+xml">
        <DigestMethod Algorithm="http://www.w3.org/2001/04/xmlenc#sha256"/>
        <DigestValue>/KEFMMX00b3EL1Uyw3NJzGwDEp12OjFVenfCNEbf4uA=</DigestValue>
      </Reference>
      <Reference URI="/xl/worksheets/sheet15.xml?ContentType=application/vnd.openxmlformats-officedocument.spreadsheetml.worksheet+xml">
        <DigestMethod Algorithm="http://www.w3.org/2001/04/xmlenc#sha256"/>
        <DigestValue>hPJD/RvWDPjxoJJwrPtWDaB9Lzz3eB9YIOmt7IOnF98=</DigestValue>
      </Reference>
      <Reference URI="/xl/worksheets/sheet16.xml?ContentType=application/vnd.openxmlformats-officedocument.spreadsheetml.worksheet+xml">
        <DigestMethod Algorithm="http://www.w3.org/2001/04/xmlenc#sha256"/>
        <DigestValue>zhNU7WO3JoLxSB8GgI2PyVaE46IAafZbWrEN0FAL7ww=</DigestValue>
      </Reference>
      <Reference URI="/xl/worksheets/sheet17.xml?ContentType=application/vnd.openxmlformats-officedocument.spreadsheetml.worksheet+xml">
        <DigestMethod Algorithm="http://www.w3.org/2001/04/xmlenc#sha256"/>
        <DigestValue>d1rAaNPZz/a+ciCoBpyiUc2dDBLYpZUw1qj0bZAnyII=</DigestValue>
      </Reference>
      <Reference URI="/xl/worksheets/sheet18.xml?ContentType=application/vnd.openxmlformats-officedocument.spreadsheetml.worksheet+xml">
        <DigestMethod Algorithm="http://www.w3.org/2001/04/xmlenc#sha256"/>
        <DigestValue>cymePFR3Hqahc6p5QDPcF9oujxcAopbkT1fb+gQ/4KQ=</DigestValue>
      </Reference>
      <Reference URI="/xl/worksheets/sheet19.xml?ContentType=application/vnd.openxmlformats-officedocument.spreadsheetml.worksheet+xml">
        <DigestMethod Algorithm="http://www.w3.org/2001/04/xmlenc#sha256"/>
        <DigestValue>NIfo81kKujpAd4WCsvBTXeOd0W9578oPvi/yLvIWW+g=</DigestValue>
      </Reference>
      <Reference URI="/xl/worksheets/sheet2.xml?ContentType=application/vnd.openxmlformats-officedocument.spreadsheetml.worksheet+xml">
        <DigestMethod Algorithm="http://www.w3.org/2001/04/xmlenc#sha256"/>
        <DigestValue>oMjfzvH6bingR5aCFPnc/VoqYQYpp4QheOClpaDBAkM=</DigestValue>
      </Reference>
      <Reference URI="/xl/worksheets/sheet20.xml?ContentType=application/vnd.openxmlformats-officedocument.spreadsheetml.worksheet+xml">
        <DigestMethod Algorithm="http://www.w3.org/2001/04/xmlenc#sha256"/>
        <DigestValue>STG4vslztVGE1Y/8TXIcKoUv5Wd9zjPtP0ustag31tY=</DigestValue>
      </Reference>
      <Reference URI="/xl/worksheets/sheet21.xml?ContentType=application/vnd.openxmlformats-officedocument.spreadsheetml.worksheet+xml">
        <DigestMethod Algorithm="http://www.w3.org/2001/04/xmlenc#sha256"/>
        <DigestValue>93iLE82J7fADbSLeCgQRDcaypb7We9zPZY8cBieuzOc=</DigestValue>
      </Reference>
      <Reference URI="/xl/worksheets/sheet22.xml?ContentType=application/vnd.openxmlformats-officedocument.spreadsheetml.worksheet+xml">
        <DigestMethod Algorithm="http://www.w3.org/2001/04/xmlenc#sha256"/>
        <DigestValue>UZIWH3S90iQcCMAZFSAACaoehDiHbt17JQ7Y9dhr48w=</DigestValue>
      </Reference>
      <Reference URI="/xl/worksheets/sheet23.xml?ContentType=application/vnd.openxmlformats-officedocument.spreadsheetml.worksheet+xml">
        <DigestMethod Algorithm="http://www.w3.org/2001/04/xmlenc#sha256"/>
        <DigestValue>iG+jJxNtOfjn/Vy5X4bqc4bTrZz4k8L9r5TdVwULmvI=</DigestValue>
      </Reference>
      <Reference URI="/xl/worksheets/sheet24.xml?ContentType=application/vnd.openxmlformats-officedocument.spreadsheetml.worksheet+xml">
        <DigestMethod Algorithm="http://www.w3.org/2001/04/xmlenc#sha256"/>
        <DigestValue>F9qGtA2BC0jUY+VkoQfstNAhCLh69JVTKhfl9cRDGes=</DigestValue>
      </Reference>
      <Reference URI="/xl/worksheets/sheet25.xml?ContentType=application/vnd.openxmlformats-officedocument.spreadsheetml.worksheet+xml">
        <DigestMethod Algorithm="http://www.w3.org/2001/04/xmlenc#sha256"/>
        <DigestValue>Kpuf1JtsirFNiaPRKez5WuyftttEbBs/7RLYUofpl70=</DigestValue>
      </Reference>
      <Reference URI="/xl/worksheets/sheet26.xml?ContentType=application/vnd.openxmlformats-officedocument.spreadsheetml.worksheet+xml">
        <DigestMethod Algorithm="http://www.w3.org/2001/04/xmlenc#sha256"/>
        <DigestValue>5GupLcIgfoHmB7gSvSOXzlpnon+Veg/4RMcDkqqiLNs=</DigestValue>
      </Reference>
      <Reference URI="/xl/worksheets/sheet27.xml?ContentType=application/vnd.openxmlformats-officedocument.spreadsheetml.worksheet+xml">
        <DigestMethod Algorithm="http://www.w3.org/2001/04/xmlenc#sha256"/>
        <DigestValue>4ZBwR60oc7e9O1VUSA/lQHwmh43PJrq98rcyOmP2Hoo=</DigestValue>
      </Reference>
      <Reference URI="/xl/worksheets/sheet28.xml?ContentType=application/vnd.openxmlformats-officedocument.spreadsheetml.worksheet+xml">
        <DigestMethod Algorithm="http://www.w3.org/2001/04/xmlenc#sha256"/>
        <DigestValue>olQqFGuw5F0yvfmPVtBbxfHyWBy+mFFOJB88csPdwc8=</DigestValue>
      </Reference>
      <Reference URI="/xl/worksheets/sheet29.xml?ContentType=application/vnd.openxmlformats-officedocument.spreadsheetml.worksheet+xml">
        <DigestMethod Algorithm="http://www.w3.org/2001/04/xmlenc#sha256"/>
        <DigestValue>RUIN4NxWfQSzSTBYsc20l2qxp73COJqvm/wwIqztcbM=</DigestValue>
      </Reference>
      <Reference URI="/xl/worksheets/sheet3.xml?ContentType=application/vnd.openxmlformats-officedocument.spreadsheetml.worksheet+xml">
        <DigestMethod Algorithm="http://www.w3.org/2001/04/xmlenc#sha256"/>
        <DigestValue>TVeb5phYkCJkR0yEE35K+q6h6wDoLvrghXaV22V5hUo=</DigestValue>
      </Reference>
      <Reference URI="/xl/worksheets/sheet30.xml?ContentType=application/vnd.openxmlformats-officedocument.spreadsheetml.worksheet+xml">
        <DigestMethod Algorithm="http://www.w3.org/2001/04/xmlenc#sha256"/>
        <DigestValue>jvEUsShyVjPJJbOSEbYfcRuuSxnsKkYMEl1bMf/Pl/s=</DigestValue>
      </Reference>
      <Reference URI="/xl/worksheets/sheet4.xml?ContentType=application/vnd.openxmlformats-officedocument.spreadsheetml.worksheet+xml">
        <DigestMethod Algorithm="http://www.w3.org/2001/04/xmlenc#sha256"/>
        <DigestValue>878iQCizSdPBMepPDoWT+NsFgfYpymqPvs0dH/8zIIk=</DigestValue>
      </Reference>
      <Reference URI="/xl/worksheets/sheet5.xml?ContentType=application/vnd.openxmlformats-officedocument.spreadsheetml.worksheet+xml">
        <DigestMethod Algorithm="http://www.w3.org/2001/04/xmlenc#sha256"/>
        <DigestValue>oOxScmF8Zc0YKemYPd3cveRWEI30l2wZRvT1AEUB8BU=</DigestValue>
      </Reference>
      <Reference URI="/xl/worksheets/sheet6.xml?ContentType=application/vnd.openxmlformats-officedocument.spreadsheetml.worksheet+xml">
        <DigestMethod Algorithm="http://www.w3.org/2001/04/xmlenc#sha256"/>
        <DigestValue>um7DD0puC2DiEtTedx36wb/Fwg3Q0oRtPs+s6eCoP2g=</DigestValue>
      </Reference>
      <Reference URI="/xl/worksheets/sheet7.xml?ContentType=application/vnd.openxmlformats-officedocument.spreadsheetml.worksheet+xml">
        <DigestMethod Algorithm="http://www.w3.org/2001/04/xmlenc#sha256"/>
        <DigestValue>teEVmQ10LyPTF8T9wu+TeRU0SVg/7awZlfdMCBMFf+0=</DigestValue>
      </Reference>
      <Reference URI="/xl/worksheets/sheet8.xml?ContentType=application/vnd.openxmlformats-officedocument.spreadsheetml.worksheet+xml">
        <DigestMethod Algorithm="http://www.w3.org/2001/04/xmlenc#sha256"/>
        <DigestValue>RgW0ycow3WMADEY1v6BQ2uOWoZKitkUPxaiZIqYcBWs=</DigestValue>
      </Reference>
      <Reference URI="/xl/worksheets/sheet9.xml?ContentType=application/vnd.openxmlformats-officedocument.spreadsheetml.worksheet+xml">
        <DigestMethod Algorithm="http://www.w3.org/2001/04/xmlenc#sha256"/>
        <DigestValue>vLOFGJhIgYvYSccVZ02TFjWdI/B1WHErC4//l/avsAY=</DigestValue>
      </Reference>
    </Manifest>
    <SignatureProperties>
      <SignatureProperty Id="idSignatureTime" Target="#idPackageSignature">
        <mdssi:SignatureTime xmlns:mdssi="http://schemas.openxmlformats.org/package/2006/digital-signature">
          <mdssi:Format>YYYY-MM-DDThh:mm:ssTZD</mdssi:Format>
          <mdssi:Value>2024-03-01T15:45:47Z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2024-03-01T15:45:47Z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ZmdJ8CPAy2I+4iyAHAii/UgBfxZIqfoNhb8sh07rZD4=</DigestValue>
    </Reference>
    <Reference Type="http://www.w3.org/2000/09/xmldsig#Object" URI="#idOfficeObject">
      <DigestMethod Algorithm="http://www.w3.org/2001/04/xmlenc#sha256"/>
      <DigestValue>N5m8KxcxCDWJ8llEh1gK9Q7Q2I/aU6O/zsT1T+BSBE4=</DigestValue>
    </Reference>
    <Reference Type="http://uri.etsi.org/01903#SignedProperties" URI="#idSignedProperties">
      <Transforms>
        <Transform Algorithm="http://www.w3.org/TR/2001/REC-xml-c14n-20010315"/>
      </Transforms>
      <DigestMethod Algorithm="http://www.w3.org/2001/04/xmlenc#sha256"/>
      <DigestValue>Yjv07I+8xfZ/wmSwHbmJfyi1wVyKKcZGVYwtynt/JPU=</DigestValue>
    </Reference>
  </SignedInfo>
  <SignatureValue>idpM3SFaCtcXMdKTncJvVJIS6fOPepFOKbcb5QdQAGQSDZnP4kZyh2A4WeF8fydFYV6bfWScP4bk
X2qCWbAaHqY0Hhko5pDexTUj/2fIGp9cN8EMQdm5d2mOrI576ZsVmFB4qfQovvF/A9Moev7d4R8x
kt03o0jfBhlhU7Y+wBkeJoUbqO1z4FKBYExYKtu+rICZ2pB7srxytYGWi1bZM4nGDGJ+GbQITq8x
davn9LzaomyuJVnfiXc0wWt+x7j3oMX5KHFAIaPDnbWP1ziYTgHtSlSw1BDDxpJ1liI2x4wvgEjH
wvssbu4tYKtQAf9Z7pTn/sb6/9iZgPqNvzF8cQ==</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FyJuk3Gf30LyrAWPsRS+WUtZ2c+MNDQTqXRuxfGlShU=</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MJIRMH6v0QbwIZ2crvLbVFsWHVPKbvRmYE6dtOyV+00=</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Zf+2inOYROVAfhawxowIAh57tXNb6KmisDMViR1ikcU=</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Dv6FMk1lTUrlNZxWUR9UfRp42ZfovUaXDntI2iUkcEM=</DigestValue>
      </Reference>
      <Reference URI="/xl/styles.xml?ContentType=application/vnd.openxmlformats-officedocument.spreadsheetml.styles+xml">
        <DigestMethod Algorithm="http://www.w3.org/2001/04/xmlenc#sha256"/>
        <DigestValue>+Sc5Nq5k1C44MltOFxZrTsokLD35lc9zloz9EsOUa8I=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hp6ZS+hrmReuE1jC9ST+MquZttjlMVWOc34p0+/cQwo=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4iSK4bK06KErAwZAGwJ40GFn10XU1yzQ4VumbVuyI/o=</DigestValue>
      </Reference>
      <Reference URI="/xl/worksheets/sheet10.xml?ContentType=application/vnd.openxmlformats-officedocument.spreadsheetml.worksheet+xml">
        <DigestMethod Algorithm="http://www.w3.org/2001/04/xmlenc#sha256"/>
        <DigestValue>6KQTKsbuYvxHCSTn73BE9JGK9zid/xK6U4+zz4NNd9w=</DigestValue>
      </Reference>
      <Reference URI="/xl/worksheets/sheet11.xml?ContentType=application/vnd.openxmlformats-officedocument.spreadsheetml.worksheet+xml">
        <DigestMethod Algorithm="http://www.w3.org/2001/04/xmlenc#sha256"/>
        <DigestValue>j9wiKioyK4PGgW2qxtF+OuS3xtkA8D/oCT00yPLxFow=</DigestValue>
      </Reference>
      <Reference URI="/xl/worksheets/sheet12.xml?ContentType=application/vnd.openxmlformats-officedocument.spreadsheetml.worksheet+xml">
        <DigestMethod Algorithm="http://www.w3.org/2001/04/xmlenc#sha256"/>
        <DigestValue>KJ4ei7yvkr9KlDPjd7/7Le0owkPg6141Vc6ZTi5zXDc=</DigestValue>
      </Reference>
      <Reference URI="/xl/worksheets/sheet13.xml?ContentType=application/vnd.openxmlformats-officedocument.spreadsheetml.worksheet+xml">
        <DigestMethod Algorithm="http://www.w3.org/2001/04/xmlenc#sha256"/>
        <DigestValue>YgASLZ5wwDjbwLYhbme4D2qDyGtnrQ8incEL6iuktRA=</DigestValue>
      </Reference>
      <Reference URI="/xl/worksheets/sheet14.xml?ContentType=application/vnd.openxmlformats-officedocument.spreadsheetml.worksheet+xml">
        <DigestMethod Algorithm="http://www.w3.org/2001/04/xmlenc#sha256"/>
        <DigestValue>/KEFMMX00b3EL1Uyw3NJzGwDEp12OjFVenfCNEbf4uA=</DigestValue>
      </Reference>
      <Reference URI="/xl/worksheets/sheet15.xml?ContentType=application/vnd.openxmlformats-officedocument.spreadsheetml.worksheet+xml">
        <DigestMethod Algorithm="http://www.w3.org/2001/04/xmlenc#sha256"/>
        <DigestValue>hPJD/RvWDPjxoJJwrPtWDaB9Lzz3eB9YIOmt7IOnF98=</DigestValue>
      </Reference>
      <Reference URI="/xl/worksheets/sheet16.xml?ContentType=application/vnd.openxmlformats-officedocument.spreadsheetml.worksheet+xml">
        <DigestMethod Algorithm="http://www.w3.org/2001/04/xmlenc#sha256"/>
        <DigestValue>zhNU7WO3JoLxSB8GgI2PyVaE46IAafZbWrEN0FAL7ww=</DigestValue>
      </Reference>
      <Reference URI="/xl/worksheets/sheet17.xml?ContentType=application/vnd.openxmlformats-officedocument.spreadsheetml.worksheet+xml">
        <DigestMethod Algorithm="http://www.w3.org/2001/04/xmlenc#sha256"/>
        <DigestValue>d1rAaNPZz/a+ciCoBpyiUc2dDBLYpZUw1qj0bZAnyII=</DigestValue>
      </Reference>
      <Reference URI="/xl/worksheets/sheet18.xml?ContentType=application/vnd.openxmlformats-officedocument.spreadsheetml.worksheet+xml">
        <DigestMethod Algorithm="http://www.w3.org/2001/04/xmlenc#sha256"/>
        <DigestValue>cymePFR3Hqahc6p5QDPcF9oujxcAopbkT1fb+gQ/4KQ=</DigestValue>
      </Reference>
      <Reference URI="/xl/worksheets/sheet19.xml?ContentType=application/vnd.openxmlformats-officedocument.spreadsheetml.worksheet+xml">
        <DigestMethod Algorithm="http://www.w3.org/2001/04/xmlenc#sha256"/>
        <DigestValue>NIfo81kKujpAd4WCsvBTXeOd0W9578oPvi/yLvIWW+g=</DigestValue>
      </Reference>
      <Reference URI="/xl/worksheets/sheet2.xml?ContentType=application/vnd.openxmlformats-officedocument.spreadsheetml.worksheet+xml">
        <DigestMethod Algorithm="http://www.w3.org/2001/04/xmlenc#sha256"/>
        <DigestValue>oMjfzvH6bingR5aCFPnc/VoqYQYpp4QheOClpaDBAkM=</DigestValue>
      </Reference>
      <Reference URI="/xl/worksheets/sheet20.xml?ContentType=application/vnd.openxmlformats-officedocument.spreadsheetml.worksheet+xml">
        <DigestMethod Algorithm="http://www.w3.org/2001/04/xmlenc#sha256"/>
        <DigestValue>STG4vslztVGE1Y/8TXIcKoUv5Wd9zjPtP0ustag31tY=</DigestValue>
      </Reference>
      <Reference URI="/xl/worksheets/sheet21.xml?ContentType=application/vnd.openxmlformats-officedocument.spreadsheetml.worksheet+xml">
        <DigestMethod Algorithm="http://www.w3.org/2001/04/xmlenc#sha256"/>
        <DigestValue>93iLE82J7fADbSLeCgQRDcaypb7We9zPZY8cBieuzOc=</DigestValue>
      </Reference>
      <Reference URI="/xl/worksheets/sheet22.xml?ContentType=application/vnd.openxmlformats-officedocument.spreadsheetml.worksheet+xml">
        <DigestMethod Algorithm="http://www.w3.org/2001/04/xmlenc#sha256"/>
        <DigestValue>UZIWH3S90iQcCMAZFSAACaoehDiHbt17JQ7Y9dhr48w=</DigestValue>
      </Reference>
      <Reference URI="/xl/worksheets/sheet23.xml?ContentType=application/vnd.openxmlformats-officedocument.spreadsheetml.worksheet+xml">
        <DigestMethod Algorithm="http://www.w3.org/2001/04/xmlenc#sha256"/>
        <DigestValue>iG+jJxNtOfjn/Vy5X4bqc4bTrZz4k8L9r5TdVwULmvI=</DigestValue>
      </Reference>
      <Reference URI="/xl/worksheets/sheet24.xml?ContentType=application/vnd.openxmlformats-officedocument.spreadsheetml.worksheet+xml">
        <DigestMethod Algorithm="http://www.w3.org/2001/04/xmlenc#sha256"/>
        <DigestValue>F9qGtA2BC0jUY+VkoQfstNAhCLh69JVTKhfl9cRDGes=</DigestValue>
      </Reference>
      <Reference URI="/xl/worksheets/sheet25.xml?ContentType=application/vnd.openxmlformats-officedocument.spreadsheetml.worksheet+xml">
        <DigestMethod Algorithm="http://www.w3.org/2001/04/xmlenc#sha256"/>
        <DigestValue>Kpuf1JtsirFNiaPRKez5WuyftttEbBs/7RLYUofpl70=</DigestValue>
      </Reference>
      <Reference URI="/xl/worksheets/sheet26.xml?ContentType=application/vnd.openxmlformats-officedocument.spreadsheetml.worksheet+xml">
        <DigestMethod Algorithm="http://www.w3.org/2001/04/xmlenc#sha256"/>
        <DigestValue>5GupLcIgfoHmB7gSvSOXzlpnon+Veg/4RMcDkqqiLNs=</DigestValue>
      </Reference>
      <Reference URI="/xl/worksheets/sheet27.xml?ContentType=application/vnd.openxmlformats-officedocument.spreadsheetml.worksheet+xml">
        <DigestMethod Algorithm="http://www.w3.org/2001/04/xmlenc#sha256"/>
        <DigestValue>4ZBwR60oc7e9O1VUSA/lQHwmh43PJrq98rcyOmP2Hoo=</DigestValue>
      </Reference>
      <Reference URI="/xl/worksheets/sheet28.xml?ContentType=application/vnd.openxmlformats-officedocument.spreadsheetml.worksheet+xml">
        <DigestMethod Algorithm="http://www.w3.org/2001/04/xmlenc#sha256"/>
        <DigestValue>olQqFGuw5F0yvfmPVtBbxfHyWBy+mFFOJB88csPdwc8=</DigestValue>
      </Reference>
      <Reference URI="/xl/worksheets/sheet29.xml?ContentType=application/vnd.openxmlformats-officedocument.spreadsheetml.worksheet+xml">
        <DigestMethod Algorithm="http://www.w3.org/2001/04/xmlenc#sha256"/>
        <DigestValue>RUIN4NxWfQSzSTBYsc20l2qxp73COJqvm/wwIqztcbM=</DigestValue>
      </Reference>
      <Reference URI="/xl/worksheets/sheet3.xml?ContentType=application/vnd.openxmlformats-officedocument.spreadsheetml.worksheet+xml">
        <DigestMethod Algorithm="http://www.w3.org/2001/04/xmlenc#sha256"/>
        <DigestValue>TVeb5phYkCJkR0yEE35K+q6h6wDoLvrghXaV22V5hUo=</DigestValue>
      </Reference>
      <Reference URI="/xl/worksheets/sheet30.xml?ContentType=application/vnd.openxmlformats-officedocument.spreadsheetml.worksheet+xml">
        <DigestMethod Algorithm="http://www.w3.org/2001/04/xmlenc#sha256"/>
        <DigestValue>jvEUsShyVjPJJbOSEbYfcRuuSxnsKkYMEl1bMf/Pl/s=</DigestValue>
      </Reference>
      <Reference URI="/xl/worksheets/sheet4.xml?ContentType=application/vnd.openxmlformats-officedocument.spreadsheetml.worksheet+xml">
        <DigestMethod Algorithm="http://www.w3.org/2001/04/xmlenc#sha256"/>
        <DigestValue>878iQCizSdPBMepPDoWT+NsFgfYpymqPvs0dH/8zIIk=</DigestValue>
      </Reference>
      <Reference URI="/xl/worksheets/sheet5.xml?ContentType=application/vnd.openxmlformats-officedocument.spreadsheetml.worksheet+xml">
        <DigestMethod Algorithm="http://www.w3.org/2001/04/xmlenc#sha256"/>
        <DigestValue>oOxScmF8Zc0YKemYPd3cveRWEI30l2wZRvT1AEUB8BU=</DigestValue>
      </Reference>
      <Reference URI="/xl/worksheets/sheet6.xml?ContentType=application/vnd.openxmlformats-officedocument.spreadsheetml.worksheet+xml">
        <DigestMethod Algorithm="http://www.w3.org/2001/04/xmlenc#sha256"/>
        <DigestValue>um7DD0puC2DiEtTedx36wb/Fwg3Q0oRtPs+s6eCoP2g=</DigestValue>
      </Reference>
      <Reference URI="/xl/worksheets/sheet7.xml?ContentType=application/vnd.openxmlformats-officedocument.spreadsheetml.worksheet+xml">
        <DigestMethod Algorithm="http://www.w3.org/2001/04/xmlenc#sha256"/>
        <DigestValue>teEVmQ10LyPTF8T9wu+TeRU0SVg/7awZlfdMCBMFf+0=</DigestValue>
      </Reference>
      <Reference URI="/xl/worksheets/sheet8.xml?ContentType=application/vnd.openxmlformats-officedocument.spreadsheetml.worksheet+xml">
        <DigestMethod Algorithm="http://www.w3.org/2001/04/xmlenc#sha256"/>
        <DigestValue>RgW0ycow3WMADEY1v6BQ2uOWoZKitkUPxaiZIqYcBWs=</DigestValue>
      </Reference>
      <Reference URI="/xl/worksheets/sheet9.xml?ContentType=application/vnd.openxmlformats-officedocument.spreadsheetml.worksheet+xml">
        <DigestMethod Algorithm="http://www.w3.org/2001/04/xmlenc#sha256"/>
        <DigestValue>vLOFGJhIgYvYSccVZ02TFjWdI/B1WHErC4//l/avsAY=</DigestValue>
      </Reference>
    </Manifest>
    <SignatureProperties>
      <SignatureProperty Id="idSignatureTime" Target="#idPackageSignature">
        <mdssi:SignatureTime xmlns:mdssi="http://schemas.openxmlformats.org/package/2006/digital-signature">
          <mdssi:Format>YYYY-MM-DDThh:mm:ssTZD</mdssi:Format>
          <mdssi:Value>2024-03-01T15:46:01Z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2024-03-01T15:46:01Z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2024-03-01T15:44:44Z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