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D0288138-269A-4C1B-B542-1999B91E0910}" xr6:coauthVersionLast="47" xr6:coauthVersionMax="47" xr10:uidLastSave="{00000000-0000-0000-0000-000000000000}"/>
  <bookViews>
    <workbookView xWindow="-108" yWindow="-108" windowWidth="23256" windowHeight="14016"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definedNames>
    <definedName name="_cur1">#REF!</definedName>
    <definedName name="_cur2">#REF!</definedName>
    <definedName name="_xlnm._FilterDatabase" localSheetId="32" hidden="1">Instruction!$A$108:$C$112</definedName>
    <definedName name="_sum1">#REF!</definedName>
    <definedName name="_sum2">#REF!</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#REF!</definedName>
    <definedName name="date1">#REF!</definedName>
    <definedName name="L_FORMULAS_GEO">#REF!</definedName>
    <definedName name="Sheet" localSheetId="11">#REF!</definedName>
    <definedName name="Sheet" localSheetId="12">#REF!</definedName>
    <definedName name="Sheet">#REF!</definedName>
    <definedName name="საკრედიტო" localSheetId="11">#REF!</definedName>
    <definedName name="საკრედიტო" localSheetId="12">#REF!</definedName>
    <definedName name="საკრედიტო">#REF!</definedName>
    <definedName name="ფაილი" localSheetId="11">#REF!</definedName>
    <definedName name="ფაილი" localSheetId="12">#REF!</definedName>
    <definedName name="ფაილი">#REF!</definedName>
    <definedName name="ცვლილება_კორექტირება_რეგულაციაში" localSheetId="11">#REF!</definedName>
    <definedName name="ცვლილება_კორექტირება_რეგულაციაში" localSheetId="12">#REF!</definedName>
    <definedName name="ცვლილება_კორექტირება_რეგულაციაში">#REF!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4" i="94" l="1"/>
  <c r="E44" i="94" l="1"/>
  <c r="H44" i="94"/>
  <c r="B1" i="37" l="1"/>
  <c r="J21" i="36"/>
  <c r="G21" i="36"/>
  <c r="H19" i="36"/>
  <c r="H21" i="36" s="1"/>
  <c r="D21" i="36"/>
  <c r="C21" i="36"/>
  <c r="K15" i="36"/>
  <c r="K14" i="36"/>
  <c r="H14" i="36"/>
  <c r="E14" i="36"/>
  <c r="K13" i="36"/>
  <c r="H13" i="36"/>
  <c r="K12" i="36"/>
  <c r="H12" i="36"/>
  <c r="H11" i="36"/>
  <c r="K10" i="36"/>
  <c r="H10" i="36"/>
  <c r="J23" i="36"/>
  <c r="K8" i="36"/>
  <c r="K23" i="36" s="1"/>
  <c r="G23" i="36"/>
  <c r="K19" i="36" l="1"/>
  <c r="K21" i="36" s="1"/>
  <c r="K11" i="36"/>
  <c r="G16" i="36"/>
  <c r="G24" i="36" s="1"/>
  <c r="G25" i="36" s="1"/>
  <c r="C16" i="36"/>
  <c r="H8" i="36"/>
  <c r="H23" i="36" s="1"/>
  <c r="H15" i="36"/>
  <c r="F21" i="36"/>
  <c r="J16" i="36"/>
  <c r="J24" i="36" s="1"/>
  <c r="J25" i="36" s="1"/>
  <c r="E19" i="36"/>
  <c r="E21" i="36" s="1"/>
  <c r="E13" i="36"/>
  <c r="F16" i="36"/>
  <c r="F24" i="36" s="1"/>
  <c r="I16" i="36"/>
  <c r="K16" i="36" s="1"/>
  <c r="K24" i="36" s="1"/>
  <c r="K25" i="36" s="1"/>
  <c r="F23" i="36"/>
  <c r="I23" i="36"/>
  <c r="E12" i="36"/>
  <c r="D16" i="36"/>
  <c r="E16" i="36" s="1"/>
  <c r="E15" i="36"/>
  <c r="E11" i="36"/>
  <c r="I21" i="36"/>
  <c r="F25" i="36" l="1"/>
  <c r="I24" i="36"/>
  <c r="I25" i="36" s="1"/>
  <c r="H16" i="36"/>
  <c r="H24" i="36" s="1"/>
  <c r="H25" i="36" s="1"/>
  <c r="B2" i="37"/>
  <c r="B2" i="107" l="1"/>
  <c r="B1" i="107"/>
  <c r="G13" i="93" l="1"/>
  <c r="G37" i="93"/>
  <c r="F37" i="93"/>
  <c r="G34" i="93"/>
  <c r="F34" i="93"/>
  <c r="F13" i="93"/>
  <c r="G29" i="93" l="1"/>
  <c r="F6" i="93"/>
  <c r="F29" i="93"/>
  <c r="F43" i="93" l="1"/>
  <c r="F45" i="93" s="1"/>
  <c r="G6" i="93"/>
  <c r="G43" i="93" s="1"/>
  <c r="G45" i="93" s="1"/>
  <c r="G63" i="92" l="1"/>
  <c r="F63" i="92"/>
  <c r="F59" i="92"/>
  <c r="G59" i="92"/>
  <c r="G68" i="92"/>
  <c r="G47" i="92"/>
  <c r="F47" i="92"/>
  <c r="G41" i="92"/>
  <c r="F41" i="92"/>
  <c r="F53" i="92"/>
  <c r="G30" i="92"/>
  <c r="F30" i="92"/>
  <c r="F27" i="92"/>
  <c r="G24" i="92"/>
  <c r="F24" i="92"/>
  <c r="G19" i="92"/>
  <c r="F19" i="92"/>
  <c r="G15" i="92"/>
  <c r="F15" i="92"/>
  <c r="G7" i="92"/>
  <c r="F7" i="92"/>
  <c r="F36" i="92" l="1"/>
  <c r="F68" i="92"/>
  <c r="F69" i="92" s="1"/>
  <c r="G53" i="92"/>
  <c r="G69" i="92" s="1"/>
  <c r="F39" i="92"/>
  <c r="G27" i="92"/>
  <c r="G36" i="92" s="1"/>
  <c r="G39" i="92"/>
  <c r="C13" i="79" l="1"/>
  <c r="C12" i="79"/>
  <c r="C14" i="79" s="1"/>
  <c r="C11" i="79"/>
  <c r="C10" i="79"/>
  <c r="G35" i="80" l="1"/>
  <c r="G23" i="80"/>
  <c r="G26" i="80"/>
  <c r="G20" i="80"/>
  <c r="G15" i="80"/>
  <c r="G9" i="80"/>
  <c r="C8" i="80"/>
  <c r="D8" i="80"/>
  <c r="E8" i="80"/>
  <c r="D31" i="72"/>
  <c r="D25" i="72"/>
  <c r="D20" i="72"/>
  <c r="E16" i="72"/>
  <c r="D16" i="72"/>
  <c r="D37" i="93"/>
  <c r="C37" i="93"/>
  <c r="D34" i="93"/>
  <c r="C34" i="93"/>
  <c r="E18" i="92"/>
  <c r="C17" i="69" s="1"/>
  <c r="E66" i="92" l="1"/>
  <c r="C65" i="69" s="1"/>
  <c r="D13" i="93"/>
  <c r="G10" i="74"/>
  <c r="G14" i="74"/>
  <c r="G18" i="74"/>
  <c r="C31" i="79"/>
  <c r="C30" i="92"/>
  <c r="E32" i="92"/>
  <c r="C33" i="72" s="1"/>
  <c r="E33" i="92"/>
  <c r="C34" i="72" s="1"/>
  <c r="E55" i="92"/>
  <c r="C54" i="69" s="1"/>
  <c r="G11" i="74"/>
  <c r="G15" i="74"/>
  <c r="G19" i="74"/>
  <c r="D7" i="97"/>
  <c r="D47" i="92"/>
  <c r="G8" i="74"/>
  <c r="G12" i="74"/>
  <c r="G16" i="74"/>
  <c r="G20" i="74"/>
  <c r="D8" i="97"/>
  <c r="C27" i="92"/>
  <c r="D30" i="92"/>
  <c r="D39" i="92"/>
  <c r="D19" i="92"/>
  <c r="D24" i="92"/>
  <c r="C59" i="92"/>
  <c r="E61" i="92"/>
  <c r="C60" i="69" s="1"/>
  <c r="C13" i="93"/>
  <c r="G9" i="74"/>
  <c r="G13" i="74"/>
  <c r="G17" i="74"/>
  <c r="G21" i="74"/>
  <c r="D33" i="97"/>
  <c r="E42" i="92"/>
  <c r="C41" i="69" s="1"/>
  <c r="E43" i="92"/>
  <c r="C42" i="69" s="1"/>
  <c r="E45" i="92"/>
  <c r="C44" i="69" s="1"/>
  <c r="E46" i="92"/>
  <c r="C45" i="69" s="1"/>
  <c r="E64" i="92"/>
  <c r="C63" i="69" s="1"/>
  <c r="E65" i="92"/>
  <c r="C64" i="69" s="1"/>
  <c r="D59" i="92"/>
  <c r="E17" i="92"/>
  <c r="C18" i="72" s="1"/>
  <c r="E20" i="92"/>
  <c r="C21" i="72" s="1"/>
  <c r="E21" i="92"/>
  <c r="C22" i="72" s="1"/>
  <c r="E23" i="92"/>
  <c r="C24" i="72" s="1"/>
  <c r="E56" i="92"/>
  <c r="C55" i="69" s="1"/>
  <c r="E25" i="92"/>
  <c r="C26" i="72" s="1"/>
  <c r="C22" i="74"/>
  <c r="C24" i="92"/>
  <c r="C29" i="93"/>
  <c r="F8" i="80"/>
  <c r="G10" i="80"/>
  <c r="C19" i="92"/>
  <c r="E22" i="92"/>
  <c r="E28" i="92"/>
  <c r="C39" i="92"/>
  <c r="E38" i="92"/>
  <c r="C37" i="69" s="1"/>
  <c r="E57" i="92"/>
  <c r="C56" i="69" s="1"/>
  <c r="E58" i="92"/>
  <c r="C57" i="69" s="1"/>
  <c r="C63" i="92"/>
  <c r="E49" i="92"/>
  <c r="C48" i="69" s="1"/>
  <c r="E50" i="92"/>
  <c r="C49" i="69" s="1"/>
  <c r="E67" i="92"/>
  <c r="C66" i="69" s="1"/>
  <c r="E60" i="92"/>
  <c r="C59" i="69" s="1"/>
  <c r="E62" i="92"/>
  <c r="C61" i="69" s="1"/>
  <c r="D63" i="92"/>
  <c r="E51" i="92"/>
  <c r="C50" i="69" s="1"/>
  <c r="E44" i="92"/>
  <c r="C43" i="69" s="1"/>
  <c r="E48" i="92"/>
  <c r="C47" i="69" s="1"/>
  <c r="E52" i="92"/>
  <c r="C51" i="69" s="1"/>
  <c r="C47" i="92"/>
  <c r="E47" i="92" s="1"/>
  <c r="E34" i="92"/>
  <c r="E31" i="92"/>
  <c r="E35" i="92"/>
  <c r="E16" i="92"/>
  <c r="E26" i="92"/>
  <c r="E59" i="92" l="1"/>
  <c r="E21" i="72"/>
  <c r="E24" i="92"/>
  <c r="C22" i="69"/>
  <c r="C32" i="69"/>
  <c r="C31" i="69"/>
  <c r="E30" i="92"/>
  <c r="E34" i="72"/>
  <c r="E26" i="72"/>
  <c r="E25" i="72" s="1"/>
  <c r="C58" i="69"/>
  <c r="E19" i="92"/>
  <c r="D29" i="93"/>
  <c r="E39" i="92"/>
  <c r="C38" i="69" s="1"/>
  <c r="E29" i="92"/>
  <c r="C30" i="72" s="1"/>
  <c r="C16" i="69"/>
  <c r="C19" i="69"/>
  <c r="C62" i="69"/>
  <c r="C40" i="69"/>
  <c r="C24" i="69"/>
  <c r="D27" i="92"/>
  <c r="E27" i="92" s="1"/>
  <c r="C20" i="69"/>
  <c r="C46" i="69"/>
  <c r="C20" i="72"/>
  <c r="C36" i="72"/>
  <c r="C34" i="69"/>
  <c r="C32" i="72"/>
  <c r="C30" i="69"/>
  <c r="C27" i="72"/>
  <c r="C25" i="69"/>
  <c r="C35" i="72"/>
  <c r="C33" i="69"/>
  <c r="E63" i="92"/>
  <c r="C29" i="72"/>
  <c r="C27" i="69"/>
  <c r="C17" i="72"/>
  <c r="C15" i="69"/>
  <c r="C23" i="72"/>
  <c r="C21" i="69"/>
  <c r="C44" i="6"/>
  <c r="C67" i="69" l="1"/>
  <c r="C28" i="69"/>
  <c r="E20" i="72"/>
  <c r="C16" i="72"/>
  <c r="C29" i="69"/>
  <c r="C25" i="72"/>
  <c r="D30" i="72"/>
  <c r="C23" i="69"/>
  <c r="C18" i="69"/>
  <c r="C28" i="72"/>
  <c r="C45" i="6"/>
  <c r="C46" i="6"/>
  <c r="E32" i="72"/>
  <c r="C31" i="72"/>
  <c r="C26" i="69" l="1"/>
  <c r="E31" i="72"/>
  <c r="D28" i="72"/>
  <c r="E30" i="72"/>
  <c r="C38" i="94"/>
  <c r="E28" i="72" l="1"/>
  <c r="Q33" i="37"/>
  <c r="I33" i="37"/>
  <c r="Q32" i="37"/>
  <c r="I32" i="37"/>
  <c r="Q31" i="37"/>
  <c r="Q30" i="37" s="1"/>
  <c r="I31" i="37"/>
  <c r="I30" i="37"/>
  <c r="Q29" i="37"/>
  <c r="I29" i="37"/>
  <c r="Q28" i="37"/>
  <c r="I28" i="37"/>
  <c r="Q27" i="37"/>
  <c r="I27" i="37"/>
  <c r="I26" i="37"/>
  <c r="Q25" i="37"/>
  <c r="I25" i="37"/>
  <c r="Q24" i="37"/>
  <c r="I24" i="37"/>
  <c r="Q23" i="37"/>
  <c r="Q22" i="37" s="1"/>
  <c r="I23" i="37"/>
  <c r="I22" i="37"/>
  <c r="Q21" i="37"/>
  <c r="I21" i="37"/>
  <c r="Q20" i="37"/>
  <c r="I20" i="37"/>
  <c r="Q19" i="37"/>
  <c r="Q18" i="37" s="1"/>
  <c r="I19" i="37"/>
  <c r="I18" i="37"/>
  <c r="Q17" i="37"/>
  <c r="Q14" i="37" s="1"/>
  <c r="I17" i="37"/>
  <c r="Q16" i="37"/>
  <c r="I16" i="37"/>
  <c r="Q15" i="37"/>
  <c r="I15" i="37"/>
  <c r="I14" i="37"/>
  <c r="Q13" i="37"/>
  <c r="Q9" i="37" s="1"/>
  <c r="I13" i="37"/>
  <c r="Q12" i="37"/>
  <c r="I12" i="37"/>
  <c r="Q11" i="37"/>
  <c r="I11" i="37"/>
  <c r="I10" i="37"/>
  <c r="P9" i="37"/>
  <c r="O9" i="37"/>
  <c r="N9" i="37"/>
  <c r="M9" i="37"/>
  <c r="L9" i="37"/>
  <c r="K9" i="37"/>
  <c r="J9" i="37"/>
  <c r="G9" i="37"/>
  <c r="F9" i="37"/>
  <c r="I9" i="37" s="1"/>
  <c r="C9" i="37"/>
  <c r="P8" i="37"/>
  <c r="O8" i="37"/>
  <c r="N8" i="37"/>
  <c r="M8" i="37"/>
  <c r="L8" i="37"/>
  <c r="L6" i="37" s="1"/>
  <c r="L34" i="37" s="1"/>
  <c r="K8" i="37"/>
  <c r="K6" i="37" s="1"/>
  <c r="K34" i="37" s="1"/>
  <c r="J8" i="37"/>
  <c r="J6" i="37" s="1"/>
  <c r="J34" i="37" s="1"/>
  <c r="G8" i="37"/>
  <c r="F8" i="37"/>
  <c r="I8" i="37" s="1"/>
  <c r="C8" i="37"/>
  <c r="P7" i="37"/>
  <c r="O7" i="37"/>
  <c r="O6" i="37" s="1"/>
  <c r="O34" i="37" s="1"/>
  <c r="N7" i="37"/>
  <c r="N6" i="37" s="1"/>
  <c r="N34" i="37" s="1"/>
  <c r="M7" i="37"/>
  <c r="M6" i="37" s="1"/>
  <c r="M34" i="37" s="1"/>
  <c r="L7" i="37"/>
  <c r="K7" i="37"/>
  <c r="J7" i="37"/>
  <c r="G7" i="37"/>
  <c r="F7" i="37"/>
  <c r="F6" i="37" s="1"/>
  <c r="F34" i="37" s="1"/>
  <c r="C7" i="37"/>
  <c r="C6" i="37" s="1"/>
  <c r="C34" i="37" s="1"/>
  <c r="P6" i="37"/>
  <c r="P34" i="37" s="1"/>
  <c r="G6" i="37"/>
  <c r="G34" i="37" s="1"/>
  <c r="E6" i="37"/>
  <c r="E34" i="37" s="1"/>
  <c r="D6" i="37"/>
  <c r="D34" i="37" s="1"/>
  <c r="C26" i="79"/>
  <c r="C22" i="79"/>
  <c r="C8" i="79"/>
  <c r="I34" i="37" l="1"/>
  <c r="C32" i="79" s="1"/>
  <c r="Q26" i="37"/>
  <c r="Q10" i="37"/>
  <c r="I7" i="37"/>
  <c r="I6" i="37" s="1"/>
  <c r="Q8" i="37"/>
  <c r="Q7" i="37"/>
  <c r="Q6" i="37" s="1"/>
  <c r="Q34" i="37" s="1"/>
  <c r="C34" i="79" l="1"/>
  <c r="F6" i="107"/>
  <c r="E6" i="107"/>
  <c r="D6" i="107"/>
  <c r="C6" i="107"/>
  <c r="H8" i="74" l="1"/>
  <c r="G38" i="94"/>
  <c r="F38" i="94"/>
  <c r="D38" i="94" l="1"/>
  <c r="B2" i="106" l="1"/>
  <c r="B1" i="106"/>
  <c r="B1" i="105"/>
  <c r="B2" i="105"/>
  <c r="E12" i="106" l="1"/>
  <c r="D12" i="106"/>
  <c r="C12" i="106"/>
  <c r="B12" i="106"/>
  <c r="E11" i="106"/>
  <c r="D11" i="106"/>
  <c r="C11" i="106"/>
  <c r="B11" i="106"/>
  <c r="E10" i="106"/>
  <c r="D10" i="106"/>
  <c r="C10" i="106"/>
  <c r="B10" i="106"/>
  <c r="F9" i="106"/>
  <c r="E9" i="106"/>
  <c r="D9" i="106"/>
  <c r="C9" i="106"/>
  <c r="B9" i="106"/>
  <c r="B11" i="105"/>
  <c r="F10" i="106" l="1"/>
  <c r="F12" i="106"/>
  <c r="F11" i="106"/>
  <c r="C22" i="95" l="1"/>
  <c r="H21" i="95"/>
  <c r="B1" i="94" l="1"/>
  <c r="B1" i="93"/>
  <c r="B1" i="92"/>
  <c r="B1" i="104" l="1"/>
  <c r="B1" i="103"/>
  <c r="B1" i="102"/>
  <c r="B1" i="101"/>
  <c r="B1" i="100"/>
  <c r="B1" i="99"/>
  <c r="B1" i="98"/>
  <c r="B1" i="97"/>
  <c r="B1" i="96"/>
  <c r="B1" i="95"/>
  <c r="C10" i="99" l="1"/>
  <c r="C18" i="99" s="1"/>
  <c r="C7" i="98"/>
  <c r="D7" i="98"/>
  <c r="C10" i="98"/>
  <c r="D10" i="98"/>
  <c r="C15" i="98"/>
  <c r="D15"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H34" i="97" l="1"/>
  <c r="H21" i="96"/>
  <c r="H22" i="95"/>
  <c r="C14" i="69"/>
  <c r="D8" i="72"/>
  <c r="D37" i="72" l="1"/>
  <c r="H43" i="94"/>
  <c r="E43" i="94"/>
  <c r="H42" i="94"/>
  <c r="E42" i="94"/>
  <c r="H41" i="94"/>
  <c r="E41" i="94"/>
  <c r="H40" i="94"/>
  <c r="E40" i="94"/>
  <c r="H39" i="94"/>
  <c r="E39" i="94"/>
  <c r="E38" i="94"/>
  <c r="H37" i="94"/>
  <c r="E37" i="94"/>
  <c r="H36" i="94"/>
  <c r="E36" i="94"/>
  <c r="H35" i="94"/>
  <c r="E35" i="94"/>
  <c r="H34" i="94"/>
  <c r="E34" i="94"/>
  <c r="H33" i="94"/>
  <c r="E33" i="94"/>
  <c r="H32" i="94"/>
  <c r="E32" i="94"/>
  <c r="H31" i="94"/>
  <c r="E31" i="94"/>
  <c r="G30" i="94"/>
  <c r="F30" i="94"/>
  <c r="H30" i="94" s="1"/>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C17" i="94"/>
  <c r="C14" i="94" s="1"/>
  <c r="H16" i="94"/>
  <c r="E16" i="94"/>
  <c r="H15" i="94"/>
  <c r="E15" i="94"/>
  <c r="G14" i="94"/>
  <c r="F14" i="94"/>
  <c r="D14" i="94"/>
  <c r="H13" i="94"/>
  <c r="E13" i="94"/>
  <c r="H12" i="94"/>
  <c r="E12" i="94"/>
  <c r="G11" i="94"/>
  <c r="F11" i="94"/>
  <c r="D11" i="94"/>
  <c r="C11" i="94"/>
  <c r="H10" i="94"/>
  <c r="E10" i="94"/>
  <c r="H9" i="94"/>
  <c r="E9" i="94"/>
  <c r="G8" i="94"/>
  <c r="F8" i="94"/>
  <c r="D8" i="94"/>
  <c r="C8" i="94"/>
  <c r="H7" i="94"/>
  <c r="E7" i="94"/>
  <c r="H6" i="94"/>
  <c r="E6" i="94"/>
  <c r="H44" i="93"/>
  <c r="E44" i="93"/>
  <c r="H42" i="93"/>
  <c r="E42" i="93"/>
  <c r="H41" i="93"/>
  <c r="E41" i="93"/>
  <c r="H40" i="93"/>
  <c r="E40" i="93"/>
  <c r="H39" i="93"/>
  <c r="E39" i="93"/>
  <c r="H38" i="93"/>
  <c r="E38" i="93"/>
  <c r="H37" i="93"/>
  <c r="E37" i="93"/>
  <c r="H36" i="93"/>
  <c r="E36" i="93"/>
  <c r="H35" i="93"/>
  <c r="E35" i="93"/>
  <c r="H34" i="93"/>
  <c r="E34" i="93"/>
  <c r="H33" i="93"/>
  <c r="E33" i="93"/>
  <c r="H32" i="93"/>
  <c r="E32" i="93"/>
  <c r="H31" i="93"/>
  <c r="E31" i="93"/>
  <c r="H30" i="93"/>
  <c r="E30" i="93"/>
  <c r="H29" i="93"/>
  <c r="E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E13" i="93"/>
  <c r="H12" i="93"/>
  <c r="E12" i="93"/>
  <c r="H11" i="93"/>
  <c r="E11" i="93"/>
  <c r="H10" i="93"/>
  <c r="E10" i="93"/>
  <c r="H9" i="93"/>
  <c r="E9" i="93"/>
  <c r="H8" i="93"/>
  <c r="E8" i="93"/>
  <c r="H7" i="93"/>
  <c r="E7" i="93"/>
  <c r="D6" i="93"/>
  <c r="D43" i="93" s="1"/>
  <c r="D45" i="93" s="1"/>
  <c r="C6" i="93"/>
  <c r="C43" i="93" s="1"/>
  <c r="C45" i="93" s="1"/>
  <c r="H67" i="92"/>
  <c r="H66" i="92"/>
  <c r="H65" i="92"/>
  <c r="H64" i="92"/>
  <c r="H63" i="92"/>
  <c r="H62" i="92"/>
  <c r="H61" i="92"/>
  <c r="H60" i="92"/>
  <c r="H59" i="92"/>
  <c r="D68" i="92"/>
  <c r="C68" i="92"/>
  <c r="H58" i="92"/>
  <c r="H57" i="92"/>
  <c r="H56" i="92"/>
  <c r="H55" i="92"/>
  <c r="H52" i="92"/>
  <c r="H51" i="92"/>
  <c r="H50" i="92"/>
  <c r="H49" i="92"/>
  <c r="H48" i="92"/>
  <c r="H46" i="92"/>
  <c r="H45" i="92"/>
  <c r="H44" i="92"/>
  <c r="H43" i="92"/>
  <c r="H42" i="92"/>
  <c r="D41" i="92"/>
  <c r="C41" i="92"/>
  <c r="H40" i="92"/>
  <c r="E40" i="92"/>
  <c r="C39" i="69" s="1"/>
  <c r="C52" i="69" s="1"/>
  <c r="C68" i="69" s="1"/>
  <c r="H39" i="92"/>
  <c r="H38" i="92"/>
  <c r="H35" i="92"/>
  <c r="H34" i="92"/>
  <c r="H33" i="92"/>
  <c r="H32" i="92"/>
  <c r="H31" i="92"/>
  <c r="H29" i="92"/>
  <c r="H28" i="92"/>
  <c r="H27" i="92"/>
  <c r="H26" i="92"/>
  <c r="H25" i="92"/>
  <c r="H23" i="92"/>
  <c r="H22" i="92"/>
  <c r="H21" i="92"/>
  <c r="H20" i="92"/>
  <c r="H19" i="92"/>
  <c r="H18" i="92"/>
  <c r="H17" i="92"/>
  <c r="H16" i="92"/>
  <c r="D15" i="92"/>
  <c r="C15" i="92"/>
  <c r="H14" i="92"/>
  <c r="E14" i="92"/>
  <c r="H13" i="92"/>
  <c r="E13" i="92"/>
  <c r="H12" i="92"/>
  <c r="E12" i="92"/>
  <c r="H11" i="92"/>
  <c r="E11" i="92"/>
  <c r="H10" i="92"/>
  <c r="E10" i="92"/>
  <c r="H9" i="92"/>
  <c r="E9" i="92"/>
  <c r="H8" i="92"/>
  <c r="E8" i="92"/>
  <c r="D7" i="92"/>
  <c r="C7" i="92"/>
  <c r="H7" i="92" l="1"/>
  <c r="C10" i="72"/>
  <c r="C8" i="69"/>
  <c r="C12" i="72"/>
  <c r="C10" i="69"/>
  <c r="C14" i="72"/>
  <c r="C12" i="69"/>
  <c r="E68" i="92"/>
  <c r="C9" i="72"/>
  <c r="C7" i="69"/>
  <c r="C11" i="72"/>
  <c r="C9" i="69"/>
  <c r="C13" i="72"/>
  <c r="C11" i="69"/>
  <c r="C15" i="72"/>
  <c r="C13" i="69"/>
  <c r="H15" i="92"/>
  <c r="E15" i="92"/>
  <c r="E6" i="93"/>
  <c r="H30" i="92"/>
  <c r="H45" i="93"/>
  <c r="C36" i="92"/>
  <c r="D36" i="92"/>
  <c r="E41" i="92"/>
  <c r="H47" i="92"/>
  <c r="D53" i="92"/>
  <c r="H41" i="92"/>
  <c r="H8" i="94"/>
  <c r="E8" i="94"/>
  <c r="E14" i="94"/>
  <c r="H38" i="94"/>
  <c r="E30" i="94"/>
  <c r="E11" i="94"/>
  <c r="E17" i="94"/>
  <c r="H11" i="94"/>
  <c r="H14" i="94"/>
  <c r="H43" i="93"/>
  <c r="H6" i="93"/>
  <c r="C53" i="92"/>
  <c r="H68" i="92"/>
  <c r="E7" i="92"/>
  <c r="H24" i="92"/>
  <c r="H36" i="92" l="1"/>
  <c r="H53" i="92"/>
  <c r="H69" i="92"/>
  <c r="E10" i="72"/>
  <c r="E11" i="72"/>
  <c r="C6" i="69"/>
  <c r="C35" i="69" s="1"/>
  <c r="C8" i="72"/>
  <c r="C37" i="72" s="1"/>
  <c r="E9" i="72"/>
  <c r="D69" i="92"/>
  <c r="E36" i="92"/>
  <c r="E45" i="93"/>
  <c r="E43" i="93"/>
  <c r="C69" i="92"/>
  <c r="E53" i="92"/>
  <c r="E8" i="72" l="1"/>
  <c r="E37" i="72" s="1"/>
  <c r="H37" i="72"/>
  <c r="E69" i="92"/>
  <c r="B1" i="80"/>
  <c r="G33" i="80"/>
  <c r="F33" i="80"/>
  <c r="E33" i="80"/>
  <c r="D33" i="80"/>
  <c r="C33" i="80"/>
  <c r="G24" i="80"/>
  <c r="F24" i="80"/>
  <c r="E24" i="80"/>
  <c r="D24" i="80"/>
  <c r="C24" i="80"/>
  <c r="G18" i="80"/>
  <c r="F18" i="80"/>
  <c r="E18" i="80"/>
  <c r="D18" i="80"/>
  <c r="C18" i="80"/>
  <c r="G14" i="80"/>
  <c r="F14" i="80"/>
  <c r="E14" i="80"/>
  <c r="D14" i="80"/>
  <c r="C14" i="80"/>
  <c r="G11" i="80"/>
  <c r="F11" i="80"/>
  <c r="E11" i="80"/>
  <c r="D11" i="80"/>
  <c r="C11" i="80"/>
  <c r="G8" i="80"/>
  <c r="G37" i="80" l="1"/>
  <c r="G21" i="80"/>
  <c r="G39" i="80" s="1"/>
  <c r="G6" i="71"/>
  <c r="G13" i="71" s="1"/>
  <c r="F6" i="71"/>
  <c r="F13" i="71" s="1"/>
  <c r="E6" i="71"/>
  <c r="E13" i="71" s="1"/>
  <c r="D6" i="71"/>
  <c r="D13" i="71" s="1"/>
  <c r="C6" i="71"/>
  <c r="C13" i="71" s="1"/>
  <c r="B1" i="79" l="1"/>
  <c r="B1" i="36"/>
  <c r="B1" i="74"/>
  <c r="B1" i="64"/>
  <c r="B1" i="35"/>
  <c r="B1" i="69"/>
  <c r="B1" i="77"/>
  <c r="B1" i="28"/>
  <c r="B1" i="73"/>
  <c r="B1" i="72"/>
  <c r="B1" i="52"/>
  <c r="B1" i="71"/>
  <c r="B1" i="6"/>
  <c r="C21" i="77" l="1"/>
  <c r="D16" i="77"/>
  <c r="D17" i="77"/>
  <c r="D15" i="77"/>
  <c r="D12" i="77"/>
  <c r="D13" i="77"/>
  <c r="D11" i="77"/>
  <c r="D8" i="77"/>
  <c r="D9" i="77"/>
  <c r="D7" i="77"/>
  <c r="C20" i="77"/>
  <c r="C19" i="77"/>
  <c r="D21" i="77" l="1"/>
  <c r="D19" i="77"/>
  <c r="D20" i="77"/>
  <c r="H14" i="74" l="1"/>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H22" i="74" s="1"/>
  <c r="F22" i="74"/>
  <c r="V7" i="64" l="1"/>
  <c r="H9" i="74"/>
  <c r="H10" i="74"/>
  <c r="H11" i="74"/>
  <c r="H12" i="74"/>
  <c r="H13" i="74"/>
  <c r="H15" i="74"/>
  <c r="H16" i="74"/>
  <c r="H17" i="74"/>
  <c r="H18" i="74"/>
  <c r="H19" i="74"/>
  <c r="H20" i="74"/>
  <c r="H21" i="74"/>
  <c r="T21" i="64" l="1"/>
  <c r="U21" i="64"/>
  <c r="V9" i="64"/>
  <c r="D22" i="74" l="1"/>
  <c r="E22" i="74"/>
  <c r="C8" i="73" l="1"/>
  <c r="C13" i="73" s="1"/>
  <c r="C44" i="28"/>
  <c r="C32" i="28" l="1"/>
  <c r="C31" i="28" l="1"/>
  <c r="C21" i="64"/>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36" i="28"/>
  <c r="C12" i="28"/>
  <c r="C42" i="28" l="1"/>
  <c r="C53" i="28"/>
  <c r="C6" i="28"/>
  <c r="C29" i="28" l="1"/>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7" i="105" l="1"/>
  <c r="B14" i="105" s="1"/>
  <c r="C5" i="71"/>
  <c r="E5" i="71"/>
  <c r="F5" i="71"/>
  <c r="D5" i="71"/>
  <c r="B6" i="105" l="1"/>
  <c r="B23" i="10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<sst xmlns="http://schemas.openxmlformats.org/spreadsheetml/2006/main" count="1637" uniqueCount="1019">
  <si>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</si>
  <si>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</si>
  <si>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</si>
  <si>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</si>
  <si>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</si>
  <si>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</si>
  <si>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</si>
  <si>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</si>
  <si>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</si>
  <si>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</si>
  <si>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</si>
  <si>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</si>
  <si>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</si>
  <si>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</si>
  <si>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</si>
  <si>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</si>
  <si>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</si>
  <si>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</si>
  <si>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</si>
  <si>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</si>
  <si>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</si>
  <si>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</si>
  <si>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</si>
  <si>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</si>
  <si>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</si>
  <si>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</si>
  <si>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</si>
  <si>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</si>
  <si>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</si>
  <si>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</si>
  <si>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</si>
  <si>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</si>
  <si>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</si>
  <si>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</si>
  <si>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</si>
  <si>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</si>
  <si>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</si>
  <si>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</si>
  <si>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</si>
  <si>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</si>
  <si>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</si>
  <si>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</si>
  <si>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</si>
  <si>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</si>
  <si>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</si>
  <si>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</si>
  <si>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</si>
  <si>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</si>
  <si>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</si>
  <si>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</si>
  <si>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</si>
  <si>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</si>
  <si>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</si>
  <si>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</si>
  <si>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</si>
  <si>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</si>
  <si>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</si>
  <si>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</si>
  <si>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</si>
  <si>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</si>
  <si>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</si>
  <si>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</si>
  <si>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</si>
  <si>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</si>
  <si>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</si>
  <si>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</si>
  <si>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</si>
  <si>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</si>
  <si>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</si>
  <si>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</si>
  <si>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</si>
  <si>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</si>
  <si>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</si>
  <si>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</si>
  <si>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</si>
  <si>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</si>
  <si>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</si>
  <si>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</si>
  <si>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</si>
  <si>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</si>
  <si>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</si>
  <si>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</si>
  <si>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</si>
  <si>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</si>
  <si>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</si>
  <si>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</si>
  <si>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</si>
  <si>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</si>
  <si>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</si>
  <si>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</si>
  <si>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</si>
  <si>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</si>
  <si>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</si>
  <si>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</si>
  <si>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</si>
  <si>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</si>
  <si>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</si>
  <si>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</si>
  <si>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</si>
  <si>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</si>
  <si>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</si>
  <si>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</si>
  <si>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</si>
  <si>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</si>
  <si>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</si>
  <si>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</si>
  <si>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</si>
  <si>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</si>
  <si>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</si>
  <si>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</si>
  <si>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</si>
  <si>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</si>
  <si>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</si>
  <si>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</si>
  <si>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</si>
  <si>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</si>
  <si>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</si>
  <si>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</si>
  <si>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</si>
  <si>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</si>
  <si>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</si>
  <si>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</si>
  <si>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</si>
  <si>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</si>
  <si>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</si>
  <si>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</si>
  <si>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</si>
  <si>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</si>
  <si>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</si>
  <si>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</si>
  <si>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</si>
  <si>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</si>
  <si>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</si>
  <si>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</si>
  <si>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</si>
  <si>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</si>
  <si>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</si>
  <si>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</si>
  <si>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</si>
  <si>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</si>
  <si>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</si>
  <si>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</si>
  <si>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</si>
  <si>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</si>
  <si>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</si>
  <si>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</si>
  <si>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</si>
  <si>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</si>
  <si>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</si>
  <si>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</si>
  <si>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</si>
  <si>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</si>
  <si>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</si>
  <si>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</si>
  <si>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</si>
  <si>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</si>
  <si>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</si>
  <si>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</si>
  <si>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</si>
  <si>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</si>
  <si>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</si>
  <si>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</si>
  <si>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</si>
  <si>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</si>
  <si>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</si>
  <si>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</si>
  <si>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</si>
  <si>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</si>
  <si>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</si>
  <si>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</si>
  <si>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</si>
  <si>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</si>
  <si>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</si>
  <si>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</si>
  <si>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</si>
  <si>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</si>
  <si>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</si>
  <si>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</si>
  <si>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</si>
  <si>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</si>
  <si>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</si>
  <si>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</si>
  <si>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</si>
  <si>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</si>
  <si>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</si>
  <si>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</si>
  <si>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</si>
  <si>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</si>
  <si>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</si>
  <si>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</si>
  <si>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</si>
  <si>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</si>
  <si>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</si>
  <si>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</si>
  <si>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</si>
  <si>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</si>
  <si>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</si>
  <si>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</si>
  <si>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</si>
  <si>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</si>
  <si>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</si>
  <si>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</si>
  <si>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</si>
  <si>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</si>
  <si>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</si>
  <si>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</si>
  <si>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</si>
  <si>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</si>
  <si>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</si>
  <si>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</si>
  <si>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</si>
  <si>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</si>
  <si>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</si>
  <si>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</si>
  <si>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</si>
  <si>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</si>
  <si>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</si>
  <si>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</si>
  <si>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</si>
  <si>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</si>
  <si>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</si>
  <si>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</si>
  <si>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</si>
  <si>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</si>
  <si>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</si>
  <si>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</si>
  <si>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</si>
  <si>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</si>
  <si>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</si>
  <si>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</si>
  <si>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</si>
  <si>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</si>
  <si>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</si>
  <si>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</si>
  <si>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</si>
  <si>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</si>
  <si>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</si>
  <si>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</si>
  <si>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</si>
  <si>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</si>
  <si>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</si>
  <si>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</si>
  <si>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</si>
  <si>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</si>
  <si>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</si>
  <si>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</si>
  <si>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</si>
  <si>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</si>
  <si>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</si>
  <si>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</si>
  <si>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</si>
  <si>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</si>
  <si>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</si>
  <si>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</si>
  <si>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</si>
  <si>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</si>
  <si>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</si>
  <si>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</si>
  <si>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</si>
  <si>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</si>
  <si>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</si>
  <si>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</si>
  <si>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</si>
  <si>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</si>
  <si>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</si>
  <si>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</si>
  <si>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</si>
  <si>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</si>
  <si>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</si>
  <si>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</si>
  <si>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</si>
  <si>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</si>
  <si>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</si>
  <si>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</si>
  <si>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</si>
  <si>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</si>
  <si>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</si>
  <si>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</si>
  <si>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</si>
  <si>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</si>
  <si>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</si>
  <si>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</si>
  <si>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</si>
  <si>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</si>
  <si>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</si>
  <si>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</si>
  <si>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</si>
  <si>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</si>
  <si>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</si>
  <si>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</si>
  <si>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</si>
  <si>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</si>
  <si>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</si>
  <si>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</si>
  <si>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</si>
  <si>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</si>
  <si>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</si>
  <si>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</si>
  <si>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</si>
  <si>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</si>
  <si>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</si>
  <si>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</si>
  <si>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</si>
  <si>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</si>
  <si>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</si>
  <si>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</si>
  <si>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</si>
  <si>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</si>
  <si>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</si>
  <si>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</si>
  <si>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</si>
  <si>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</si>
  <si>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</si>
  <si>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</si>
  <si>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</si>
  <si>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</si>
  <si>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</si>
  <si>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</si>
  <si>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</si>
  <si>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</si>
  <si>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</si>
  <si>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</si>
  <si>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</si>
  <si>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</si>
  <si>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</si>
  <si>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</si>
  <si>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</si>
  <si>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</si>
  <si>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</si>
  <si>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</si>
  <si>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</si>
  <si>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</si>
  <si>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</si>
  <si>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</si>
  <si>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</si>
  <si>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</si>
  <si>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</si>
  <si>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</si>
  <si>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</si>
  <si>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</si>
  <si>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</si>
  <si>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</si>
  <si>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</si>
  <si>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</si>
  <si>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</si>
  <si>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</si>
  <si>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</si>
  <si>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</si>
  <si>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</si>
  <si>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</si>
  <si>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</si>
  <si>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</si>
  <si>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</si>
  <si>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</si>
  <si>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</si>
  <si>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</si>
  <si>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</si>
  <si>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</si>
  <si>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</si>
  <si>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</si>
  <si>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</si>
  <si>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</si>
  <si>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</si>
  <si>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</si>
  <si>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</si>
  <si>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</si>
  <si>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</si>
  <si>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</si>
  <si>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</si>
  <si>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</si>
  <si>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</si>
  <si>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</si>
  <si>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</si>
  <si>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</si>
  <si>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</si>
  <si>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</si>
  <si>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</si>
  <si>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</si>
  <si>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</si>
  <si>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</si>
  <si>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</si>
  <si>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</si>
  <si>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</si>
  <si>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</si>
  <si>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</si>
  <si>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</si>
  <si>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</si>
  <si>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</si>
  <si>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</si>
  <si>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</si>
  <si>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</si>
  <si>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</si>
  <si>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</si>
  <si>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</si>
  <si>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</si>
  <si>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</si>
  <si>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</si>
  <si>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</si>
  <si>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</si>
  <si>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</si>
  <si>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</si>
  <si>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</si>
  <si>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</si>
  <si>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</si>
  <si>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</si>
  <si>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</si>
  <si>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</si>
  <si>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</si>
  <si>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</si>
  <si>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</si>
  <si>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</si>
  <si>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</si>
  <si>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</si>
  <si>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</si>
  <si>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</si>
  <si>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</si>
  <si>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</si>
  <si>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</si>
  <si>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</si>
  <si>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</si>
  <si>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</si>
  <si>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</si>
  <si>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</si>
  <si>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</si>
  <si>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</si>
  <si>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</si>
  <si>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</si>
  <si>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</si>
  <si>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</si>
  <si>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</si>
  <si>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</si>
  <si>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</si>
  <si>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</si>
  <si>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</si>
  <si>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</si>
  <si>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</si>
  <si>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</si>
  <si>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</si>
  <si>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</si>
  <si>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</si>
  <si>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</si>
  <si>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</si>
  <si>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</si>
  <si>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</si>
  <si>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</si>
  <si>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</si>
  <si>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</si>
  <si>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</si>
  <si>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</si>
  <si>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</si>
  <si>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</si>
  <si>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</si>
  <si>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</si>
  <si>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</si>
  <si>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</si>
  <si>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</si>
  <si>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</si>
  <si>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</si>
  <si>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</si>
  <si>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</si>
  <si>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</si>
  <si>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</si>
  <si>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</si>
  <si>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</si>
  <si>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</si>
  <si>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</si>
  <si>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</si>
  <si>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</si>
  <si>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</si>
  <si>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</si>
  <si>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</si>
  <si>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</si>
  <si>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</si>
  <si>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</si>
  <si>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</si>
  <si>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</si>
  <si>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</si>
  <si>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</si>
  <si>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</si>
  <si>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</si>
  <si>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</si>
  <si>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</si>
  <si>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</si>
  <si>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</si>
  <si>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</si>
  <si>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</si>
  <si>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</si>
  <si>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</si>
  <si>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</si>
  <si>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</si>
  <si>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</si>
  <si>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</si>
  <si>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</si>
  <si>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</si>
  <si>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</si>
  <si>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</si>
  <si>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</si>
  <si>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</si>
  <si>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</si>
  <si>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</si>
  <si>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</si>
  <si>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</si>
  <si>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</si>
  <si>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</si>
  <si>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</si>
  <si>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</si>
  <si>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</si>
  <si>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</si>
  <si>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</si>
  <si>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</si>
  <si>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</si>
  <si>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</si>
  <si>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</si>
  <si>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</si>
  <si>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</si>
  <si>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</si>
  <si>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</si>
  <si>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</si>
  <si>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</si>
  <si>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</si>
  <si>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</si>
  <si>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</si>
  <si>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</si>
  <si>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</si>
  <si>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</si>
  <si>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</si>
  <si>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</si>
  <si>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</si>
  <si>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</si>
  <si>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</si>
  <si>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</si>
  <si>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</si>
  <si>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</si>
  <si>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</si>
  <si>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</si>
  <si>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</si>
  <si>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</si>
  <si>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</si>
  <si>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</si>
  <si>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</si>
  <si>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</si>
  <si>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</si>
  <si>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</si>
  <si>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</si>
  <si>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</si>
  <si>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</si>
  <si>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</si>
  <si>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</si>
  <si>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</si>
  <si>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</si>
  <si>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</si>
  <si>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</si>
  <si>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</si>
  <si>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</si>
  <si>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</si>
  <si>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</si>
  <si>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</si>
  <si>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</si>
  <si>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</si>
  <si>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</si>
  <si>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</si>
  <si>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</si>
  <si>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</si>
  <si>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</si>
  <si>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</si>
  <si>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</si>
  <si>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</si>
  <si>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</si>
  <si>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</si>
  <si>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</si>
  <si>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</si>
  <si>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</si>
  <si>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</si>
  <si>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</si>
  <si>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</si>
  <si>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</si>
  <si>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</si>
  <si>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</si>
  <si>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</si>
  <si>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</si>
  <si>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</si>
  <si>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</si>
  <si>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</si>
  <si>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</si>
  <si>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</si>
  <si>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</si>
  <si>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</si>
  <si>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</si>
  <si>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</si>
  <si>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</si>
  <si>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</si>
  <si>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</si>
  <si>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</si>
  <si>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</si>
  <si>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</si>
  <si>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</si>
  <si>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</si>
  <si>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</si>
  <si>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</si>
  <si>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</si>
  <si>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</si>
  <si>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</si>
  <si>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</si>
  <si>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</si>
  <si>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</si>
  <si>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</si>
  <si>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</si>
  <si>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</si>
  <si>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</si>
  <si>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</si>
  <si>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</si>
  <si>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</si>
  <si>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</si>
  <si>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</si>
  <si>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</si>
  <si>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</si>
  <si>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</si>
  <si>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</si>
  <si>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</si>
  <si>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</si>
  <si>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</si>
  <si>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</si>
  <si>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</si>
  <si>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</si>
  <si>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</si>
  <si>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</si>
  <si>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</si>
  <si>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</si>
  <si>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</si>
  <si>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</si>
  <si>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</si>
  <si>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</si>
  <si>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</si>
  <si>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</si>
  <si>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</si>
  <si>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</si>
  <si>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</si>
  <si>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</si>
  <si>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</si>
  <si>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</si>
  <si>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</si>
  <si>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</si>
  <si>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</si>
  <si>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</si>
  <si>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</si>
  <si>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</si>
  <si>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</si>
  <si>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</si>
  <si>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</si>
  <si>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</si>
  <si>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</si>
  <si>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</si>
  <si>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</si>
  <si>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</si>
  <si>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</si>
  <si>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</si>
  <si>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</si>
  <si>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</si>
  <si>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</si>
  <si>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</si>
  <si>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</si>
  <si>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</si>
  <si>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</si>
  <si>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</si>
  <si>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</si>
  <si>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</si>
  <si>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</si>
  <si>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</si>
  <si>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</si>
  <si>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</si>
  <si>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</si>
  <si>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</si>
  <si>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</si>
  <si>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</si>
  <si>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</si>
  <si>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</si>
  <si>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</si>
  <si>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</si>
  <si>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</si>
  <si>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</si>
  <si>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</si>
  <si>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</si>
  <si>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</si>
  <si>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</si>
  <si>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</si>
  <si>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</si>
  <si>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</si>
  <si>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</si>
  <si>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</si>
  <si>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</si>
  <si>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</si>
  <si>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</si>
  <si>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</si>
  <si>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</si>
  <si>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</si>
  <si>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</si>
  <si>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</si>
  <si>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</si>
  <si>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</si>
  <si>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</si>
  <si>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</si>
  <si>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</si>
  <si>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</si>
  <si>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</si>
  <si>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</si>
  <si>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</si>
  <si>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</si>
  <si>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</si>
  <si>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</si>
  <si>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</si>
  <si>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</si>
  <si>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</si>
  <si>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</si>
  <si>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</si>
  <si>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</si>
  <si>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</si>
  <si>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</si>
  <si>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</si>
  <si>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</si>
  <si>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</si>
  <si>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</si>
  <si>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</si>
  <si>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</si>
  <si>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</si>
  <si>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</si>
  <si>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</si>
  <si>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</si>
  <si>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</si>
  <si>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</si>
  <si>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</si>
  <si>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</si>
  <si>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</si>
  <si>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</si>
  <si>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</si>
  <si>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</si>
  <si>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</si>
  <si>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</si>
  <si>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</si>
  <si>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</si>
  <si>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</si>
  <si>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</si>
  <si>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</si>
  <si>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</si>
  <si>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</si>
  <si>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</si>
  <si>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</si>
  <si>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</si>
  <si>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</si>
  <si>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</si>
  <si>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</si>
  <si>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</si>
  <si>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</si>
  <si>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</si>
  <si>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</si>
  <si>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</si>
  <si>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</si>
  <si>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</si>
  <si>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</si>
  <si>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</si>
  <si>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</si>
  <si>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</si>
  <si>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</si>
  <si>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</si>
  <si>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</si>
  <si>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</si>
  <si>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</si>
  <si>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</si>
  <si>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</si>
  <si>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</si>
  <si>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</si>
  <si>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</si>
  <si>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</si>
  <si>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</si>
  <si>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</si>
  <si>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</si>
  <si>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</si>
  <si>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</si>
  <si>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</si>
  <si>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</si>
  <si>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</si>
  <si>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</si>
  <si>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</si>
  <si>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</si>
  <si>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</si>
  <si>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</si>
  <si>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</si>
  <si>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</si>
  <si>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</si>
  <si>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</si>
  <si>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</si>
  <si>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</si>
  <si>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</si>
  <si>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</si>
  <si>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</si>
  <si>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</si>
  <si>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</si>
  <si>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</si>
  <si>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</si>
  <si>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</si>
  <si>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</si>
  <si>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</si>
  <si>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</si>
  <si>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</si>
  <si>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</si>
  <si>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</si>
  <si>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</si>
  <si>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</si>
  <si>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</si>
  <si>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</si>
  <si>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</si>
  <si>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</si>
  <si>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</si>
  <si>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</si>
  <si>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</si>
  <si>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</si>
  <si>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</si>
  <si>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</si>
  <si>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</si>
  <si>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</si>
  <si>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</si>
  <si>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</si>
  <si>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</si>
  <si>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</si>
  <si>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</si>
  <si>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</si>
  <si>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</si>
  <si>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</si>
  <si>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</si>
  <si>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</si>
  <si>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</si>
  <si>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</si>
  <si>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</si>
  <si>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</si>
  <si>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</si>
  <si>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</si>
  <si>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</si>
  <si>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</si>
  <si>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</si>
  <si>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</si>
  <si>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</si>
  <si>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</si>
  <si>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</si>
  <si>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</si>
  <si>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</si>
  <si>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</si>
  <si>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</si>
  <si>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</si>
  <si>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</si>
  <si>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</si>
  <si>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</si>
  <si>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</si>
  <si>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</si>
  <si>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</si>
  <si>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</si>
  <si>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</si>
  <si>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</si>
  <si>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</si>
  <si>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</si>
  <si>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</si>
  <si>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</si>
  <si>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</si>
  <si>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</si>
  <si>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</si>
  <si>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</si>
  <si>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</si>
  <si>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</si>
  <si>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</si>
  <si>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</si>
  <si>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</si>
  <si>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</si>
  <si>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</si>
  <si>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</si>
  <si>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</si>
  <si>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</si>
  <si>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</si>
  <si>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</si>
  <si>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</si>
  <si>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</si>
  <si>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</si>
  <si>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</si>
  <si>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</si>
  <si>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</si>
  <si>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</si>
  <si>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</si>
  <si>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</si>
  <si>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</si>
  <si>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</si>
  <si>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</si>
  <si>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</si>
  <si>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</si>
  <si>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</si>
  <si>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</si>
  <si>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</si>
  <si>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</si>
  <si>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</si>
  <si>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</si>
  <si>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</si>
  <si>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</si>
  <si>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</si>
  <si>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</si>
  <si>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</si>
  <si>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</si>
  <si>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</si>
  <si>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</si>
  <si>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</si>
  <si>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</si>
  <si>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</si>
  <si>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</si>
  <si>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</si>
  <si>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</si>
  <si>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</si>
  <si>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</si>
  <si>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</si>
  <si>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</si>
  <si>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</si>
  <si>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</si>
  <si>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</si>
  <si>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</si>
  <si>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</si>
  <si>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</si>
  <si>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</si>
  <si>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</si>
  <si>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</si>
  <si>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</si>
  <si>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</si>
  <si>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</si>
  <si>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</si>
  <si>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</si>
  <si>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</si>
  <si>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</si>
  <si>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</si>
  <si>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</si>
  <si>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</si>
  <si>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</si>
  <si>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</si>
  <si>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</si>
  <si>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</si>
  <si>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</si>
  <si>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</si>
  <si>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</si>
  <si>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</si>
  <si>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</si>
  <si>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</si>
  <si>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</si>
  <si>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</si>
  <si>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</si>
  <si>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</si>
  <si>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</si>
  <si>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</si>
  <si>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</si>
  <si>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</si>
  <si>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</si>
  <si>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</si>
  <si>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</si>
  <si>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</si>
  <si>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</si>
  <si>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</si>
  <si>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</si>
  <si>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</si>
  <si>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</si>
  <si>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</si>
  <si>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</si>
  <si>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</si>
  <si>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</si>
  <si>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</si>
  <si>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</si>
  <si>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</si>
  <si>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</si>
  <si>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</si>
  <si>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</si>
  <si>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</si>
  <si>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</si>
  <si>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</si>
  <si>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</si>
  <si>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</si>
  <si>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</si>
  <si>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</si>
  <si>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</si>
  <si>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</si>
  <si>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</si>
  <si>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</si>
  <si>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</si>
  <si>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</si>
  <si>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</si>
  <si>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</si>
  <si>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</si>
  <si>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</si>
  <si>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</si>
  <si>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</si>
  <si>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</si>
  <si>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</si>
  <si>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</si>
  <si>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</si>
  <si>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</si>
  <si>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</si>
  <si>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</si>
  <si>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</si>
  <si>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</si>
  <si>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</si>
  <si>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Check</t>
  </si>
  <si>
    <t>კახაბერ კიკნაველიძე</t>
  </si>
  <si>
    <t>დამოუკიდებელი წევრი</t>
  </si>
  <si>
    <t>ეინურ ბუტია</t>
  </si>
  <si>
    <t>დამოუკიდებელი თავმჯდომარე</t>
  </si>
  <si>
    <t>რეიჩელ მარინ ფრიმენ</t>
  </si>
  <si>
    <t>ომარ-სალიმ დანანი</t>
  </si>
  <si>
    <t>გენერალური დირექტორი / ბანკის ზოგადი მიმართულებები</t>
  </si>
  <si>
    <t>დმიტრი ბოჩაროვ</t>
  </si>
  <si>
    <t>საოპერაციო დირექტორი / რისკების მიმართულება</t>
  </si>
  <si>
    <t>საიმონ ჯეიმს ვანს-კოლინა</t>
  </si>
  <si>
    <t>ტექნოლოგიური დორექტორი / ინფორმაციული ტექნოლოგიების მიმარათულება</t>
  </si>
  <si>
    <t>PAVING THE WAY PTE. LTD.</t>
  </si>
  <si>
    <t>სს პეივ ბანკ ჯორჯია</t>
  </si>
  <si>
    <t>https://pavebank.com/en</t>
  </si>
  <si>
    <t>ანურადჰა სუდჰირ ფანსე</t>
  </si>
  <si>
    <t>N/A</t>
  </si>
  <si>
    <t>კლიენტების ნომინალური ანგარიშები</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</si>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</sst>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 #,##0.00_-;_-* &quot;-&quot;??_-;_-@_-"/>
    <numFmt numFmtId="165" formatCode="_(* #,##0_);_(* \(#,##0\);_(* &quot;-&quot;??_);_(@_)"/>
    <numFmt numFmtId="166" formatCode="0.0%"/>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_(* #,##0.0_);_(* \(#,##0.0\);_(* &quot;-&quot;??_);_(@_)"/>
  </numFmts>
  <fonts count="16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8"/>
      <color theme="1"/>
      <name val="Verdana"/>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7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indexed="64"/>
      </top>
      <bottom style="hair">
        <color indexed="64"/>
      </bottom>
      <diagonal/>
    </border>
    <border>
      <left style="medium">
        <color indexed="64"/>
      </left>
      <right style="thin">
        <color auto="1"/>
      </right>
      <top/>
      <bottom style="hair">
        <color indexed="64"/>
      </bottom>
      <diagonal/>
    </border>
    <border>
      <left style="medium">
        <color indexed="64"/>
      </left>
      <right style="thin">
        <color auto="1"/>
      </right>
      <top style="hair">
        <color indexed="64"/>
      </top>
      <bottom style="hair">
        <color indexed="64"/>
      </bottom>
      <diagonal/>
    </border>
    <border>
      <left style="medium">
        <color indexed="64"/>
      </left>
      <right style="thin">
        <color auto="1"/>
      </right>
      <top style="hair">
        <color indexed="64"/>
      </top>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indexed="64"/>
      </top>
      <bottom style="thin">
        <color indexed="64"/>
      </bottom>
      <diagonal/>
    </border>
    <border>
      <left style="thin">
        <color auto="1"/>
      </left>
      <right style="thin">
        <color auto="1"/>
      </right>
      <top style="thin">
        <color theme="6" tint="-0.499984740745262"/>
      </top>
      <bottom style="medium">
        <color indexed="64"/>
      </bottom>
      <diagonal/>
    </border>
  </borders>
  <cellStyleXfs count="22314">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4" fillId="0" borderId="0"/>
    <xf numFmtId="168" fontId="25" fillId="36" borderId="0"/>
    <xf numFmtId="169" fontId="25" fillId="36" borderId="0"/>
    <xf numFmtId="168" fontId="25" fillId="36" borderId="0"/>
    <xf numFmtId="0" fontId="26" fillId="37"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0" fontId="31" fillId="38"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3" borderId="36" applyNumberFormat="0" applyAlignment="0" applyProtection="0"/>
    <xf numFmtId="0" fontId="38" fillId="8" borderId="29"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8" fontId="39"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8" fontId="39"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9" fontId="39"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29"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29"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29"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29"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29"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29"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29"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0" fontId="37" fillId="63" borderId="36" applyNumberFormat="0" applyAlignment="0" applyProtection="0"/>
    <xf numFmtId="0" fontId="40" fillId="64" borderId="37" applyNumberFormat="0" applyAlignment="0" applyProtection="0"/>
    <xf numFmtId="0" fontId="41" fillId="9" borderId="32"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0" fontId="40"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0" fontId="41" fillId="9" borderId="32"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0" fontId="40" fillId="64" borderId="37"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0" applyFont="0" applyFill="0" applyBorder="0" applyAlignment="0" applyProtection="0"/>
    <xf numFmtId="180"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8" applyNumberFormat="0" applyAlignment="0" applyProtection="0">
      <alignment horizontal="left" vertical="center"/>
    </xf>
    <xf numFmtId="0" fontId="53" fillId="0" borderId="28" applyNumberFormat="0" applyAlignment="0" applyProtection="0">
      <alignment horizontal="left" vertical="center"/>
    </xf>
    <xf numFmtId="168" fontId="53" fillId="0" borderId="28" applyNumberFormat="0" applyAlignment="0" applyProtection="0">
      <alignment horizontal="left" vertical="center"/>
    </xf>
    <xf numFmtId="0" fontId="53" fillId="0" borderId="9">
      <alignment horizontal="left" vertical="center"/>
    </xf>
    <xf numFmtId="0" fontId="53" fillId="0" borderId="9">
      <alignment horizontal="left" vertical="center"/>
    </xf>
    <xf numFmtId="168" fontId="53" fillId="0" borderId="9">
      <alignment horizontal="left" vertical="center"/>
    </xf>
    <xf numFmtId="0" fontId="54" fillId="0" borderId="39" applyNumberFormat="0" applyFill="0" applyAlignment="0" applyProtection="0"/>
    <xf numFmtId="169" fontId="54" fillId="0" borderId="39" applyNumberFormat="0" applyFill="0" applyAlignment="0" applyProtection="0"/>
    <xf numFmtId="0"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0" fontId="54" fillId="0" borderId="39" applyNumberFormat="0" applyFill="0" applyAlignment="0" applyProtection="0"/>
    <xf numFmtId="0" fontId="55" fillId="0" borderId="40" applyNumberFormat="0" applyFill="0" applyAlignment="0" applyProtection="0"/>
    <xf numFmtId="169" fontId="55" fillId="0" borderId="40" applyNumberFormat="0" applyFill="0" applyAlignment="0" applyProtection="0"/>
    <xf numFmtId="0"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0" fontId="55" fillId="0" borderId="40" applyNumberFormat="0" applyFill="0" applyAlignment="0" applyProtection="0"/>
    <xf numFmtId="0" fontId="56" fillId="0" borderId="41" applyNumberFormat="0" applyFill="0" applyAlignment="0" applyProtection="0"/>
    <xf numFmtId="169"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2" borderId="36" applyNumberFormat="0" applyAlignment="0" applyProtection="0"/>
    <xf numFmtId="0" fontId="66" fillId="7" borderId="29"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8" fontId="67"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8" fontId="67"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9" fontId="67"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29"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29"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29"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29"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29"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29"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29"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0" fontId="65" fillId="42" borderId="36" applyNumberFormat="0" applyAlignment="0" applyProtection="0"/>
    <xf numFmtId="3" fontId="2" fillId="71"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42" applyNumberFormat="0" applyFill="0" applyAlignment="0" applyProtection="0"/>
    <xf numFmtId="0" fontId="69" fillId="0" borderId="31"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0" fontId="68" fillId="0" borderId="42"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0" fontId="68" fillId="0" borderId="42"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0" fontId="71" fillId="72" borderId="0" applyNumberFormat="0" applyBorder="0" applyAlignment="0" applyProtection="0"/>
    <xf numFmtId="1" fontId="74" fillId="0" borderId="0" applyProtection="0"/>
    <xf numFmtId="168" fontId="25" fillId="0" borderId="43"/>
    <xf numFmtId="169" fontId="25" fillId="0" borderId="43"/>
    <xf numFmtId="168" fontId="25" fillId="0" borderId="43"/>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79" fontId="25" fillId="0" borderId="0"/>
    <xf numFmtId="0" fontId="7"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7"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7"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7"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7" fillId="0" borderId="0"/>
    <xf numFmtId="0" fontId="75" fillId="0" borderId="0"/>
    <xf numFmtId="168" fontId="7" fillId="0" borderId="0"/>
    <xf numFmtId="0" fontId="75" fillId="0" borderId="0"/>
    <xf numFmtId="168" fontId="7"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179" fontId="25"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3" borderId="44"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168" fontId="2" fillId="0" borderId="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6" fillId="73" borderId="44" applyNumberFormat="0" applyFont="0" applyAlignment="0" applyProtection="0"/>
    <xf numFmtId="168" fontId="2" fillId="0" borderId="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169" fontId="2" fillId="0" borderId="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 fillId="0" borderId="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3"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169"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168" fontId="2" fillId="0" borderId="0"/>
    <xf numFmtId="168" fontId="2" fillId="0" borderId="0"/>
    <xf numFmtId="0" fontId="2"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1" fillId="0" borderId="0"/>
    <xf numFmtId="0" fontId="81" fillId="0" borderId="0"/>
    <xf numFmtId="168" fontId="81" fillId="0" borderId="0"/>
    <xf numFmtId="0" fontId="82" fillId="63" borderId="45" applyNumberFormat="0" applyAlignment="0" applyProtection="0"/>
    <xf numFmtId="0" fontId="83" fillId="8" borderId="30"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8" fontId="84"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8" fontId="84"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9" fontId="84"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0"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0"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0"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0"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0"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0"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0"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0" fontId="82" fillId="63" borderId="45"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6" applyNumberFormat="0" applyFill="0" applyAlignment="0" applyProtection="0"/>
    <xf numFmtId="0" fontId="5" fillId="0" borderId="34"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8"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8"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9"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4"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4"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4"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4"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4"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4"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4"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0" fontId="46" fillId="0" borderId="46" applyNumberFormat="0" applyFill="0" applyAlignment="0" applyProtection="0"/>
    <xf numFmtId="0" fontId="24" fillId="0" borderId="47"/>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99" applyNumberFormat="0" applyFill="0" applyAlignment="0" applyProtection="0"/>
    <xf numFmtId="168" fontId="93" fillId="0" borderId="99" applyNumberFormat="0" applyFill="0" applyAlignment="0" applyProtection="0"/>
    <xf numFmtId="169" fontId="93" fillId="0" borderId="99" applyNumberFormat="0" applyFill="0" applyAlignment="0" applyProtection="0"/>
    <xf numFmtId="168" fontId="93" fillId="0" borderId="99" applyNumberFormat="0" applyFill="0" applyAlignment="0" applyProtection="0"/>
    <xf numFmtId="168" fontId="93" fillId="0" borderId="99" applyNumberFormat="0" applyFill="0" applyAlignment="0" applyProtection="0"/>
    <xf numFmtId="169" fontId="93" fillId="0" borderId="99" applyNumberFormat="0" applyFill="0" applyAlignment="0" applyProtection="0"/>
    <xf numFmtId="168" fontId="93" fillId="0" borderId="99" applyNumberFormat="0" applyFill="0" applyAlignment="0" applyProtection="0"/>
    <xf numFmtId="168" fontId="93" fillId="0" borderId="99" applyNumberFormat="0" applyFill="0" applyAlignment="0" applyProtection="0"/>
    <xf numFmtId="169" fontId="93" fillId="0" borderId="99" applyNumberFormat="0" applyFill="0" applyAlignment="0" applyProtection="0"/>
    <xf numFmtId="168" fontId="93" fillId="0" borderId="99" applyNumberFormat="0" applyFill="0" applyAlignment="0" applyProtection="0"/>
    <xf numFmtId="168" fontId="93" fillId="0" borderId="99" applyNumberFormat="0" applyFill="0" applyAlignment="0" applyProtection="0"/>
    <xf numFmtId="169" fontId="93" fillId="0" borderId="99" applyNumberFormat="0" applyFill="0" applyAlignment="0" applyProtection="0"/>
    <xf numFmtId="168" fontId="93"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169" fontId="93"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168" fontId="93"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168" fontId="93"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0" fontId="46" fillId="0" borderId="99" applyNumberFormat="0" applyFill="0" applyAlignment="0" applyProtection="0"/>
    <xf numFmtId="188" fontId="2" fillId="69" borderId="94" applyFont="0">
      <alignment horizontal="right" vertical="center"/>
    </xf>
    <xf numFmtId="3" fontId="2" fillId="69" borderId="94" applyFont="0">
      <alignment horizontal="right" vertical="center"/>
    </xf>
    <xf numFmtId="0" fontId="82" fillId="63" borderId="98" applyNumberFormat="0" applyAlignment="0" applyProtection="0"/>
    <xf numFmtId="168" fontId="84" fillId="63" borderId="98" applyNumberFormat="0" applyAlignment="0" applyProtection="0"/>
    <xf numFmtId="169" fontId="84" fillId="63" borderId="98" applyNumberFormat="0" applyAlignment="0" applyProtection="0"/>
    <xf numFmtId="168" fontId="84" fillId="63" borderId="98" applyNumberFormat="0" applyAlignment="0" applyProtection="0"/>
    <xf numFmtId="168" fontId="84" fillId="63" borderId="98" applyNumberFormat="0" applyAlignment="0" applyProtection="0"/>
    <xf numFmtId="169" fontId="84" fillId="63" borderId="98" applyNumberFormat="0" applyAlignment="0" applyProtection="0"/>
    <xf numFmtId="168" fontId="84" fillId="63" borderId="98" applyNumberFormat="0" applyAlignment="0" applyProtection="0"/>
    <xf numFmtId="168" fontId="84" fillId="63" borderId="98" applyNumberFormat="0" applyAlignment="0" applyProtection="0"/>
    <xf numFmtId="169" fontId="84" fillId="63" borderId="98" applyNumberFormat="0" applyAlignment="0" applyProtection="0"/>
    <xf numFmtId="168" fontId="84" fillId="63" borderId="98" applyNumberFormat="0" applyAlignment="0" applyProtection="0"/>
    <xf numFmtId="168" fontId="84" fillId="63" borderId="98" applyNumberFormat="0" applyAlignment="0" applyProtection="0"/>
    <xf numFmtId="169" fontId="84" fillId="63" borderId="98" applyNumberFormat="0" applyAlignment="0" applyProtection="0"/>
    <xf numFmtId="168" fontId="84"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169" fontId="84"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168" fontId="84"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168" fontId="84"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0" fontId="82" fillId="63" borderId="98" applyNumberFormat="0" applyAlignment="0" applyProtection="0"/>
    <xf numFmtId="3" fontId="2" fillId="74" borderId="94" applyFont="0">
      <alignment horizontal="right" vertical="center"/>
      <protection locked="0"/>
    </xf>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 fillId="73" borderId="97" applyNumberFormat="0" applyFont="0" applyAlignment="0" applyProtection="0"/>
    <xf numFmtId="0" fontId="26" fillId="73" borderId="97" applyNumberFormat="0" applyFont="0" applyAlignment="0" applyProtection="0"/>
    <xf numFmtId="0" fontId="2" fillId="73" borderId="97" applyNumberFormat="0" applyFont="0" applyAlignment="0" applyProtection="0"/>
    <xf numFmtId="0" fontId="2"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0" fontId="26" fillId="73" borderId="97" applyNumberFormat="0" applyFont="0" applyAlignment="0" applyProtection="0"/>
    <xf numFmtId="3" fontId="2" fillId="71" borderId="94" applyFont="0">
      <alignment horizontal="right" vertical="center"/>
      <protection locked="0"/>
    </xf>
    <xf numFmtId="0" fontId="65" fillId="42" borderId="96" applyNumberFormat="0" applyAlignment="0" applyProtection="0"/>
    <xf numFmtId="168" fontId="67" fillId="42" borderId="96" applyNumberFormat="0" applyAlignment="0" applyProtection="0"/>
    <xf numFmtId="169" fontId="67" fillId="42" borderId="96" applyNumberFormat="0" applyAlignment="0" applyProtection="0"/>
    <xf numFmtId="168" fontId="67" fillId="42" borderId="96" applyNumberFormat="0" applyAlignment="0" applyProtection="0"/>
    <xf numFmtId="168" fontId="67" fillId="42" borderId="96" applyNumberFormat="0" applyAlignment="0" applyProtection="0"/>
    <xf numFmtId="169" fontId="67" fillId="42" borderId="96" applyNumberFormat="0" applyAlignment="0" applyProtection="0"/>
    <xf numFmtId="168" fontId="67" fillId="42" borderId="96" applyNumberFormat="0" applyAlignment="0" applyProtection="0"/>
    <xf numFmtId="168" fontId="67" fillId="42" borderId="96" applyNumberFormat="0" applyAlignment="0" applyProtection="0"/>
    <xf numFmtId="169" fontId="67" fillId="42" borderId="96" applyNumberFormat="0" applyAlignment="0" applyProtection="0"/>
    <xf numFmtId="168" fontId="67" fillId="42" borderId="96" applyNumberFormat="0" applyAlignment="0" applyProtection="0"/>
    <xf numFmtId="168" fontId="67" fillId="42" borderId="96" applyNumberFormat="0" applyAlignment="0" applyProtection="0"/>
    <xf numFmtId="169" fontId="67" fillId="42" borderId="96" applyNumberFormat="0" applyAlignment="0" applyProtection="0"/>
    <xf numFmtId="168" fontId="67"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169" fontId="67"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168" fontId="67"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168" fontId="67"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65" fillId="42" borderId="96" applyNumberFormat="0" applyAlignment="0" applyProtection="0"/>
    <xf numFmtId="0" fontId="2" fillId="70" borderId="95" applyNumberFormat="0" applyFont="0" applyBorder="0" applyProtection="0">
      <alignment horizontal="left" vertical="center"/>
    </xf>
    <xf numFmtId="9" fontId="2" fillId="70" borderId="94" applyFont="0" applyProtection="0">
      <alignment horizontal="right" vertical="center"/>
    </xf>
    <xf numFmtId="3" fontId="2" fillId="70" borderId="94" applyFont="0" applyProtection="0">
      <alignment horizontal="right" vertical="center"/>
    </xf>
    <xf numFmtId="0" fontId="61" fillId="69" borderId="95" applyFont="0" applyBorder="0">
      <alignment horizontal="center" wrapText="1"/>
    </xf>
    <xf numFmtId="168" fontId="53" fillId="0" borderId="92">
      <alignment horizontal="left" vertical="center"/>
    </xf>
    <xf numFmtId="0" fontId="53" fillId="0" borderId="92">
      <alignment horizontal="left" vertical="center"/>
    </xf>
    <xf numFmtId="0" fontId="53" fillId="0" borderId="92">
      <alignment horizontal="left" vertical="center"/>
    </xf>
    <xf numFmtId="0" fontId="2" fillId="68" borderId="94" applyNumberFormat="0" applyFont="0" applyBorder="0" applyProtection="0">
      <alignment horizontal="center" vertical="center"/>
    </xf>
    <xf numFmtId="0" fontId="35" fillId="0" borderId="94" applyNumberFormat="0" applyAlignment="0">
      <alignment horizontal="right"/>
      <protection locked="0"/>
    </xf>
    <xf numFmtId="0" fontId="35" fillId="0" borderId="94" applyNumberFormat="0" applyAlignment="0">
      <alignment horizontal="right"/>
      <protection locked="0"/>
    </xf>
    <xf numFmtId="0" fontId="35" fillId="0" borderId="94" applyNumberFormat="0" applyAlignment="0">
      <alignment horizontal="right"/>
      <protection locked="0"/>
    </xf>
    <xf numFmtId="0" fontId="35" fillId="0" borderId="94" applyNumberFormat="0" applyAlignment="0">
      <alignment horizontal="right"/>
      <protection locked="0"/>
    </xf>
    <xf numFmtId="0" fontId="35" fillId="0" borderId="94" applyNumberFormat="0" applyAlignment="0">
      <alignment horizontal="right"/>
      <protection locked="0"/>
    </xf>
    <xf numFmtId="0" fontId="35" fillId="0" borderId="94" applyNumberFormat="0" applyAlignment="0">
      <alignment horizontal="right"/>
      <protection locked="0"/>
    </xf>
    <xf numFmtId="0" fontId="35" fillId="0" borderId="94" applyNumberFormat="0" applyAlignment="0">
      <alignment horizontal="right"/>
      <protection locked="0"/>
    </xf>
    <xf numFmtId="0" fontId="35" fillId="0" borderId="94" applyNumberFormat="0" applyAlignment="0">
      <alignment horizontal="right"/>
      <protection locked="0"/>
    </xf>
    <xf numFmtId="0" fontId="35" fillId="0" borderId="94" applyNumberFormat="0" applyAlignment="0">
      <alignment horizontal="right"/>
      <protection locked="0"/>
    </xf>
    <xf numFmtId="0" fontId="35" fillId="0" borderId="94" applyNumberFormat="0" applyAlignment="0">
      <alignment horizontal="right"/>
      <protection locked="0"/>
    </xf>
    <xf numFmtId="0" fontId="37" fillId="63" borderId="96" applyNumberFormat="0" applyAlignment="0" applyProtection="0"/>
    <xf numFmtId="168" fontId="39" fillId="63" borderId="96" applyNumberFormat="0" applyAlignment="0" applyProtection="0"/>
    <xf numFmtId="169" fontId="39" fillId="63" borderId="96" applyNumberFormat="0" applyAlignment="0" applyProtection="0"/>
    <xf numFmtId="168" fontId="39" fillId="63" borderId="96" applyNumberFormat="0" applyAlignment="0" applyProtection="0"/>
    <xf numFmtId="168" fontId="39" fillId="63" borderId="96" applyNumberFormat="0" applyAlignment="0" applyProtection="0"/>
    <xf numFmtId="169" fontId="39" fillId="63" borderId="96" applyNumberFormat="0" applyAlignment="0" applyProtection="0"/>
    <xf numFmtId="168" fontId="39" fillId="63" borderId="96" applyNumberFormat="0" applyAlignment="0" applyProtection="0"/>
    <xf numFmtId="168" fontId="39" fillId="63" borderId="96" applyNumberFormat="0" applyAlignment="0" applyProtection="0"/>
    <xf numFmtId="169" fontId="39" fillId="63" borderId="96" applyNumberFormat="0" applyAlignment="0" applyProtection="0"/>
    <xf numFmtId="168" fontId="39" fillId="63" borderId="96" applyNumberFormat="0" applyAlignment="0" applyProtection="0"/>
    <xf numFmtId="168" fontId="39" fillId="63" borderId="96" applyNumberFormat="0" applyAlignment="0" applyProtection="0"/>
    <xf numFmtId="169" fontId="39" fillId="63" borderId="96" applyNumberFormat="0" applyAlignment="0" applyProtection="0"/>
    <xf numFmtId="168" fontId="39"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169" fontId="39"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168" fontId="39"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168" fontId="39"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37" fillId="63" borderId="96" applyNumberFormat="0" applyAlignment="0" applyProtection="0"/>
    <xf numFmtId="0" fontId="1" fillId="0" borderId="0"/>
    <xf numFmtId="169" fontId="25" fillId="36" borderId="0"/>
    <xf numFmtId="0" fontId="2" fillId="0" borderId="0">
      <alignment vertical="center"/>
    </xf>
    <xf numFmtId="164" fontId="1" fillId="0" borderId="0" applyFont="0" applyFill="0" applyBorder="0" applyAlignment="0" applyProtection="0"/>
    <xf numFmtId="0" fontId="128" fillId="0" borderId="0"/>
    <xf numFmtId="0" fontId="1" fillId="0" borderId="0"/>
    <xf numFmtId="0" fontId="1" fillId="0" borderId="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168" fontId="39"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168" fontId="39"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169" fontId="39"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168" fontId="39" fillId="63" borderId="153" applyNumberFormat="0" applyAlignment="0" applyProtection="0"/>
    <xf numFmtId="169" fontId="39" fillId="63" borderId="153" applyNumberFormat="0" applyAlignment="0" applyProtection="0"/>
    <xf numFmtId="168" fontId="39" fillId="63" borderId="153" applyNumberFormat="0" applyAlignment="0" applyProtection="0"/>
    <xf numFmtId="168" fontId="39" fillId="63" borderId="153" applyNumberFormat="0" applyAlignment="0" applyProtection="0"/>
    <xf numFmtId="169" fontId="39" fillId="63" borderId="153" applyNumberFormat="0" applyAlignment="0" applyProtection="0"/>
    <xf numFmtId="168" fontId="39" fillId="63" borderId="153" applyNumberFormat="0" applyAlignment="0" applyProtection="0"/>
    <xf numFmtId="168" fontId="39" fillId="63" borderId="153" applyNumberFormat="0" applyAlignment="0" applyProtection="0"/>
    <xf numFmtId="169" fontId="39" fillId="63" borderId="153" applyNumberFormat="0" applyAlignment="0" applyProtection="0"/>
    <xf numFmtId="168" fontId="39" fillId="63" borderId="153" applyNumberFormat="0" applyAlignment="0" applyProtection="0"/>
    <xf numFmtId="168" fontId="39" fillId="63" borderId="153" applyNumberFormat="0" applyAlignment="0" applyProtection="0"/>
    <xf numFmtId="169" fontId="39" fillId="63" borderId="153" applyNumberFormat="0" applyAlignment="0" applyProtection="0"/>
    <xf numFmtId="168" fontId="39" fillId="63" borderId="153" applyNumberFormat="0" applyAlignment="0" applyProtection="0"/>
    <xf numFmtId="0" fontId="37" fillId="63" borderId="153" applyNumberFormat="0" applyAlignment="0" applyProtection="0"/>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2" fillId="68" borderId="138" applyNumberFormat="0" applyFont="0" applyBorder="0" applyProtection="0">
      <alignment horizontal="center" vertical="center"/>
    </xf>
    <xf numFmtId="0" fontId="53" fillId="0" borderId="143">
      <alignment horizontal="left" vertical="center"/>
    </xf>
    <xf numFmtId="0" fontId="53" fillId="0" borderId="143">
      <alignment horizontal="left" vertical="center"/>
    </xf>
    <xf numFmtId="168" fontId="53" fillId="0" borderId="143">
      <alignment horizontal="left" vertical="center"/>
    </xf>
    <xf numFmtId="0" fontId="61" fillId="69" borderId="141" applyFont="0" applyBorder="0">
      <alignment horizontal="center" wrapText="1"/>
    </xf>
    <xf numFmtId="3" fontId="2" fillId="70" borderId="138" applyFont="0" applyProtection="0">
      <alignment horizontal="right" vertical="center"/>
    </xf>
    <xf numFmtId="9" fontId="2" fillId="70" borderId="138" applyFont="0" applyProtection="0">
      <alignment horizontal="right" vertical="center"/>
    </xf>
    <xf numFmtId="0" fontId="2" fillId="70" borderId="141" applyNumberFormat="0" applyFont="0" applyBorder="0" applyProtection="0">
      <alignment horizontal="left" vertical="center"/>
    </xf>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168" fontId="67"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168" fontId="67"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169" fontId="67"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168" fontId="67" fillId="42" borderId="153" applyNumberFormat="0" applyAlignment="0" applyProtection="0"/>
    <xf numFmtId="169" fontId="67" fillId="42" borderId="153" applyNumberFormat="0" applyAlignment="0" applyProtection="0"/>
    <xf numFmtId="168" fontId="67" fillId="42" borderId="153" applyNumberFormat="0" applyAlignment="0" applyProtection="0"/>
    <xf numFmtId="168" fontId="67" fillId="42" borderId="153" applyNumberFormat="0" applyAlignment="0" applyProtection="0"/>
    <xf numFmtId="169" fontId="67" fillId="42" borderId="153" applyNumberFormat="0" applyAlignment="0" applyProtection="0"/>
    <xf numFmtId="168" fontId="67" fillId="42" borderId="153" applyNumberFormat="0" applyAlignment="0" applyProtection="0"/>
    <xf numFmtId="168" fontId="67" fillId="42" borderId="153" applyNumberFormat="0" applyAlignment="0" applyProtection="0"/>
    <xf numFmtId="169" fontId="67" fillId="42" borderId="153" applyNumberFormat="0" applyAlignment="0" applyProtection="0"/>
    <xf numFmtId="168" fontId="67" fillId="42" borderId="153" applyNumberFormat="0" applyAlignment="0" applyProtection="0"/>
    <xf numFmtId="168" fontId="67" fillId="42" borderId="153" applyNumberFormat="0" applyAlignment="0" applyProtection="0"/>
    <xf numFmtId="169" fontId="67" fillId="42" borderId="153" applyNumberFormat="0" applyAlignment="0" applyProtection="0"/>
    <xf numFmtId="168" fontId="67" fillId="42" borderId="153" applyNumberFormat="0" applyAlignment="0" applyProtection="0"/>
    <xf numFmtId="0" fontId="65" fillId="42" borderId="153" applyNumberFormat="0" applyAlignment="0" applyProtection="0"/>
    <xf numFmtId="3" fontId="2" fillId="71" borderId="138" applyFont="0">
      <alignment horizontal="right" vertical="center"/>
      <protection locked="0"/>
    </xf>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6" fillId="73" borderId="154" applyNumberFormat="0" applyFont="0" applyAlignment="0" applyProtection="0"/>
    <xf numFmtId="0" fontId="2"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3" fontId="2" fillId="74" borderId="138" applyFont="0">
      <alignment horizontal="right" vertical="center"/>
      <protection locked="0"/>
    </xf>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168" fontId="84"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168" fontId="84"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169" fontId="84"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168" fontId="84" fillId="63" borderId="155" applyNumberFormat="0" applyAlignment="0" applyProtection="0"/>
    <xf numFmtId="169" fontId="84" fillId="63" borderId="155" applyNumberFormat="0" applyAlignment="0" applyProtection="0"/>
    <xf numFmtId="168" fontId="84" fillId="63" borderId="155" applyNumberFormat="0" applyAlignment="0" applyProtection="0"/>
    <xf numFmtId="168" fontId="84" fillId="63" borderId="155" applyNumberFormat="0" applyAlignment="0" applyProtection="0"/>
    <xf numFmtId="169" fontId="84" fillId="63" borderId="155" applyNumberFormat="0" applyAlignment="0" applyProtection="0"/>
    <xf numFmtId="168" fontId="84" fillId="63" borderId="155" applyNumberFormat="0" applyAlignment="0" applyProtection="0"/>
    <xf numFmtId="168" fontId="84" fillId="63" borderId="155" applyNumberFormat="0" applyAlignment="0" applyProtection="0"/>
    <xf numFmtId="169" fontId="84" fillId="63" borderId="155" applyNumberFormat="0" applyAlignment="0" applyProtection="0"/>
    <xf numFmtId="168" fontId="84" fillId="63" borderId="155" applyNumberFormat="0" applyAlignment="0" applyProtection="0"/>
    <xf numFmtId="168" fontId="84" fillId="63" borderId="155" applyNumberFormat="0" applyAlignment="0" applyProtection="0"/>
    <xf numFmtId="169" fontId="84" fillId="63" borderId="155" applyNumberFormat="0" applyAlignment="0" applyProtection="0"/>
    <xf numFmtId="168" fontId="84" fillId="63" borderId="155" applyNumberFormat="0" applyAlignment="0" applyProtection="0"/>
    <xf numFmtId="0" fontId="82" fillId="63" borderId="155" applyNumberFormat="0" applyAlignment="0" applyProtection="0"/>
    <xf numFmtId="3" fontId="2" fillId="69" borderId="138" applyFont="0">
      <alignment horizontal="right" vertical="center"/>
    </xf>
    <xf numFmtId="188" fontId="2" fillId="69" borderId="138" applyFont="0">
      <alignment horizontal="right" vertical="center"/>
    </xf>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168" fontId="93"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168" fontId="93"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169" fontId="93"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168" fontId="93" fillId="0" borderId="156" applyNumberFormat="0" applyFill="0" applyAlignment="0" applyProtection="0"/>
    <xf numFmtId="169" fontId="93" fillId="0" borderId="156" applyNumberFormat="0" applyFill="0" applyAlignment="0" applyProtection="0"/>
    <xf numFmtId="168" fontId="93" fillId="0" borderId="156" applyNumberFormat="0" applyFill="0" applyAlignment="0" applyProtection="0"/>
    <xf numFmtId="168" fontId="93" fillId="0" borderId="156" applyNumberFormat="0" applyFill="0" applyAlignment="0" applyProtection="0"/>
    <xf numFmtId="169" fontId="93" fillId="0" borderId="156" applyNumberFormat="0" applyFill="0" applyAlignment="0" applyProtection="0"/>
    <xf numFmtId="168" fontId="93" fillId="0" borderId="156" applyNumberFormat="0" applyFill="0" applyAlignment="0" applyProtection="0"/>
    <xf numFmtId="168" fontId="93" fillId="0" borderId="156" applyNumberFormat="0" applyFill="0" applyAlignment="0" applyProtection="0"/>
    <xf numFmtId="169" fontId="93" fillId="0" borderId="156" applyNumberFormat="0" applyFill="0" applyAlignment="0" applyProtection="0"/>
    <xf numFmtId="168" fontId="93" fillId="0" borderId="156" applyNumberFormat="0" applyFill="0" applyAlignment="0" applyProtection="0"/>
    <xf numFmtId="168" fontId="93" fillId="0" borderId="156" applyNumberFormat="0" applyFill="0" applyAlignment="0" applyProtection="0"/>
    <xf numFmtId="169" fontId="93" fillId="0" borderId="156" applyNumberFormat="0" applyFill="0" applyAlignment="0" applyProtection="0"/>
    <xf numFmtId="168" fontId="93" fillId="0" borderId="156" applyNumberFormat="0" applyFill="0" applyAlignment="0" applyProtection="0"/>
    <xf numFmtId="0" fontId="46" fillId="0" borderId="156" applyNumberFormat="0" applyFill="0" applyAlignment="0" applyProtection="0"/>
    <xf numFmtId="0" fontId="46" fillId="0" borderId="161" applyNumberFormat="0" applyFill="0" applyAlignment="0" applyProtection="0"/>
    <xf numFmtId="168" fontId="93" fillId="0" borderId="161" applyNumberFormat="0" applyFill="0" applyAlignment="0" applyProtection="0"/>
    <xf numFmtId="169" fontId="93" fillId="0" borderId="161" applyNumberFormat="0" applyFill="0" applyAlignment="0" applyProtection="0"/>
    <xf numFmtId="168" fontId="93" fillId="0" borderId="161" applyNumberFormat="0" applyFill="0" applyAlignment="0" applyProtection="0"/>
    <xf numFmtId="168" fontId="93" fillId="0" borderId="161" applyNumberFormat="0" applyFill="0" applyAlignment="0" applyProtection="0"/>
    <xf numFmtId="169" fontId="93" fillId="0" borderId="161" applyNumberFormat="0" applyFill="0" applyAlignment="0" applyProtection="0"/>
    <xf numFmtId="168" fontId="93" fillId="0" borderId="161" applyNumberFormat="0" applyFill="0" applyAlignment="0" applyProtection="0"/>
    <xf numFmtId="168" fontId="93" fillId="0" borderId="161" applyNumberFormat="0" applyFill="0" applyAlignment="0" applyProtection="0"/>
    <xf numFmtId="169" fontId="93" fillId="0" borderId="161" applyNumberFormat="0" applyFill="0" applyAlignment="0" applyProtection="0"/>
    <xf numFmtId="168" fontId="93" fillId="0" borderId="161" applyNumberFormat="0" applyFill="0" applyAlignment="0" applyProtection="0"/>
    <xf numFmtId="168" fontId="93" fillId="0" borderId="161" applyNumberFormat="0" applyFill="0" applyAlignment="0" applyProtection="0"/>
    <xf numFmtId="169" fontId="93" fillId="0" borderId="161" applyNumberFormat="0" applyFill="0" applyAlignment="0" applyProtection="0"/>
    <xf numFmtId="168" fontId="93"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169" fontId="93"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168" fontId="93"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168" fontId="93"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188" fontId="2" fillId="69" borderId="138" applyFont="0">
      <alignment horizontal="right" vertical="center"/>
    </xf>
    <xf numFmtId="3" fontId="2" fillId="69" borderId="138" applyFont="0">
      <alignment horizontal="right" vertical="center"/>
    </xf>
    <xf numFmtId="0" fontId="82" fillId="63" borderId="160" applyNumberFormat="0" applyAlignment="0" applyProtection="0"/>
    <xf numFmtId="168" fontId="84" fillId="63" borderId="160" applyNumberFormat="0" applyAlignment="0" applyProtection="0"/>
    <xf numFmtId="169" fontId="84" fillId="63" borderId="160" applyNumberFormat="0" applyAlignment="0" applyProtection="0"/>
    <xf numFmtId="168" fontId="84" fillId="63" borderId="160" applyNumberFormat="0" applyAlignment="0" applyProtection="0"/>
    <xf numFmtId="168" fontId="84" fillId="63" borderId="160" applyNumberFormat="0" applyAlignment="0" applyProtection="0"/>
    <xf numFmtId="169" fontId="84" fillId="63" borderId="160" applyNumberFormat="0" applyAlignment="0" applyProtection="0"/>
    <xf numFmtId="168" fontId="84" fillId="63" borderId="160" applyNumberFormat="0" applyAlignment="0" applyProtection="0"/>
    <xf numFmtId="168" fontId="84" fillId="63" borderId="160" applyNumberFormat="0" applyAlignment="0" applyProtection="0"/>
    <xf numFmtId="169" fontId="84" fillId="63" borderId="160" applyNumberFormat="0" applyAlignment="0" applyProtection="0"/>
    <xf numFmtId="168" fontId="84" fillId="63" borderId="160" applyNumberFormat="0" applyAlignment="0" applyProtection="0"/>
    <xf numFmtId="168" fontId="84" fillId="63" borderId="160" applyNumberFormat="0" applyAlignment="0" applyProtection="0"/>
    <xf numFmtId="169" fontId="84" fillId="63" borderId="160" applyNumberFormat="0" applyAlignment="0" applyProtection="0"/>
    <xf numFmtId="168" fontId="84"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169" fontId="84"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168" fontId="84"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168" fontId="84"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0" fontId="82" fillId="63" borderId="160" applyNumberFormat="0" applyAlignment="0" applyProtection="0"/>
    <xf numFmtId="3" fontId="2" fillId="74" borderId="138" applyFont="0">
      <alignment horizontal="right" vertical="center"/>
      <protection locked="0"/>
    </xf>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 fillId="73" borderId="159" applyNumberFormat="0" applyFont="0" applyAlignment="0" applyProtection="0"/>
    <xf numFmtId="0" fontId="26" fillId="73" borderId="159" applyNumberFormat="0" applyFont="0" applyAlignment="0" applyProtection="0"/>
    <xf numFmtId="0" fontId="2" fillId="73" borderId="159" applyNumberFormat="0" applyFont="0" applyAlignment="0" applyProtection="0"/>
    <xf numFmtId="0" fontId="2"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0" fontId="26" fillId="73" borderId="159" applyNumberFormat="0" applyFont="0" applyAlignment="0" applyProtection="0"/>
    <xf numFmtId="3" fontId="2" fillId="71" borderId="138" applyFont="0">
      <alignment horizontal="right" vertical="center"/>
      <protection locked="0"/>
    </xf>
    <xf numFmtId="0" fontId="65" fillId="42" borderId="158" applyNumberFormat="0" applyAlignment="0" applyProtection="0"/>
    <xf numFmtId="168" fontId="67" fillId="42" borderId="158" applyNumberFormat="0" applyAlignment="0" applyProtection="0"/>
    <xf numFmtId="169" fontId="67" fillId="42" borderId="158" applyNumberFormat="0" applyAlignment="0" applyProtection="0"/>
    <xf numFmtId="168" fontId="67" fillId="42" borderId="158" applyNumberFormat="0" applyAlignment="0" applyProtection="0"/>
    <xf numFmtId="168" fontId="67" fillId="42" borderId="158" applyNumberFormat="0" applyAlignment="0" applyProtection="0"/>
    <xf numFmtId="169" fontId="67" fillId="42" borderId="158" applyNumberFormat="0" applyAlignment="0" applyProtection="0"/>
    <xf numFmtId="168" fontId="67" fillId="42" borderId="158" applyNumberFormat="0" applyAlignment="0" applyProtection="0"/>
    <xf numFmtId="168" fontId="67" fillId="42" borderId="158" applyNumberFormat="0" applyAlignment="0" applyProtection="0"/>
    <xf numFmtId="169" fontId="67" fillId="42" borderId="158" applyNumberFormat="0" applyAlignment="0" applyProtection="0"/>
    <xf numFmtId="168" fontId="67" fillId="42" borderId="158" applyNumberFormat="0" applyAlignment="0" applyProtection="0"/>
    <xf numFmtId="168" fontId="67" fillId="42" borderId="158" applyNumberFormat="0" applyAlignment="0" applyProtection="0"/>
    <xf numFmtId="169" fontId="67" fillId="42" borderId="158" applyNumberFormat="0" applyAlignment="0" applyProtection="0"/>
    <xf numFmtId="168" fontId="67"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169" fontId="67"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168" fontId="67"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168" fontId="67"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65" fillId="42" borderId="158" applyNumberFormat="0" applyAlignment="0" applyProtection="0"/>
    <xf numFmtId="0" fontId="2" fillId="70" borderId="141" applyNumberFormat="0" applyFont="0" applyBorder="0" applyProtection="0">
      <alignment horizontal="left" vertical="center"/>
    </xf>
    <xf numFmtId="9" fontId="2" fillId="70" borderId="138" applyFont="0" applyProtection="0">
      <alignment horizontal="right" vertical="center"/>
    </xf>
    <xf numFmtId="3" fontId="2" fillId="70" borderId="138" applyFont="0" applyProtection="0">
      <alignment horizontal="right" vertical="center"/>
    </xf>
    <xf numFmtId="0" fontId="61" fillId="69" borderId="141" applyFont="0" applyBorder="0">
      <alignment horizontal="center" wrapText="1"/>
    </xf>
    <xf numFmtId="168" fontId="53" fillId="0" borderId="157">
      <alignment horizontal="left" vertical="center"/>
    </xf>
    <xf numFmtId="0" fontId="53" fillId="0" borderId="157">
      <alignment horizontal="left" vertical="center"/>
    </xf>
    <xf numFmtId="0" fontId="53" fillId="0" borderId="157">
      <alignment horizontal="left" vertical="center"/>
    </xf>
    <xf numFmtId="0" fontId="2" fillId="68" borderId="138" applyNumberFormat="0" applyFont="0" applyBorder="0" applyProtection="0">
      <alignment horizontal="center" vertical="center"/>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5" fillId="0" borderId="138" applyNumberFormat="0" applyAlignment="0">
      <alignment horizontal="right"/>
      <protection locked="0"/>
    </xf>
    <xf numFmtId="0" fontId="37" fillId="63" borderId="158" applyNumberFormat="0" applyAlignment="0" applyProtection="0"/>
    <xf numFmtId="168" fontId="39" fillId="63" borderId="158" applyNumberFormat="0" applyAlignment="0" applyProtection="0"/>
    <xf numFmtId="169" fontId="39" fillId="63" borderId="158" applyNumberFormat="0" applyAlignment="0" applyProtection="0"/>
    <xf numFmtId="168" fontId="39" fillId="63" borderId="158" applyNumberFormat="0" applyAlignment="0" applyProtection="0"/>
    <xf numFmtId="168" fontId="39" fillId="63" borderId="158" applyNumberFormat="0" applyAlignment="0" applyProtection="0"/>
    <xf numFmtId="169" fontId="39" fillId="63" borderId="158" applyNumberFormat="0" applyAlignment="0" applyProtection="0"/>
    <xf numFmtId="168" fontId="39" fillId="63" borderId="158" applyNumberFormat="0" applyAlignment="0" applyProtection="0"/>
    <xf numFmtId="168" fontId="39" fillId="63" borderId="158" applyNumberFormat="0" applyAlignment="0" applyProtection="0"/>
    <xf numFmtId="169" fontId="39" fillId="63" borderId="158" applyNumberFormat="0" applyAlignment="0" applyProtection="0"/>
    <xf numFmtId="168" fontId="39" fillId="63" borderId="158" applyNumberFormat="0" applyAlignment="0" applyProtection="0"/>
    <xf numFmtId="168" fontId="39" fillId="63" borderId="158" applyNumberFormat="0" applyAlignment="0" applyProtection="0"/>
    <xf numFmtId="169" fontId="39" fillId="63" borderId="158" applyNumberFormat="0" applyAlignment="0" applyProtection="0"/>
    <xf numFmtId="168" fontId="39"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169" fontId="39"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168" fontId="39"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168" fontId="39"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37" fillId="63" borderId="158" applyNumberFormat="0" applyAlignment="0" applyProtection="0"/>
    <xf numFmtId="0" fontId="2" fillId="0" borderId="0"/>
  </cellStyleXfs>
  <cellXfs count="913">
    <xf numFmtId="0" fontId="0" fillId="0" borderId="0" xfId="0"/>
    <xf numFmtId="0" fontId="4" fillId="0" borderId="0" xfId="0" applyFont="1"/>
    <xf numFmtId="0" fontId="0" fillId="0" borderId="0" xfId="0" applyAlignment="1">
      <alignment wrapText="1"/>
    </xf>
    <xf numFmtId="0" fontId="4" fillId="0" borderId="3" xfId="0" applyFont="1" applyBorder="1"/>
    <xf numFmtId="0" fontId="8" fillId="0" borderId="15" xfId="0" applyFont="1" applyBorder="1"/>
    <xf numFmtId="0" fontId="11" fillId="0" borderId="0" xfId="0" applyFont="1"/>
    <xf numFmtId="0" fontId="8" fillId="0" borderId="0" xfId="0" applyFont="1" applyAlignment="1">
      <alignment horizontal="right" wrapText="1"/>
    </xf>
    <xf numFmtId="0" fontId="8" fillId="0" borderId="18" xfId="0" applyFont="1" applyBorder="1" applyAlignment="1">
      <alignment vertical="center"/>
    </xf>
    <xf numFmtId="0" fontId="8" fillId="0" borderId="21" xfId="0" applyFont="1" applyBorder="1"/>
    <xf numFmtId="0" fontId="6" fillId="0" borderId="0" xfId="0" applyFont="1"/>
    <xf numFmtId="0" fontId="8" fillId="0" borderId="0" xfId="11" applyFont="1"/>
    <xf numFmtId="0" fontId="8" fillId="0" borderId="0" xfId="0" applyFont="1"/>
    <xf numFmtId="0" fontId="8" fillId="0" borderId="0" xfId="0" applyFont="1" applyAlignment="1">
      <alignment horizontal="right"/>
    </xf>
    <xf numFmtId="0" fontId="4" fillId="0" borderId="7" xfId="0" applyFont="1" applyBorder="1"/>
    <xf numFmtId="0" fontId="4" fillId="0" borderId="0" xfId="0" applyFont="1" applyAlignment="1">
      <alignment wrapText="1"/>
    </xf>
    <xf numFmtId="0" fontId="11" fillId="0" borderId="0" xfId="0" applyFont="1" applyAlignment="1">
      <alignment wrapText="1"/>
    </xf>
    <xf numFmtId="0" fontId="9" fillId="0" borderId="0" xfId="11" applyFont="1"/>
    <xf numFmtId="0" fontId="8" fillId="0" borderId="8" xfId="0" applyFont="1" applyBorder="1" applyAlignment="1">
      <alignment wrapText="1"/>
    </xf>
    <xf numFmtId="0" fontId="8" fillId="0" borderId="20" xfId="0" applyFont="1" applyBorder="1" applyAlignment="1">
      <alignment wrapText="1"/>
    </xf>
    <xf numFmtId="0" fontId="5" fillId="0" borderId="0" xfId="0" applyFont="1" applyAlignment="1">
      <alignment horizontal="center"/>
    </xf>
    <xf numFmtId="0" fontId="9" fillId="0" borderId="0" xfId="0" applyFont="1" applyAlignment="1">
      <alignment horizontal="center" wrapText="1"/>
    </xf>
    <xf numFmtId="0" fontId="12" fillId="0" borderId="8" xfId="0" applyFont="1" applyBorder="1" applyAlignment="1">
      <alignment wrapText="1"/>
    </xf>
    <xf numFmtId="0" fontId="4" fillId="0" borderId="20" xfId="0" applyFont="1" applyBorder="1"/>
    <xf numFmtId="0" fontId="12" fillId="0" borderId="24"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8" fillId="0" borderId="1" xfId="0" applyFont="1" applyBorder="1"/>
    <xf numFmtId="0" fontId="4" fillId="0" borderId="0" xfId="0" applyFont="1" applyAlignment="1">
      <alignment horizontal="center" vertical="center" wrapText="1"/>
    </xf>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14" fillId="3" borderId="3" xfId="13" applyFont="1" applyFill="1" applyBorder="1" applyAlignment="1" applyProtection="1">
      <alignment vertical="center" wrapText="1"/>
      <protection locked="0"/>
    </xf>
    <xf numFmtId="0" fontId="6" fillId="3" borderId="7"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7" xfId="13" applyFont="1" applyFill="1" applyBorder="1" applyAlignment="1" applyProtection="1">
      <alignment horizontal="left" vertical="center" wrapText="1"/>
      <protection locked="0"/>
    </xf>
    <xf numFmtId="0" fontId="5" fillId="35" borderId="3" xfId="0" applyFont="1" applyFill="1" applyBorder="1" applyAlignment="1">
      <alignment horizontal="left" vertical="top" wrapText="1"/>
    </xf>
    <xf numFmtId="1" fontId="14" fillId="35" borderId="3" xfId="2" applyNumberFormat="1" applyFont="1" applyFill="1" applyBorder="1" applyAlignment="1" applyProtection="1">
      <alignment horizontal="left" vertical="top" wrapText="1"/>
    </xf>
    <xf numFmtId="0" fontId="14" fillId="35" borderId="3" xfId="13" applyFont="1" applyFill="1" applyBorder="1" applyAlignment="1" applyProtection="1">
      <alignment vertical="center" wrapText="1"/>
      <protection locked="0"/>
    </xf>
    <xf numFmtId="0" fontId="4" fillId="0" borderId="18" xfId="0" applyFont="1" applyBorder="1"/>
    <xf numFmtId="0" fontId="22" fillId="0" borderId="3" xfId="0" applyFont="1" applyBorder="1"/>
    <xf numFmtId="0" fontId="6"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5" fontId="6" fillId="3" borderId="3" xfId="1" applyNumberFormat="1" applyFont="1" applyFill="1" applyBorder="1" applyAlignment="1" applyProtection="1">
      <alignment horizontal="center" vertical="center" wrapText="1"/>
      <protection locked="0"/>
    </xf>
    <xf numFmtId="165" fontId="6" fillId="3" borderId="18" xfId="1" applyNumberFormat="1" applyFont="1" applyFill="1" applyBorder="1" applyAlignment="1" applyProtection="1">
      <alignment horizontal="center" vertical="center" wrapText="1"/>
      <protection locked="0"/>
    </xf>
    <xf numFmtId="165" fontId="6" fillId="3" borderId="19" xfId="1" applyNumberFormat="1" applyFont="1" applyFill="1" applyBorder="1" applyAlignment="1" applyProtection="1">
      <alignment horizontal="center" vertical="center" wrapText="1"/>
      <protection locked="0"/>
    </xf>
    <xf numFmtId="0" fontId="4" fillId="0" borderId="15" xfId="0" applyFont="1" applyBorder="1"/>
    <xf numFmtId="0" fontId="4" fillId="0" borderId="17" xfId="0" applyFont="1" applyBorder="1"/>
    <xf numFmtId="0" fontId="6" fillId="3" borderId="21" xfId="9" applyFont="1" applyFill="1" applyBorder="1" applyAlignment="1" applyProtection="1">
      <alignment horizontal="left" vertical="center"/>
      <protection locked="0"/>
    </xf>
    <xf numFmtId="0" fontId="14" fillId="3" borderId="23" xfId="16" applyFont="1" applyFill="1" applyBorder="1" applyProtection="1">
      <protection locked="0"/>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6" fillId="0" borderId="0" xfId="11" applyFont="1" applyAlignment="1">
      <alignment vertical="center"/>
    </xf>
    <xf numFmtId="0" fontId="4" fillId="0" borderId="18" xfId="0" applyFont="1" applyBorder="1" applyAlignment="1">
      <alignment vertical="center"/>
    </xf>
    <xf numFmtId="0" fontId="4" fillId="0" borderId="52" xfId="0" applyFont="1" applyBorder="1"/>
    <xf numFmtId="0" fontId="19" fillId="0" borderId="21" xfId="0" applyFont="1" applyBorder="1" applyAlignment="1">
      <alignment horizontal="center" vertical="center" wrapText="1"/>
    </xf>
    <xf numFmtId="0" fontId="4" fillId="0" borderId="53" xfId="0" applyFont="1" applyBorder="1"/>
    <xf numFmtId="0" fontId="6" fillId="0" borderId="15" xfId="9" applyFont="1" applyBorder="1" applyAlignment="1" applyProtection="1">
      <alignment horizontal="center" vertical="center"/>
      <protection locked="0"/>
    </xf>
    <xf numFmtId="0" fontId="14" fillId="3" borderId="5" xfId="9" applyFont="1" applyFill="1" applyBorder="1" applyAlignment="1" applyProtection="1">
      <alignment horizontal="center" vertical="center" wrapText="1"/>
      <protection locked="0"/>
    </xf>
    <xf numFmtId="165" fontId="6" fillId="3" borderId="17" xfId="2" applyNumberFormat="1" applyFont="1" applyFill="1" applyBorder="1" applyAlignment="1" applyProtection="1">
      <alignment horizontal="center" vertical="center"/>
      <protection locked="0"/>
    </xf>
    <xf numFmtId="0" fontId="6" fillId="0" borderId="18" xfId="9" applyFont="1" applyBorder="1" applyAlignment="1" applyProtection="1">
      <alignment horizontal="center" vertical="center"/>
      <protection locked="0"/>
    </xf>
    <xf numFmtId="0" fontId="6" fillId="0" borderId="0" xfId="13" applyFont="1" applyAlignment="1" applyProtection="1">
      <alignment wrapText="1"/>
      <protection locked="0"/>
    </xf>
    <xf numFmtId="0" fontId="6" fillId="0" borderId="18" xfId="9" applyFont="1" applyBorder="1" applyAlignment="1" applyProtection="1">
      <alignment horizontal="center" vertical="center" wrapText="1"/>
      <protection locked="0"/>
    </xf>
    <xf numFmtId="0" fontId="14" fillId="35" borderId="22" xfId="13" applyFont="1" applyFill="1" applyBorder="1" applyAlignment="1" applyProtection="1">
      <alignment vertical="center" wrapText="1"/>
      <protection locked="0"/>
    </xf>
    <xf numFmtId="167" fontId="22" fillId="0" borderId="55" xfId="0" applyNumberFormat="1" applyFont="1" applyBorder="1" applyAlignment="1">
      <alignment horizontal="center"/>
    </xf>
    <xf numFmtId="167" fontId="18" fillId="0" borderId="55" xfId="0" applyNumberFormat="1" applyFont="1" applyBorder="1" applyAlignment="1">
      <alignment horizontal="center"/>
    </xf>
    <xf numFmtId="167" fontId="22" fillId="0" borderId="57" xfId="0" applyNumberFormat="1" applyFont="1" applyBorder="1" applyAlignment="1">
      <alignment horizontal="center"/>
    </xf>
    <xf numFmtId="167" fontId="22" fillId="0" borderId="58"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9" xfId="0" applyFont="1" applyBorder="1"/>
    <xf numFmtId="0" fontId="4" fillId="0" borderId="16" xfId="0" applyFont="1" applyBorder="1"/>
    <xf numFmtId="0" fontId="4" fillId="0" borderId="21" xfId="0" applyFont="1" applyBorder="1"/>
    <xf numFmtId="0" fontId="6" fillId="3" borderId="18" xfId="5" applyFont="1" applyFill="1" applyBorder="1" applyAlignment="1" applyProtection="1">
      <alignment horizontal="right" vertical="center"/>
      <protection locked="0"/>
    </xf>
    <xf numFmtId="0" fontId="14" fillId="3" borderId="22" xfId="16" applyFont="1" applyFill="1" applyBorder="1" applyProtection="1">
      <protection locked="0"/>
    </xf>
    <xf numFmtId="0" fontId="4" fillId="0" borderId="16" xfId="0" applyFont="1" applyBorder="1" applyAlignment="1">
      <alignment wrapText="1"/>
    </xf>
    <xf numFmtId="0" fontId="4" fillId="0" borderId="17" xfId="0" applyFont="1" applyBorder="1" applyAlignment="1">
      <alignment wrapText="1"/>
    </xf>
    <xf numFmtId="0" fontId="5" fillId="0" borderId="22" xfId="0" applyFont="1" applyBorder="1"/>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19" xfId="0" applyFont="1" applyBorder="1" applyAlignment="1">
      <alignment horizontal="center" vertical="center"/>
    </xf>
    <xf numFmtId="0" fontId="1" fillId="0" borderId="0" xfId="0" applyFont="1"/>
    <xf numFmtId="0" fontId="8" fillId="3" borderId="3" xfId="20960" applyFont="1" applyFill="1" applyBorder="1" applyAlignment="1">
      <alignment horizontal="left" wrapText="1" indent="1"/>
    </xf>
    <xf numFmtId="0" fontId="8" fillId="0" borderId="3" xfId="20960" applyFont="1" applyBorder="1" applyAlignment="1">
      <alignment horizontal="left" wrapText="1" indent="1"/>
    </xf>
    <xf numFmtId="0" fontId="102" fillId="0" borderId="3" xfId="20960" applyFont="1" applyBorder="1" applyAlignment="1">
      <alignment horizontal="center" vertical="center"/>
    </xf>
    <xf numFmtId="0" fontId="103" fillId="0" borderId="0" xfId="0" applyFont="1" applyAlignment="1">
      <alignment wrapText="1"/>
    </xf>
    <xf numFmtId="0" fontId="8" fillId="0" borderId="2" xfId="20960" applyFont="1" applyBorder="1" applyAlignment="1">
      <alignment horizontal="left" wrapText="1" indent="1"/>
    </xf>
    <xf numFmtId="0" fontId="14" fillId="0" borderId="16" xfId="11" applyFont="1" applyBorder="1" applyAlignment="1">
      <alignment horizontal="center" vertical="center"/>
    </xf>
    <xf numFmtId="0" fontId="8" fillId="0" borderId="0" xfId="11" applyFont="1" applyAlignment="1">
      <alignment horizontal="left"/>
    </xf>
    <xf numFmtId="0" fontId="17" fillId="0" borderId="0" xfId="11" applyFont="1" applyAlignment="1">
      <alignment horizontal="right"/>
    </xf>
    <xf numFmtId="0" fontId="0" fillId="0" borderId="15" xfId="0" applyBorder="1" applyAlignment="1">
      <alignment horizontal="center" vertical="center"/>
    </xf>
    <xf numFmtId="0" fontId="5" fillId="35" borderId="26" xfId="0" applyFont="1" applyFill="1" applyBorder="1" applyAlignment="1">
      <alignment wrapText="1"/>
    </xf>
    <xf numFmtId="0" fontId="4" fillId="0" borderId="9" xfId="0" applyFont="1" applyBorder="1" applyAlignment="1">
      <alignment vertical="center" wrapText="1"/>
    </xf>
    <xf numFmtId="0" fontId="5" fillId="35" borderId="9" xfId="0" applyFont="1" applyFill="1" applyBorder="1" applyAlignment="1">
      <alignment wrapText="1"/>
    </xf>
    <xf numFmtId="0" fontId="5" fillId="35" borderId="64" xfId="0" applyFont="1" applyFill="1" applyBorder="1" applyAlignment="1">
      <alignment wrapText="1"/>
    </xf>
    <xf numFmtId="0" fontId="14" fillId="0" borderId="0" xfId="11" applyFont="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1" xfId="0" applyFont="1" applyBorder="1" applyAlignment="1">
      <alignment horizontal="center" vertical="center" wrapText="1"/>
    </xf>
    <xf numFmtId="0" fontId="4" fillId="0" borderId="9" xfId="0" applyFont="1" applyBorder="1" applyAlignment="1">
      <alignment vertical="center"/>
    </xf>
    <xf numFmtId="0" fontId="9" fillId="0" borderId="0" xfId="11" applyFont="1" applyAlignment="1">
      <alignment horizontal="center"/>
    </xf>
    <xf numFmtId="0" fontId="4" fillId="0" borderId="6" xfId="0" applyFont="1" applyBorder="1" applyAlignment="1">
      <alignment horizontal="center" vertical="center" wrapText="1"/>
    </xf>
    <xf numFmtId="0" fontId="17" fillId="0" borderId="0" xfId="0" applyFont="1" applyAlignment="1" applyProtection="1">
      <alignment horizontal="right"/>
      <protection locked="0"/>
    </xf>
    <xf numFmtId="0" fontId="9" fillId="0" borderId="1" xfId="0" applyFont="1" applyBorder="1" applyAlignment="1">
      <alignment horizontal="center"/>
    </xf>
    <xf numFmtId="0" fontId="14" fillId="0" borderId="1" xfId="0" applyFont="1" applyBorder="1" applyAlignment="1">
      <alignment horizontal="center" vertical="center"/>
    </xf>
    <xf numFmtId="0" fontId="4" fillId="0" borderId="65" xfId="0" applyFont="1" applyBorder="1" applyAlignment="1">
      <alignment vertical="center" wrapText="1"/>
    </xf>
    <xf numFmtId="0" fontId="5" fillId="0" borderId="7" xfId="0" applyFont="1" applyBorder="1" applyAlignment="1">
      <alignment vertical="center" wrapText="1"/>
    </xf>
    <xf numFmtId="0" fontId="4" fillId="0" borderId="1" xfId="0" applyFont="1" applyBorder="1"/>
    <xf numFmtId="0" fontId="5" fillId="0" borderId="1" xfId="0" applyFont="1" applyBorder="1" applyAlignment="1">
      <alignment horizontal="center"/>
    </xf>
    <xf numFmtId="0" fontId="17" fillId="0" borderId="1" xfId="0" applyFont="1" applyBorder="1" applyAlignment="1">
      <alignment horizontal="center"/>
    </xf>
    <xf numFmtId="0" fontId="105" fillId="0" borderId="0" xfId="0" applyFont="1"/>
    <xf numFmtId="49" fontId="105" fillId="0" borderId="7" xfId="0" applyNumberFormat="1" applyFont="1" applyBorder="1" applyAlignment="1">
      <alignment horizontal="right" vertical="center"/>
    </xf>
    <xf numFmtId="49" fontId="105" fillId="0" borderId="72" xfId="0" applyNumberFormat="1" applyFont="1" applyBorder="1" applyAlignment="1">
      <alignment horizontal="right" vertical="center"/>
    </xf>
    <xf numFmtId="49" fontId="105" fillId="0" borderId="75" xfId="0" applyNumberFormat="1" applyFont="1" applyBorder="1" applyAlignment="1">
      <alignment horizontal="right" vertical="center"/>
    </xf>
    <xf numFmtId="49" fontId="105" fillId="0" borderId="80" xfId="0" applyNumberFormat="1" applyFont="1" applyBorder="1" applyAlignment="1">
      <alignment horizontal="right" vertical="center"/>
    </xf>
    <xf numFmtId="0" fontId="105" fillId="0" borderId="0" xfId="0" applyFont="1" applyAlignment="1">
      <alignment horizontal="left"/>
    </xf>
    <xf numFmtId="0" fontId="105" fillId="0" borderId="80" xfId="0" applyFont="1" applyBorder="1" applyAlignment="1">
      <alignment horizontal="right" vertical="center"/>
    </xf>
    <xf numFmtId="49" fontId="105" fillId="0" borderId="0" xfId="0" applyNumberFormat="1" applyFont="1" applyAlignment="1">
      <alignment horizontal="right" vertical="center"/>
    </xf>
    <xf numFmtId="0" fontId="105" fillId="0" borderId="0" xfId="0" applyFont="1" applyAlignment="1">
      <alignment vertical="center" wrapText="1"/>
    </xf>
    <xf numFmtId="0" fontId="105" fillId="0" borderId="0" xfId="0" applyFont="1" applyAlignment="1">
      <alignment horizontal="left" vertical="center" wrapText="1"/>
    </xf>
    <xf numFmtId="0" fontId="8" fillId="0" borderId="0" xfId="0" applyFont="1" applyAlignment="1">
      <alignment horizontal="left" wrapText="1"/>
    </xf>
    <xf numFmtId="0" fontId="8" fillId="0" borderId="1" xfId="11" applyFont="1" applyBorder="1"/>
    <xf numFmtId="0" fontId="14" fillId="0" borderId="1" xfId="11" applyFont="1" applyBorder="1" applyAlignment="1">
      <alignment horizontal="left" vertical="center"/>
    </xf>
    <xf numFmtId="0" fontId="6" fillId="3" borderId="3" xfId="20960" applyFont="1" applyFill="1" applyBorder="1" applyAlignment="1">
      <alignment horizontal="right" indent="1"/>
    </xf>
    <xf numFmtId="0" fontId="6" fillId="3" borderId="2" xfId="20960" applyFont="1" applyFill="1" applyBorder="1" applyAlignment="1">
      <alignment horizontal="right" indent="1"/>
    </xf>
    <xf numFmtId="3" fontId="20" fillId="35" borderId="22" xfId="0" applyNumberFormat="1" applyFont="1" applyFill="1" applyBorder="1" applyAlignment="1">
      <alignment vertical="center" wrapText="1"/>
    </xf>
    <xf numFmtId="193" fontId="0" fillId="35" borderId="17" xfId="0" applyNumberFormat="1" applyFill="1" applyBorder="1" applyAlignment="1">
      <alignment horizontal="center" vertical="center"/>
    </xf>
    <xf numFmtId="193" fontId="0" fillId="0" borderId="19" xfId="0" applyNumberFormat="1" applyBorder="1"/>
    <xf numFmtId="193" fontId="0" fillId="0" borderId="19" xfId="0" applyNumberFormat="1" applyBorder="1" applyAlignment="1">
      <alignment wrapText="1"/>
    </xf>
    <xf numFmtId="193" fontId="0" fillId="35" borderId="19" xfId="0" applyNumberFormat="1" applyFill="1" applyBorder="1" applyAlignment="1">
      <alignment horizontal="center" vertical="center" wrapText="1"/>
    </xf>
    <xf numFmtId="193" fontId="0" fillId="35" borderId="23" xfId="0" applyNumberFormat="1" applyFill="1" applyBorder="1" applyAlignment="1">
      <alignment horizontal="center" vertical="center" wrapText="1"/>
    </xf>
    <xf numFmtId="193" fontId="6" fillId="35" borderId="19" xfId="2" applyNumberFormat="1" applyFont="1" applyFill="1" applyBorder="1" applyAlignment="1" applyProtection="1">
      <alignment vertical="top"/>
    </xf>
    <xf numFmtId="193" fontId="6" fillId="3" borderId="19" xfId="2" applyNumberFormat="1" applyFont="1" applyFill="1" applyBorder="1" applyAlignment="1" applyProtection="1">
      <alignment vertical="top"/>
      <protection locked="0"/>
    </xf>
    <xf numFmtId="193" fontId="6" fillId="35" borderId="19" xfId="2" applyNumberFormat="1" applyFont="1" applyFill="1" applyBorder="1" applyAlignment="1" applyProtection="1">
      <alignment vertical="top" wrapText="1"/>
    </xf>
    <xf numFmtId="193" fontId="6" fillId="3" borderId="19" xfId="2" applyNumberFormat="1" applyFont="1" applyFill="1" applyBorder="1" applyAlignment="1" applyProtection="1">
      <alignment vertical="top" wrapText="1"/>
      <protection locked="0"/>
    </xf>
    <xf numFmtId="193" fontId="6" fillId="35" borderId="19" xfId="2" applyNumberFormat="1" applyFont="1" applyFill="1" applyBorder="1" applyAlignment="1" applyProtection="1">
      <alignment vertical="top" wrapText="1"/>
      <protection locked="0"/>
    </xf>
    <xf numFmtId="193" fontId="6" fillId="35" borderId="23" xfId="2" applyNumberFormat="1" applyFont="1" applyFill="1" applyBorder="1" applyAlignment="1" applyProtection="1">
      <alignment vertical="top" wrapText="1"/>
    </xf>
    <xf numFmtId="193" fontId="18" fillId="0" borderId="13" xfId="0" applyNumberFormat="1" applyFont="1" applyBorder="1" applyAlignment="1">
      <alignment vertical="center"/>
    </xf>
    <xf numFmtId="193" fontId="4" fillId="0" borderId="3" xfId="0" applyNumberFormat="1" applyFont="1" applyBorder="1"/>
    <xf numFmtId="193" fontId="4" fillId="35" borderId="22" xfId="0" applyNumberFormat="1" applyFont="1" applyFill="1" applyBorder="1"/>
    <xf numFmtId="193" fontId="4" fillId="0" borderId="18" xfId="0" applyNumberFormat="1" applyFont="1" applyBorder="1"/>
    <xf numFmtId="193" fontId="4" fillId="0" borderId="19" xfId="0" applyNumberFormat="1" applyFont="1" applyBorder="1"/>
    <xf numFmtId="193" fontId="4" fillId="35" borderId="49" xfId="0" applyNumberFormat="1" applyFont="1" applyFill="1" applyBorder="1"/>
    <xf numFmtId="193" fontId="4" fillId="35" borderId="21" xfId="0" applyNumberFormat="1" applyFont="1" applyFill="1" applyBorder="1"/>
    <xf numFmtId="193" fontId="4" fillId="35" borderId="23" xfId="0" applyNumberFormat="1" applyFont="1" applyFill="1" applyBorder="1"/>
    <xf numFmtId="193" fontId="4" fillId="35" borderId="50" xfId="0" applyNumberFormat="1" applyFont="1" applyFill="1" applyBorder="1"/>
    <xf numFmtId="0" fontId="4" fillId="0" borderId="25" xfId="0" applyFont="1" applyBorder="1" applyAlignment="1">
      <alignment horizontal="center" vertical="center"/>
    </xf>
    <xf numFmtId="193" fontId="4" fillId="0" borderId="8" xfId="0" applyNumberFormat="1" applyFont="1" applyBorder="1"/>
    <xf numFmtId="0" fontId="4" fillId="0" borderId="25" xfId="0" applyFont="1" applyBorder="1" applyAlignment="1">
      <alignment wrapText="1"/>
    </xf>
    <xf numFmtId="193" fontId="4" fillId="0" borderId="20" xfId="0" applyNumberFormat="1" applyFont="1" applyBorder="1"/>
    <xf numFmtId="193" fontId="4" fillId="0" borderId="20" xfId="0" applyNumberFormat="1" applyFont="1" applyBorder="1" applyAlignment="1">
      <alignment wrapText="1"/>
    </xf>
    <xf numFmtId="0" fontId="4" fillId="0" borderId="3" xfId="0" applyFont="1" applyBorder="1" applyAlignment="1">
      <alignment horizontal="center" vertical="center" wrapText="1"/>
    </xf>
    <xf numFmtId="9" fontId="106" fillId="0" borderId="3" xfId="0" applyNumberFormat="1" applyFont="1" applyBorder="1" applyAlignment="1">
      <alignment horizontal="center" vertical="center"/>
    </xf>
    <xf numFmtId="0" fontId="5" fillId="0" borderId="0" xfId="0" applyFont="1" applyAlignment="1">
      <alignment horizontal="center" wrapText="1"/>
    </xf>
    <xf numFmtId="9" fontId="4" fillId="0" borderId="19" xfId="20961" applyFont="1" applyBorder="1"/>
    <xf numFmtId="9" fontId="4" fillId="35" borderId="23" xfId="20961" applyFont="1" applyFill="1" applyBorder="1"/>
    <xf numFmtId="0" fontId="8" fillId="0" borderId="15" xfId="0" applyFont="1" applyBorder="1" applyAlignment="1">
      <alignment horizontal="right" vertical="center" wrapText="1"/>
    </xf>
    <xf numFmtId="0" fontId="6" fillId="0" borderId="16" xfId="0" applyFont="1" applyBorder="1" applyAlignment="1">
      <alignment vertical="center" wrapText="1"/>
    </xf>
    <xf numFmtId="169" fontId="25" fillId="36" borderId="88" xfId="20" applyBorder="1"/>
    <xf numFmtId="0" fontId="4" fillId="0" borderId="51" xfId="0" applyFont="1" applyBorder="1" applyAlignment="1">
      <alignment vertical="center"/>
    </xf>
    <xf numFmtId="0" fontId="4" fillId="0" borderId="16" xfId="0" applyFont="1" applyBorder="1" applyAlignment="1">
      <alignment vertical="center"/>
    </xf>
    <xf numFmtId="0" fontId="4" fillId="0" borderId="90" xfId="0" applyFont="1" applyBorder="1" applyAlignment="1">
      <alignment vertical="center"/>
    </xf>
    <xf numFmtId="0" fontId="4" fillId="0" borderId="91" xfId="0" applyFont="1" applyBorder="1" applyAlignment="1">
      <alignment vertical="center"/>
    </xf>
    <xf numFmtId="0" fontId="4" fillId="0" borderId="89" xfId="0" applyFont="1" applyBorder="1" applyAlignment="1">
      <alignment vertical="center"/>
    </xf>
    <xf numFmtId="0" fontId="4" fillId="0" borderId="15" xfId="0" applyFont="1" applyBorder="1" applyAlignment="1">
      <alignment horizontal="center" vertical="center"/>
    </xf>
    <xf numFmtId="0" fontId="4" fillId="0" borderId="101" xfId="0" applyFont="1" applyBorder="1" applyAlignment="1">
      <alignment horizontal="center" vertical="center"/>
    </xf>
    <xf numFmtId="0" fontId="4" fillId="0" borderId="103" xfId="0" applyFont="1" applyBorder="1" applyAlignment="1">
      <alignment horizontal="center" vertical="center"/>
    </xf>
    <xf numFmtId="169" fontId="25" fillId="36" borderId="28" xfId="20" applyBorder="1"/>
    <xf numFmtId="169" fontId="25" fillId="36" borderId="104" xfId="20" applyBorder="1"/>
    <xf numFmtId="169" fontId="25" fillId="36" borderId="53" xfId="20" applyBorder="1"/>
    <xf numFmtId="0" fontId="4" fillId="3" borderId="59" xfId="0" applyFont="1" applyFill="1" applyBorder="1" applyAlignment="1">
      <alignment horizontal="center" vertical="center"/>
    </xf>
    <xf numFmtId="0" fontId="4" fillId="3" borderId="0" xfId="0" applyFont="1" applyFill="1" applyAlignment="1">
      <alignment vertical="center"/>
    </xf>
    <xf numFmtId="0" fontId="4" fillId="0" borderId="65" xfId="0" applyFont="1" applyBorder="1" applyAlignment="1">
      <alignment horizontal="center" vertical="center"/>
    </xf>
    <xf numFmtId="0" fontId="13" fillId="3" borderId="105" xfId="0" applyFont="1" applyFill="1" applyBorder="1" applyAlignment="1">
      <alignment horizontal="left"/>
    </xf>
    <xf numFmtId="0" fontId="105" fillId="0" borderId="82" xfId="0" applyFont="1" applyBorder="1" applyAlignment="1">
      <alignment horizontal="right" vertical="center"/>
    </xf>
    <xf numFmtId="0" fontId="5" fillId="3" borderId="107" xfId="0" applyFont="1" applyFill="1" applyBorder="1" applyAlignment="1">
      <alignment vertical="center"/>
    </xf>
    <xf numFmtId="169" fontId="25" fillId="36" borderId="24" xfId="20" applyBorder="1"/>
    <xf numFmtId="0" fontId="6" fillId="0" borderId="15" xfId="11" applyFont="1" applyBorder="1" applyAlignment="1">
      <alignment vertical="center"/>
    </xf>
    <xf numFmtId="0" fontId="6" fillId="0" borderId="16" xfId="11" applyFont="1" applyBorder="1" applyAlignment="1">
      <alignment vertical="center"/>
    </xf>
    <xf numFmtId="0" fontId="14" fillId="0" borderId="17" xfId="11" applyFont="1" applyBorder="1" applyAlignment="1">
      <alignment horizontal="center" vertical="center"/>
    </xf>
    <xf numFmtId="0" fontId="6" fillId="0" borderId="0" xfId="0" applyFont="1" applyAlignment="1">
      <alignment wrapText="1"/>
    </xf>
    <xf numFmtId="0" fontId="5" fillId="35" borderId="16" xfId="0" applyFont="1" applyFill="1" applyBorder="1" applyAlignment="1">
      <alignment horizontal="center" vertical="center" wrapText="1"/>
    </xf>
    <xf numFmtId="0" fontId="5" fillId="35" borderId="17" xfId="0" applyFont="1" applyFill="1" applyBorder="1" applyAlignment="1">
      <alignment horizontal="center" vertical="center" wrapText="1"/>
    </xf>
    <xf numFmtId="0" fontId="5" fillId="35" borderId="108" xfId="0" applyFont="1" applyFill="1" applyBorder="1" applyAlignment="1">
      <alignment horizontal="left" vertical="center" wrapText="1"/>
    </xf>
    <xf numFmtId="0" fontId="5" fillId="35" borderId="94" xfId="0" applyFont="1" applyFill="1" applyBorder="1" applyAlignment="1">
      <alignment horizontal="left" vertical="center" wrapText="1"/>
    </xf>
    <xf numFmtId="0" fontId="5" fillId="35" borderId="106" xfId="0" applyFont="1" applyFill="1" applyBorder="1" applyAlignment="1">
      <alignment horizontal="left" vertical="center" wrapText="1"/>
    </xf>
    <xf numFmtId="0" fontId="4" fillId="0" borderId="108" xfId="0" applyFont="1" applyBorder="1" applyAlignment="1">
      <alignment horizontal="right" vertical="center" wrapText="1"/>
    </xf>
    <xf numFmtId="0" fontId="4" fillId="0" borderId="94" xfId="0" applyFont="1" applyBorder="1" applyAlignment="1">
      <alignment horizontal="left" vertical="center" wrapText="1"/>
    </xf>
    <xf numFmtId="0" fontId="108" fillId="0" borderId="108" xfId="0" applyFont="1" applyBorder="1" applyAlignment="1">
      <alignment horizontal="right" vertical="center" wrapText="1"/>
    </xf>
    <xf numFmtId="0" fontId="108" fillId="0" borderId="94" xfId="0" applyFont="1" applyBorder="1" applyAlignment="1">
      <alignment horizontal="left" vertical="center" wrapText="1"/>
    </xf>
    <xf numFmtId="0" fontId="5" fillId="0" borderId="108" xfId="0" applyFont="1" applyBorder="1" applyAlignment="1">
      <alignment horizontal="left" vertical="center" wrapText="1"/>
    </xf>
    <xf numFmtId="0" fontId="5" fillId="0" borderId="0" xfId="21410" applyFont="1" applyAlignment="1" applyProtection="1">
      <alignment horizontal="left" vertical="center"/>
      <protection locked="0"/>
    </xf>
    <xf numFmtId="0" fontId="4" fillId="0" borderId="0" xfId="0" applyFont="1" applyAlignment="1">
      <alignment horizontal="left" vertical="center"/>
    </xf>
    <xf numFmtId="0" fontId="108" fillId="0" borderId="0" xfId="0" applyFont="1" applyAlignment="1">
      <alignment horizontal="left" vertical="center"/>
    </xf>
    <xf numFmtId="49" fontId="109" fillId="0" borderId="21" xfId="5" applyNumberFormat="1" applyFont="1" applyBorder="1" applyAlignment="1" applyProtection="1">
      <alignment horizontal="left" vertical="center"/>
      <protection locked="0"/>
    </xf>
    <xf numFmtId="0" fontId="110" fillId="0" borderId="22" xfId="9" applyFont="1" applyBorder="1" applyAlignment="1" applyProtection="1">
      <alignment horizontal="left" vertical="center" wrapText="1"/>
      <protection locked="0"/>
    </xf>
    <xf numFmtId="0" fontId="19" fillId="0" borderId="108" xfId="0" applyFont="1" applyBorder="1" applyAlignment="1">
      <alignment horizontal="center" vertical="center" wrapText="1"/>
    </xf>
    <xf numFmtId="3" fontId="20" fillId="35" borderId="94" xfId="0" applyNumberFormat="1" applyFont="1" applyFill="1" applyBorder="1" applyAlignment="1">
      <alignment vertical="center" wrapText="1"/>
    </xf>
    <xf numFmtId="14" fontId="6" fillId="3" borderId="94" xfId="8" quotePrefix="1" applyNumberFormat="1" applyFont="1" applyFill="1" applyBorder="1" applyAlignment="1" applyProtection="1">
      <alignment horizontal="left" vertical="center" wrapText="1" indent="2"/>
      <protection locked="0"/>
    </xf>
    <xf numFmtId="3" fontId="20" fillId="0" borderId="94" xfId="0" applyNumberFormat="1" applyFont="1" applyBorder="1" applyAlignment="1">
      <alignment vertical="center" wrapText="1"/>
    </xf>
    <xf numFmtId="14" fontId="6" fillId="3" borderId="94" xfId="8" quotePrefix="1" applyNumberFormat="1" applyFont="1" applyFill="1" applyBorder="1" applyAlignment="1" applyProtection="1">
      <alignment horizontal="left" vertical="center" wrapText="1" indent="3"/>
      <protection locked="0"/>
    </xf>
    <xf numFmtId="0" fontId="10" fillId="0" borderId="94" xfId="17" applyFill="1" applyBorder="1" applyAlignment="1" applyProtection="1"/>
    <xf numFmtId="49" fontId="108" fillId="0" borderId="108" xfId="0" applyNumberFormat="1" applyFont="1" applyBorder="1" applyAlignment="1">
      <alignment horizontal="right" vertical="center" wrapText="1"/>
    </xf>
    <xf numFmtId="0" fontId="6" fillId="3" borderId="94" xfId="20960" applyFont="1" applyFill="1" applyBorder="1"/>
    <xf numFmtId="0" fontId="102" fillId="0" borderId="94" xfId="20960" applyFont="1" applyBorder="1" applyAlignment="1">
      <alignment horizontal="center" vertical="center"/>
    </xf>
    <xf numFmtId="0" fontId="4" fillId="0" borderId="94" xfId="0" applyFont="1" applyBorder="1"/>
    <xf numFmtId="0" fontId="10" fillId="0" borderId="94" xfId="17" applyFill="1" applyBorder="1" applyAlignment="1" applyProtection="1">
      <alignment horizontal="left" vertical="center" wrapText="1"/>
    </xf>
    <xf numFmtId="49" fontId="108" fillId="0" borderId="94" xfId="0" applyNumberFormat="1" applyFont="1" applyBorder="1" applyAlignment="1">
      <alignment horizontal="right" vertical="center" wrapText="1"/>
    </xf>
    <xf numFmtId="0" fontId="10" fillId="0" borderId="94" xfId="17" applyFill="1" applyBorder="1" applyAlignment="1" applyProtection="1">
      <alignment horizontal="left" vertical="center"/>
    </xf>
    <xf numFmtId="1" fontId="5" fillId="35" borderId="106" xfId="0" applyNumberFormat="1" applyFont="1" applyFill="1" applyBorder="1" applyAlignment="1">
      <alignment horizontal="right" vertical="center" wrapText="1"/>
    </xf>
    <xf numFmtId="1" fontId="5" fillId="35" borderId="106" xfId="0" applyNumberFormat="1" applyFont="1" applyFill="1" applyBorder="1" applyAlignment="1">
      <alignment horizontal="center" vertical="center" wrapText="1"/>
    </xf>
    <xf numFmtId="10" fontId="6" fillId="0" borderId="94" xfId="20961" applyNumberFormat="1" applyFont="1" applyFill="1" applyBorder="1" applyAlignment="1">
      <alignment horizontal="left" vertical="center" wrapText="1"/>
    </xf>
    <xf numFmtId="10" fontId="4" fillId="0" borderId="94" xfId="20961" applyNumberFormat="1" applyFont="1" applyFill="1" applyBorder="1" applyAlignment="1">
      <alignment horizontal="left" vertical="center" wrapText="1"/>
    </xf>
    <xf numFmtId="10" fontId="5" fillId="35" borderId="94" xfId="0" applyNumberFormat="1" applyFont="1" applyFill="1" applyBorder="1" applyAlignment="1">
      <alignment horizontal="left" vertical="center" wrapText="1"/>
    </xf>
    <xf numFmtId="10" fontId="108" fillId="0" borderId="94" xfId="20961" applyNumberFormat="1" applyFont="1" applyFill="1" applyBorder="1" applyAlignment="1">
      <alignment horizontal="left" vertical="center" wrapText="1"/>
    </xf>
    <xf numFmtId="10" fontId="5" fillId="35" borderId="94" xfId="20961" applyNumberFormat="1" applyFont="1" applyFill="1" applyBorder="1" applyAlignment="1">
      <alignment horizontal="left" vertical="center" wrapText="1"/>
    </xf>
    <xf numFmtId="10" fontId="5" fillId="35" borderId="94" xfId="0" applyNumberFormat="1" applyFont="1" applyFill="1" applyBorder="1" applyAlignment="1">
      <alignment horizontal="center" vertical="center" wrapText="1"/>
    </xf>
    <xf numFmtId="10" fontId="110" fillId="0" borderId="22" xfId="20961" applyNumberFormat="1" applyFont="1" applyFill="1" applyBorder="1" applyAlignment="1" applyProtection="1">
      <alignment horizontal="left" vertical="center"/>
    </xf>
    <xf numFmtId="43" fontId="6" fillId="0" borderId="0" xfId="7" applyFont="1"/>
    <xf numFmtId="0" fontId="106" fillId="0" borderId="0" xfId="0" applyFont="1" applyAlignment="1">
      <alignment wrapText="1"/>
    </xf>
    <xf numFmtId="0" fontId="9" fillId="0" borderId="25" xfId="0" applyFont="1" applyBorder="1" applyAlignment="1">
      <alignment horizontal="center" wrapText="1"/>
    </xf>
    <xf numFmtId="0" fontId="9" fillId="0" borderId="8" xfId="0" applyFont="1" applyBorder="1" applyAlignment="1">
      <alignment horizontal="center" vertical="center" wrapText="1"/>
    </xf>
    <xf numFmtId="0" fontId="4" fillId="0" borderId="94" xfId="0" applyFont="1" applyBorder="1" applyAlignment="1">
      <alignment vertical="center" wrapText="1"/>
    </xf>
    <xf numFmtId="0" fontId="4" fillId="0" borderId="94" xfId="0" applyFont="1" applyBorder="1" applyAlignment="1">
      <alignment horizontal="left" vertical="center" wrapText="1" indent="2"/>
    </xf>
    <xf numFmtId="3" fontId="20" fillId="35" borderId="95" xfId="0" applyNumberFormat="1" applyFont="1" applyFill="1" applyBorder="1" applyAlignment="1">
      <alignment vertical="center" wrapText="1"/>
    </xf>
    <xf numFmtId="3" fontId="20" fillId="35" borderId="20" xfId="0" applyNumberFormat="1" applyFont="1" applyFill="1" applyBorder="1" applyAlignment="1">
      <alignment vertical="center" wrapText="1"/>
    </xf>
    <xf numFmtId="3" fontId="20" fillId="0" borderId="95" xfId="0" applyNumberFormat="1" applyFont="1" applyBorder="1" applyAlignment="1">
      <alignment vertical="center" wrapText="1"/>
    </xf>
    <xf numFmtId="3" fontId="20" fillId="0" borderId="20" xfId="0" applyNumberFormat="1" applyFont="1" applyBorder="1" applyAlignment="1">
      <alignment vertical="center" wrapText="1"/>
    </xf>
    <xf numFmtId="3" fontId="20" fillId="35" borderId="24" xfId="0" applyNumberFormat="1" applyFont="1" applyFill="1" applyBorder="1" applyAlignment="1">
      <alignment vertical="center" wrapText="1"/>
    </xf>
    <xf numFmtId="3" fontId="20" fillId="35" borderId="35" xfId="0" applyNumberFormat="1" applyFont="1" applyFill="1" applyBorder="1" applyAlignment="1">
      <alignment vertical="center" wrapText="1"/>
    </xf>
    <xf numFmtId="0" fontId="5" fillId="0" borderId="22" xfId="0" applyFont="1" applyBorder="1" applyAlignment="1">
      <alignment vertical="center" wrapText="1"/>
    </xf>
    <xf numFmtId="0" fontId="4" fillId="0" borderId="106" xfId="0" applyFont="1" applyBorder="1"/>
    <xf numFmtId="0" fontId="4" fillId="0" borderId="23" xfId="0" applyFont="1" applyBorder="1"/>
    <xf numFmtId="0" fontId="8" fillId="0" borderId="106" xfId="0" applyFont="1" applyBorder="1"/>
    <xf numFmtId="0" fontId="8" fillId="0" borderId="106" xfId="0" applyFont="1" applyBorder="1" applyAlignment="1">
      <alignment wrapText="1"/>
    </xf>
    <xf numFmtId="0" fontId="9" fillId="0" borderId="17" xfId="0" applyFont="1" applyBorder="1" applyAlignment="1">
      <alignment horizontal="center"/>
    </xf>
    <xf numFmtId="0" fontId="9" fillId="0" borderId="106" xfId="0" applyFont="1" applyBorder="1" applyAlignment="1">
      <alignment horizontal="center" vertical="center" wrapText="1"/>
    </xf>
    <xf numFmtId="0" fontId="2" fillId="0" borderId="16" xfId="0" applyFont="1" applyBorder="1" applyAlignment="1">
      <alignment horizontal="left" vertical="center" wrapText="1" indent="1"/>
    </xf>
    <xf numFmtId="0" fontId="2" fillId="0" borderId="17" xfId="0" applyFont="1" applyBorder="1" applyAlignment="1">
      <alignment horizontal="left" vertical="center" wrapText="1" indent="1"/>
    </xf>
    <xf numFmtId="14" fontId="4" fillId="0" borderId="0" xfId="0" applyNumberFormat="1" applyFont="1"/>
    <xf numFmtId="0" fontId="4" fillId="3" borderId="52" xfId="0" applyFont="1" applyFill="1" applyBorder="1"/>
    <xf numFmtId="0" fontId="4" fillId="3" borderId="111" xfId="0" applyFont="1" applyFill="1" applyBorder="1" applyAlignment="1">
      <alignment wrapText="1"/>
    </xf>
    <xf numFmtId="0" fontId="4" fillId="3" borderId="112" xfId="0" applyFont="1" applyFill="1" applyBorder="1"/>
    <xf numFmtId="0" fontId="5" fillId="3" borderId="11" xfId="0" applyFont="1" applyFill="1" applyBorder="1" applyAlignment="1">
      <alignment horizontal="center" wrapText="1"/>
    </xf>
    <xf numFmtId="0" fontId="4" fillId="0" borderId="94" xfId="0" applyFont="1" applyBorder="1" applyAlignment="1">
      <alignment horizontal="center"/>
    </xf>
    <xf numFmtId="0" fontId="4" fillId="3" borderId="59"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88" xfId="0" applyFont="1" applyFill="1" applyBorder="1" applyAlignment="1">
      <alignment horizontal="center" vertical="center" wrapText="1"/>
    </xf>
    <xf numFmtId="0" fontId="4" fillId="0" borderId="108" xfId="0" applyFont="1" applyBorder="1"/>
    <xf numFmtId="0" fontId="4" fillId="0" borderId="94" xfId="0" applyFont="1" applyBorder="1" applyAlignment="1">
      <alignment wrapText="1"/>
    </xf>
    <xf numFmtId="165" fontId="4" fillId="0" borderId="94" xfId="7" applyNumberFormat="1" applyFont="1" applyBorder="1"/>
    <xf numFmtId="165" fontId="4" fillId="0" borderId="106" xfId="7" applyNumberFormat="1" applyFont="1" applyBorder="1"/>
    <xf numFmtId="0" fontId="13" fillId="0" borderId="94" xfId="0" applyFont="1" applyBorder="1" applyAlignment="1">
      <alignment horizontal="left" wrapText="1" indent="2"/>
    </xf>
    <xf numFmtId="169" fontId="25" fillId="36" borderId="94" xfId="20" applyBorder="1"/>
    <xf numFmtId="165" fontId="4" fillId="0" borderId="94" xfId="7" applyNumberFormat="1" applyFont="1" applyBorder="1" applyAlignment="1">
      <alignment vertical="center"/>
    </xf>
    <xf numFmtId="0" fontId="5" fillId="0" borderId="108" xfId="0" applyFont="1" applyBorder="1"/>
    <xf numFmtId="0" fontId="5" fillId="0" borderId="94" xfId="0" applyFont="1" applyBorder="1" applyAlignment="1">
      <alignment wrapText="1"/>
    </xf>
    <xf numFmtId="165" fontId="5" fillId="0" borderId="106" xfId="7" applyNumberFormat="1" applyFont="1" applyBorder="1"/>
    <xf numFmtId="0" fontId="3" fillId="3" borderId="59" xfId="0" applyFont="1" applyFill="1" applyBorder="1" applyAlignment="1">
      <alignment horizontal="left"/>
    </xf>
    <xf numFmtId="165" fontId="4" fillId="3" borderId="0" xfId="7" applyNumberFormat="1" applyFont="1" applyFill="1" applyBorder="1"/>
    <xf numFmtId="165" fontId="4" fillId="3" borderId="0" xfId="7" applyNumberFormat="1" applyFont="1" applyFill="1" applyBorder="1" applyAlignment="1">
      <alignment vertical="center"/>
    </xf>
    <xf numFmtId="165" fontId="4" fillId="3" borderId="88" xfId="7" applyNumberFormat="1" applyFont="1" applyFill="1" applyBorder="1"/>
    <xf numFmtId="165" fontId="4" fillId="0" borderId="94" xfId="7" applyNumberFormat="1" applyFont="1" applyFill="1" applyBorder="1"/>
    <xf numFmtId="165" fontId="4" fillId="0" borderId="94" xfId="7" applyNumberFormat="1" applyFont="1" applyFill="1" applyBorder="1" applyAlignment="1">
      <alignment vertical="center"/>
    </xf>
    <xf numFmtId="0" fontId="13" fillId="0" borderId="94"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88" xfId="0" applyFont="1" applyFill="1" applyBorder="1"/>
    <xf numFmtId="0" fontId="5" fillId="0" borderId="21" xfId="0" applyFont="1" applyBorder="1"/>
    <xf numFmtId="0" fontId="5" fillId="0" borderId="22" xfId="0" applyFont="1" applyBorder="1" applyAlignment="1">
      <alignment wrapText="1"/>
    </xf>
    <xf numFmtId="169" fontId="25" fillId="36" borderId="109" xfId="20" applyBorder="1"/>
    <xf numFmtId="0" fontId="8" fillId="2" borderId="101" xfId="0" applyFont="1" applyFill="1" applyBorder="1" applyAlignment="1">
      <alignment horizontal="right" vertical="center"/>
    </xf>
    <xf numFmtId="0" fontId="5" fillId="3" borderId="0" xfId="0" applyFont="1" applyFill="1" applyAlignment="1">
      <alignment horizontal="center"/>
    </xf>
    <xf numFmtId="0" fontId="105" fillId="0" borderId="82" xfId="0" applyFont="1" applyBorder="1" applyAlignment="1">
      <alignment horizontal="left" vertical="center"/>
    </xf>
    <xf numFmtId="0" fontId="105" fillId="0" borderId="80" xfId="0" applyFont="1" applyBorder="1" applyAlignment="1">
      <alignment vertical="center" wrapText="1"/>
    </xf>
    <xf numFmtId="0" fontId="105" fillId="0" borderId="80" xfId="0" applyFont="1" applyBorder="1" applyAlignment="1">
      <alignment horizontal="left" vertical="center" wrapText="1"/>
    </xf>
    <xf numFmtId="0" fontId="115" fillId="0" borderId="0" xfId="11" applyFont="1"/>
    <xf numFmtId="0" fontId="116" fillId="0" borderId="0" xfId="0" applyFont="1"/>
    <xf numFmtId="0" fontId="117" fillId="0" borderId="0" xfId="11" applyFont="1"/>
    <xf numFmtId="14" fontId="116" fillId="0" borderId="0" xfId="0" applyNumberFormat="1" applyFont="1"/>
    <xf numFmtId="0" fontId="116" fillId="0" borderId="0" xfId="0" applyFont="1" applyAlignment="1">
      <alignment wrapText="1"/>
    </xf>
    <xf numFmtId="0" fontId="119" fillId="0" borderId="0" xfId="0" applyFont="1"/>
    <xf numFmtId="0" fontId="116" fillId="0" borderId="0" xfId="0" applyFont="1" applyAlignment="1">
      <alignment horizontal="left"/>
    </xf>
    <xf numFmtId="0" fontId="118" fillId="0" borderId="122" xfId="0" applyFont="1" applyBorder="1" applyAlignment="1">
      <alignment horizontal="left" vertical="center" wrapText="1"/>
    </xf>
    <xf numFmtId="0" fontId="124" fillId="0" borderId="0" xfId="0" applyFont="1"/>
    <xf numFmtId="49" fontId="105" fillId="0" borderId="94" xfId="0" applyNumberFormat="1" applyFont="1" applyBorder="1" applyAlignment="1">
      <alignment horizontal="right" vertical="center"/>
    </xf>
    <xf numFmtId="0" fontId="125" fillId="0" borderId="0" xfId="0" applyFont="1"/>
    <xf numFmtId="0" fontId="116" fillId="0" borderId="0" xfId="0" applyFont="1" applyAlignment="1">
      <alignment horizontal="left" indent="1"/>
    </xf>
    <xf numFmtId="0" fontId="116" fillId="0" borderId="0" xfId="0" applyFont="1" applyAlignment="1">
      <alignment horizontal="left" indent="2"/>
    </xf>
    <xf numFmtId="49" fontId="116" fillId="0" borderId="0" xfId="0" applyNumberFormat="1" applyFont="1" applyAlignment="1">
      <alignment horizontal="left" indent="3"/>
    </xf>
    <xf numFmtId="49" fontId="116" fillId="0" borderId="0" xfId="0" applyNumberFormat="1" applyFont="1" applyAlignment="1">
      <alignment horizontal="left" indent="1"/>
    </xf>
    <xf numFmtId="49" fontId="116" fillId="0" borderId="0" xfId="0" applyNumberFormat="1" applyFont="1" applyAlignment="1">
      <alignment horizontal="left" wrapText="1" indent="2"/>
    </xf>
    <xf numFmtId="49" fontId="116" fillId="0" borderId="0" xfId="0" applyNumberFormat="1" applyFont="1" applyAlignment="1">
      <alignment horizontal="left" wrapText="1" indent="3"/>
    </xf>
    <xf numFmtId="0" fontId="116" fillId="0" borderId="0" xfId="0" applyFont="1" applyAlignment="1">
      <alignment horizontal="left" wrapText="1" indent="1"/>
    </xf>
    <xf numFmtId="0" fontId="116" fillId="0" borderId="0" xfId="0" applyFont="1" applyAlignment="1">
      <alignment horizontal="left" vertical="top" wrapText="1"/>
    </xf>
    <xf numFmtId="193" fontId="6" fillId="3" borderId="106" xfId="2" applyNumberFormat="1" applyFont="1" applyFill="1" applyBorder="1" applyAlignment="1" applyProtection="1">
      <alignment vertical="top" wrapText="1"/>
      <protection locked="0"/>
    </xf>
    <xf numFmtId="0" fontId="129" fillId="0" borderId="129" xfId="0" applyFont="1" applyBorder="1" applyAlignment="1">
      <alignment horizontal="left" vertical="center" wrapText="1"/>
    </xf>
    <xf numFmtId="0" fontId="131" fillId="0" borderId="129" xfId="0" applyFont="1" applyBorder="1" applyAlignment="1">
      <alignment horizontal="left" vertical="center" wrapText="1"/>
    </xf>
    <xf numFmtId="0" fontId="132" fillId="3" borderId="129" xfId="0" applyFont="1" applyFill="1" applyBorder="1" applyAlignment="1">
      <alignment horizontal="left" vertical="center" wrapText="1" indent="1"/>
    </xf>
    <xf numFmtId="0" fontId="131" fillId="3" borderId="129" xfId="0" applyFont="1" applyFill="1" applyBorder="1" applyAlignment="1">
      <alignment horizontal="left" vertical="center" wrapText="1"/>
    </xf>
    <xf numFmtId="0" fontId="131" fillId="3" borderId="130" xfId="0" applyFont="1" applyFill="1" applyBorder="1" applyAlignment="1">
      <alignment horizontal="left" vertical="center" wrapText="1"/>
    </xf>
    <xf numFmtId="0" fontId="132" fillId="0" borderId="129" xfId="0" applyFont="1" applyBorder="1" applyAlignment="1">
      <alignment horizontal="left" vertical="center" wrapText="1" indent="1"/>
    </xf>
    <xf numFmtId="0" fontId="131" fillId="3" borderId="131" xfId="0" applyFont="1" applyFill="1" applyBorder="1" applyAlignment="1">
      <alignment horizontal="left" vertical="center" wrapText="1"/>
    </xf>
    <xf numFmtId="0" fontId="130" fillId="3" borderId="129" xfId="0" applyFont="1" applyFill="1" applyBorder="1" applyAlignment="1">
      <alignment horizontal="left" vertical="center" wrapText="1" indent="1"/>
    </xf>
    <xf numFmtId="0" fontId="130" fillId="0" borderId="129" xfId="0" applyFont="1" applyBorder="1" applyAlignment="1">
      <alignment horizontal="left" vertical="center" wrapText="1" indent="1"/>
    </xf>
    <xf numFmtId="0" fontId="130" fillId="0" borderId="130" xfId="0" applyFont="1" applyBorder="1" applyAlignment="1">
      <alignment horizontal="left" vertical="center" wrapText="1" indent="1"/>
    </xf>
    <xf numFmtId="0" fontId="0" fillId="0" borderId="0" xfId="0" applyAlignment="1">
      <alignment horizontal="left" vertical="center"/>
    </xf>
    <xf numFmtId="0" fontId="8" fillId="0" borderId="132" xfId="0" applyFont="1" applyBorder="1" applyAlignment="1">
      <alignment horizontal="center" vertical="center" wrapText="1"/>
    </xf>
    <xf numFmtId="0" fontId="8" fillId="0" borderId="106" xfId="0" applyFont="1" applyBorder="1" applyAlignment="1">
      <alignment horizontal="center" vertical="center" wrapText="1"/>
    </xf>
    <xf numFmtId="0" fontId="0" fillId="0" borderId="132" xfId="0" applyBorder="1" applyAlignment="1">
      <alignment horizontal="center"/>
    </xf>
    <xf numFmtId="193" fontId="8" fillId="0" borderId="132" xfId="0" applyNumberFormat="1" applyFont="1" applyBorder="1" applyAlignment="1">
      <alignment horizontal="right"/>
    </xf>
    <xf numFmtId="193" fontId="8" fillId="35" borderId="132" xfId="0" applyNumberFormat="1" applyFont="1" applyFill="1" applyBorder="1" applyAlignment="1">
      <alignment horizontal="right"/>
    </xf>
    <xf numFmtId="193" fontId="8" fillId="35" borderId="106" xfId="0" applyNumberFormat="1" applyFont="1" applyFill="1" applyBorder="1" applyAlignment="1">
      <alignment horizontal="right"/>
    </xf>
    <xf numFmtId="0" fontId="14" fillId="0" borderId="132" xfId="0" applyFont="1" applyBorder="1" applyAlignment="1">
      <alignment vertical="center" wrapText="1"/>
    </xf>
    <xf numFmtId="0" fontId="6" fillId="0" borderId="132" xfId="0" applyFont="1" applyBorder="1" applyAlignment="1">
      <alignment horizontal="left" vertical="center" wrapText="1" indent="1"/>
    </xf>
    <xf numFmtId="0" fontId="3" fillId="0" borderId="132" xfId="0" applyFont="1" applyBorder="1" applyAlignment="1">
      <alignment vertical="center"/>
    </xf>
    <xf numFmtId="0" fontId="135" fillId="0" borderId="132" xfId="0" applyFont="1" applyBorder="1" applyAlignment="1" applyProtection="1">
      <alignment horizontal="left" vertical="center" indent="1"/>
      <protection locked="0"/>
    </xf>
    <xf numFmtId="0" fontId="136" fillId="0" borderId="132" xfId="0" applyFont="1" applyBorder="1" applyAlignment="1" applyProtection="1">
      <alignment horizontal="left" vertical="center" indent="3"/>
      <protection locked="0"/>
    </xf>
    <xf numFmtId="0" fontId="137" fillId="0" borderId="132" xfId="0" applyFont="1" applyBorder="1" applyAlignment="1" applyProtection="1">
      <alignment horizontal="left" vertical="center" indent="3"/>
      <protection locked="0"/>
    </xf>
    <xf numFmtId="0" fontId="3" fillId="0" borderId="132" xfId="0" applyFont="1" applyBorder="1"/>
    <xf numFmtId="0" fontId="0" fillId="0" borderId="0" xfId="0" applyAlignment="1">
      <alignment horizontal="center"/>
    </xf>
    <xf numFmtId="193" fontId="8" fillId="0" borderId="0" xfId="0" applyNumberFormat="1" applyFont="1" applyAlignment="1">
      <alignment horizontal="right"/>
    </xf>
    <xf numFmtId="49" fontId="105" fillId="0" borderId="132" xfId="0" applyNumberFormat="1" applyFont="1" applyBorder="1" applyAlignment="1">
      <alignment horizontal="right" vertical="center"/>
    </xf>
    <xf numFmtId="167" fontId="17" fillId="0" borderId="55" xfId="0" applyNumberFormat="1" applyFont="1" applyBorder="1" applyAlignment="1">
      <alignment horizontal="center"/>
    </xf>
    <xf numFmtId="193" fontId="22" fillId="0" borderId="12" xfId="0" applyNumberFormat="1" applyFont="1" applyBorder="1" applyAlignment="1">
      <alignment horizontal="center" vertical="center"/>
    </xf>
    <xf numFmtId="193" fontId="103" fillId="0" borderId="12" xfId="0" applyNumberFormat="1" applyFont="1" applyBorder="1" applyAlignment="1">
      <alignment horizontal="center" vertical="center"/>
    </xf>
    <xf numFmtId="193" fontId="21" fillId="0" borderId="12" xfId="0" applyNumberFormat="1" applyFont="1" applyBorder="1" applyAlignment="1">
      <alignment horizontal="center" vertical="center"/>
    </xf>
    <xf numFmtId="193" fontId="21" fillId="0" borderId="14" xfId="0" applyNumberFormat="1" applyFont="1" applyBorder="1" applyAlignment="1">
      <alignment horizontal="center" vertical="center"/>
    </xf>
    <xf numFmtId="193" fontId="21" fillId="0" borderId="13" xfId="0" applyNumberFormat="1" applyFont="1" applyBorder="1" applyAlignment="1">
      <alignment horizontal="center" vertical="center"/>
    </xf>
    <xf numFmtId="0" fontId="119" fillId="0" borderId="132" xfId="0" applyFont="1" applyBorder="1"/>
    <xf numFmtId="49" fontId="121" fillId="0" borderId="132" xfId="5" applyNumberFormat="1" applyFont="1" applyBorder="1" applyAlignment="1" applyProtection="1">
      <alignment horizontal="right" vertical="center"/>
      <protection locked="0"/>
    </xf>
    <xf numFmtId="0" fontId="120" fillId="3" borderId="132" xfId="13" applyFont="1" applyFill="1" applyBorder="1" applyAlignment="1" applyProtection="1">
      <alignment horizontal="left" vertical="center" wrapText="1"/>
      <protection locked="0"/>
    </xf>
    <xf numFmtId="49" fontId="120" fillId="3" borderId="132" xfId="5" applyNumberFormat="1" applyFont="1" applyFill="1" applyBorder="1" applyAlignment="1" applyProtection="1">
      <alignment horizontal="right" vertical="center"/>
      <protection locked="0"/>
    </xf>
    <xf numFmtId="0" fontId="120" fillId="0" borderId="132" xfId="13" applyFont="1" applyBorder="1" applyAlignment="1" applyProtection="1">
      <alignment horizontal="left" vertical="center" wrapText="1"/>
      <protection locked="0"/>
    </xf>
    <xf numFmtId="49" fontId="120" fillId="0" borderId="132" xfId="5" applyNumberFormat="1" applyFont="1" applyBorder="1" applyAlignment="1" applyProtection="1">
      <alignment horizontal="right" vertical="center"/>
      <protection locked="0"/>
    </xf>
    <xf numFmtId="0" fontId="122" fillId="0" borderId="132" xfId="13" applyFont="1" applyBorder="1" applyAlignment="1" applyProtection="1">
      <alignment horizontal="left" vertical="center" wrapText="1"/>
      <protection locked="0"/>
    </xf>
    <xf numFmtId="0" fontId="119" fillId="0" borderId="132" xfId="0" applyFont="1" applyBorder="1" applyAlignment="1">
      <alignment horizontal="center" vertical="center" wrapText="1"/>
    </xf>
    <xf numFmtId="164" fontId="115" fillId="35" borderId="138" xfId="21413" applyFont="1" applyFill="1" applyBorder="1"/>
    <xf numFmtId="0" fontId="115" fillId="0" borderId="138" xfId="0" applyFont="1" applyBorder="1"/>
    <xf numFmtId="0" fontId="115" fillId="0" borderId="138" xfId="0" applyFont="1" applyBorder="1" applyAlignment="1">
      <alignment horizontal="left" indent="8"/>
    </xf>
    <xf numFmtId="0" fontId="115" fillId="0" borderId="138" xfId="0" applyFont="1" applyBorder="1" applyAlignment="1">
      <alignment wrapText="1"/>
    </xf>
    <xf numFmtId="0" fontId="118" fillId="0" borderId="138" xfId="0" applyFont="1" applyBorder="1"/>
    <xf numFmtId="49" fontId="121" fillId="0" borderId="138" xfId="5" applyNumberFormat="1" applyFont="1" applyBorder="1" applyAlignment="1" applyProtection="1">
      <alignment horizontal="right" vertical="center" wrapText="1"/>
      <protection locked="0"/>
    </xf>
    <xf numFmtId="49" fontId="120" fillId="3" borderId="138" xfId="5" applyNumberFormat="1" applyFont="1" applyFill="1" applyBorder="1" applyAlignment="1" applyProtection="1">
      <alignment horizontal="right" vertical="center" wrapText="1"/>
      <protection locked="0"/>
    </xf>
    <xf numFmtId="49" fontId="120" fillId="0" borderId="138" xfId="5" applyNumberFormat="1" applyFont="1" applyBorder="1" applyAlignment="1" applyProtection="1">
      <alignment horizontal="right" vertical="center" wrapText="1"/>
      <protection locked="0"/>
    </xf>
    <xf numFmtId="0" fontId="115" fillId="0" borderId="138" xfId="0" applyFont="1" applyBorder="1" applyAlignment="1">
      <alignment horizontal="center" vertical="center" wrapText="1"/>
    </xf>
    <xf numFmtId="0" fontId="115" fillId="0" borderId="139" xfId="0" applyFont="1" applyBorder="1" applyAlignment="1">
      <alignment horizontal="center" vertical="center" wrapText="1"/>
    </xf>
    <xf numFmtId="0" fontId="115" fillId="0" borderId="138"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5" fillId="0" borderId="138" xfId="0" applyFont="1" applyBorder="1" applyAlignment="1">
      <alignment horizontal="left" vertical="center" wrapText="1"/>
    </xf>
    <xf numFmtId="0" fontId="119" fillId="0" borderId="138" xfId="0" applyFont="1" applyBorder="1"/>
    <xf numFmtId="0" fontId="118" fillId="0" borderId="138" xfId="0" applyFont="1" applyBorder="1" applyAlignment="1">
      <alignment horizontal="left" wrapText="1" indent="1"/>
    </xf>
    <xf numFmtId="0" fontId="118" fillId="0" borderId="138" xfId="0" applyFont="1" applyBorder="1" applyAlignment="1">
      <alignment horizontal="left" vertical="center" indent="1"/>
    </xf>
    <xf numFmtId="0" fontId="116" fillId="0" borderId="138" xfId="0" applyFont="1" applyBorder="1"/>
    <xf numFmtId="0" fontId="115" fillId="0" borderId="138" xfId="0" applyFont="1" applyBorder="1" applyAlignment="1">
      <alignment horizontal="left" wrapText="1" indent="1"/>
    </xf>
    <xf numFmtId="0" fontId="115" fillId="0" borderId="138" xfId="0" applyFont="1" applyBorder="1" applyAlignment="1">
      <alignment horizontal="left" indent="1"/>
    </xf>
    <xf numFmtId="0" fontId="115" fillId="0" borderId="138" xfId="0" applyFont="1" applyBorder="1" applyAlignment="1">
      <alignment horizontal="left" wrapText="1" indent="4"/>
    </xf>
    <xf numFmtId="0" fontId="115" fillId="0" borderId="138" xfId="0" applyFont="1" applyBorder="1" applyAlignment="1">
      <alignment horizontal="left" indent="3"/>
    </xf>
    <xf numFmtId="0" fontId="118" fillId="0" borderId="138" xfId="0" applyFont="1" applyBorder="1" applyAlignment="1">
      <alignment horizontal="left" indent="1"/>
    </xf>
    <xf numFmtId="0" fontId="119" fillId="0" borderId="138" xfId="0" applyFont="1" applyBorder="1" applyAlignment="1">
      <alignment horizontal="center" vertical="center" wrapText="1"/>
    </xf>
    <xf numFmtId="0" fontId="115" fillId="78" borderId="138" xfId="0" applyFont="1" applyFill="1" applyBorder="1"/>
    <xf numFmtId="0" fontId="118" fillId="0" borderId="7" xfId="0" applyFont="1" applyBorder="1"/>
    <xf numFmtId="0" fontId="115" fillId="0" borderId="138" xfId="0" applyFont="1" applyBorder="1" applyAlignment="1">
      <alignment horizontal="left" wrapText="1" indent="2"/>
    </xf>
    <xf numFmtId="0" fontId="115" fillId="0" borderId="138" xfId="0" applyFont="1" applyBorder="1" applyAlignment="1">
      <alignment horizontal="left" wrapText="1"/>
    </xf>
    <xf numFmtId="0" fontId="118" fillId="80" borderId="138" xfId="0" applyFont="1" applyFill="1" applyBorder="1"/>
    <xf numFmtId="0" fontId="115" fillId="0" borderId="138" xfId="0" applyFont="1" applyBorder="1" applyAlignment="1">
      <alignment horizontal="center"/>
    </xf>
    <xf numFmtId="0" fontId="115" fillId="0" borderId="0" xfId="0" applyFont="1" applyAlignment="1">
      <alignment horizontal="center" vertical="center"/>
    </xf>
    <xf numFmtId="0" fontId="115" fillId="0" borderId="7"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51" xfId="0" applyFont="1" applyBorder="1" applyAlignment="1">
      <alignment wrapText="1"/>
    </xf>
    <xf numFmtId="0" fontId="115" fillId="0" borderId="7" xfId="0" applyFont="1" applyBorder="1" applyAlignment="1">
      <alignment wrapText="1"/>
    </xf>
    <xf numFmtId="0" fontId="115" fillId="0" borderId="0" xfId="0" applyFont="1" applyAlignment="1">
      <alignment horizontal="center" vertical="center" wrapText="1"/>
    </xf>
    <xf numFmtId="0" fontId="115" fillId="0" borderId="137" xfId="0" applyFont="1" applyBorder="1" applyAlignment="1">
      <alignment horizontal="center" vertical="center" wrapText="1"/>
    </xf>
    <xf numFmtId="0" fontId="115" fillId="0" borderId="140" xfId="0" applyFont="1" applyBorder="1" applyAlignment="1">
      <alignment horizontal="center" vertical="center" wrapText="1"/>
    </xf>
    <xf numFmtId="0" fontId="115" fillId="0" borderId="136" xfId="0" applyFont="1" applyBorder="1" applyAlignment="1">
      <alignment horizontal="center" vertical="center" wrapText="1"/>
    </xf>
    <xf numFmtId="0" fontId="115" fillId="0" borderId="144" xfId="0" applyFont="1" applyBorder="1"/>
    <xf numFmtId="0" fontId="115" fillId="0" borderId="145" xfId="0" applyFont="1" applyBorder="1"/>
    <xf numFmtId="49" fontId="115" fillId="0" borderId="146" xfId="0" applyNumberFormat="1" applyFont="1" applyBorder="1" applyAlignment="1">
      <alignment horizontal="left" wrapText="1" indent="1"/>
    </xf>
    <xf numFmtId="49" fontId="115" fillId="0" borderId="144" xfId="0" applyNumberFormat="1" applyFont="1" applyBorder="1" applyAlignment="1">
      <alignment horizontal="left" wrapText="1" indent="1"/>
    </xf>
    <xf numFmtId="0" fontId="115" fillId="0" borderId="146" xfId="0" applyFont="1" applyBorder="1" applyAlignment="1">
      <alignment horizontal="left" wrapText="1" indent="1"/>
    </xf>
    <xf numFmtId="0" fontId="115" fillId="0" borderId="147" xfId="0" applyFont="1" applyBorder="1"/>
    <xf numFmtId="49" fontId="115" fillId="0" borderId="148" xfId="0" applyNumberFormat="1" applyFont="1" applyBorder="1" applyAlignment="1">
      <alignment horizontal="left" wrapText="1" indent="1"/>
    </xf>
    <xf numFmtId="49" fontId="115" fillId="0" borderId="147" xfId="0" applyNumberFormat="1" applyFont="1" applyBorder="1" applyAlignment="1">
      <alignment horizontal="left" wrapText="1" indent="1"/>
    </xf>
    <xf numFmtId="0" fontId="115" fillId="0" borderId="148" xfId="0" applyFont="1" applyBorder="1" applyAlignment="1">
      <alignment horizontal="left" wrapText="1" indent="1"/>
    </xf>
    <xf numFmtId="49" fontId="115" fillId="0" borderId="148" xfId="0" applyNumberFormat="1" applyFont="1" applyBorder="1" applyAlignment="1">
      <alignment horizontal="left" wrapText="1" indent="3"/>
    </xf>
    <xf numFmtId="49" fontId="115" fillId="0" borderId="147" xfId="0" applyNumberFormat="1" applyFont="1" applyBorder="1" applyAlignment="1">
      <alignment horizontal="left" wrapText="1" indent="3"/>
    </xf>
    <xf numFmtId="49" fontId="115" fillId="0" borderId="148" xfId="0" applyNumberFormat="1" applyFont="1" applyBorder="1" applyAlignment="1">
      <alignment horizontal="left" wrapText="1" indent="2"/>
    </xf>
    <xf numFmtId="49" fontId="115" fillId="0" borderId="147" xfId="0" applyNumberFormat="1" applyFont="1" applyBorder="1" applyAlignment="1">
      <alignment horizontal="left" wrapText="1" indent="2"/>
    </xf>
    <xf numFmtId="49" fontId="115" fillId="0" borderId="148" xfId="0" applyNumberFormat="1" applyFont="1" applyBorder="1" applyAlignment="1">
      <alignment horizontal="left" vertical="top" wrapText="1" indent="2"/>
    </xf>
    <xf numFmtId="49" fontId="115" fillId="0" borderId="147" xfId="0" applyNumberFormat="1" applyFont="1" applyBorder="1" applyAlignment="1">
      <alignment horizontal="left" vertical="top" wrapText="1" indent="2"/>
    </xf>
    <xf numFmtId="0" fontId="115" fillId="79" borderId="147" xfId="0" applyFont="1" applyFill="1" applyBorder="1"/>
    <xf numFmtId="0" fontId="115" fillId="79" borderId="138" xfId="0" applyFont="1" applyFill="1" applyBorder="1"/>
    <xf numFmtId="0" fontId="115" fillId="79" borderId="148" xfId="0" applyFont="1" applyFill="1" applyBorder="1"/>
    <xf numFmtId="49" fontId="115" fillId="0" borderId="147" xfId="0" applyNumberFormat="1" applyFont="1" applyBorder="1" applyAlignment="1">
      <alignment horizontal="left" indent="1"/>
    </xf>
    <xf numFmtId="0" fontId="115" fillId="0" borderId="148" xfId="0" applyFont="1" applyBorder="1" applyAlignment="1">
      <alignment horizontal="left" indent="1"/>
    </xf>
    <xf numFmtId="49" fontId="115" fillId="0" borderId="148" xfId="0" applyNumberFormat="1" applyFont="1" applyBorder="1" applyAlignment="1">
      <alignment horizontal="left" indent="1"/>
    </xf>
    <xf numFmtId="49" fontId="115" fillId="0" borderId="148" xfId="0" applyNumberFormat="1" applyFont="1" applyBorder="1" applyAlignment="1">
      <alignment horizontal="left" indent="3"/>
    </xf>
    <xf numFmtId="49" fontId="115" fillId="0" borderId="147" xfId="0" applyNumberFormat="1" applyFont="1" applyBorder="1" applyAlignment="1">
      <alignment horizontal="left" indent="3"/>
    </xf>
    <xf numFmtId="0" fontId="115" fillId="0" borderId="148" xfId="0" applyFont="1" applyBorder="1" applyAlignment="1">
      <alignment horizontal="left" indent="2"/>
    </xf>
    <xf numFmtId="0" fontId="115" fillId="0" borderId="147" xfId="0" applyFont="1" applyBorder="1" applyAlignment="1">
      <alignment horizontal="left" indent="2"/>
    </xf>
    <xf numFmtId="0" fontId="115" fillId="0" borderId="147" xfId="0" applyFont="1" applyBorder="1" applyAlignment="1">
      <alignment horizontal="left" indent="1"/>
    </xf>
    <xf numFmtId="0" fontId="118" fillId="0" borderId="65" xfId="0" applyFont="1" applyBorder="1"/>
    <xf numFmtId="0" fontId="118" fillId="0" borderId="60" xfId="0" applyFont="1" applyBorder="1"/>
    <xf numFmtId="0" fontId="115" fillId="0" borderId="65" xfId="0" applyFont="1" applyBorder="1"/>
    <xf numFmtId="0" fontId="115" fillId="0" borderId="0" xfId="0" applyFont="1" applyAlignment="1">
      <alignment horizontal="left"/>
    </xf>
    <xf numFmtId="0" fontId="118" fillId="0" borderId="138" xfId="0" applyFont="1" applyBorder="1" applyAlignment="1">
      <alignment horizontal="left" vertical="center" wrapText="1"/>
    </xf>
    <xf numFmtId="0" fontId="115" fillId="0" borderId="138" xfId="0" applyFont="1" applyBorder="1" applyAlignment="1">
      <alignment horizontal="center" vertical="center" textRotation="90" wrapText="1"/>
    </xf>
    <xf numFmtId="0" fontId="8" fillId="0" borderId="0" xfId="0" applyFont="1" applyAlignment="1">
      <alignment wrapText="1"/>
    </xf>
    <xf numFmtId="0" fontId="120" fillId="0" borderId="138" xfId="0" applyFont="1" applyBorder="1"/>
    <xf numFmtId="0" fontId="118" fillId="0" borderId="138"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8" fillId="0" borderId="0" xfId="0" applyFont="1"/>
    <xf numFmtId="0" fontId="115" fillId="0" borderId="127" xfId="0" applyFont="1" applyBorder="1" applyAlignment="1">
      <alignment horizontal="left" vertical="center" wrapText="1" indent="1" readingOrder="1"/>
    </xf>
    <xf numFmtId="0" fontId="120" fillId="0" borderId="138" xfId="0" applyFont="1" applyBorder="1" applyAlignment="1">
      <alignment horizontal="left" indent="3"/>
    </xf>
    <xf numFmtId="0" fontId="118" fillId="0" borderId="138" xfId="0" applyFont="1" applyBorder="1" applyAlignment="1">
      <alignment vertical="center" wrapText="1" readingOrder="1"/>
    </xf>
    <xf numFmtId="0" fontId="120" fillId="0" borderId="138" xfId="0" applyFont="1" applyBorder="1" applyAlignment="1">
      <alignment horizontal="left" indent="2"/>
    </xf>
    <xf numFmtId="0" fontId="120" fillId="0" borderId="139" xfId="0" applyFont="1" applyBorder="1"/>
    <xf numFmtId="0" fontId="115" fillId="0" borderId="128" xfId="0" applyFont="1" applyBorder="1" applyAlignment="1">
      <alignment vertical="center" wrapText="1" readingOrder="1"/>
    </xf>
    <xf numFmtId="0" fontId="120" fillId="0" borderId="139" xfId="0" applyFont="1" applyBorder="1" applyAlignment="1">
      <alignment horizontal="left" indent="2"/>
    </xf>
    <xf numFmtId="0" fontId="115" fillId="0" borderId="127" xfId="0" applyFont="1" applyBorder="1" applyAlignment="1">
      <alignment vertical="center" wrapText="1" readingOrder="1"/>
    </xf>
    <xf numFmtId="0" fontId="115" fillId="0" borderId="126" xfId="0" applyFont="1" applyBorder="1" applyAlignment="1">
      <alignment vertical="center" wrapText="1" readingOrder="1"/>
    </xf>
    <xf numFmtId="0" fontId="138" fillId="0" borderId="7" xfId="0" applyFont="1" applyBorder="1"/>
    <xf numFmtId="0" fontId="105" fillId="0" borderId="138" xfId="0" applyFont="1" applyBorder="1" applyAlignment="1">
      <alignment vertical="center" wrapText="1"/>
    </xf>
    <xf numFmtId="0" fontId="105" fillId="0" borderId="138" xfId="0" applyFont="1" applyBorder="1" applyAlignment="1">
      <alignment horizontal="left" vertical="center" wrapText="1"/>
    </xf>
    <xf numFmtId="0" fontId="105" fillId="0" borderId="138" xfId="0" applyFont="1" applyBorder="1" applyAlignment="1">
      <alignment horizontal="left" indent="2"/>
    </xf>
    <xf numFmtId="0" fontId="105" fillId="0" borderId="138" xfId="0" applyFont="1" applyBorder="1" applyAlignment="1">
      <alignment horizontal="left" vertical="center" indent="1"/>
    </xf>
    <xf numFmtId="0" fontId="105" fillId="0" borderId="138" xfId="0" applyFont="1" applyBorder="1" applyAlignment="1">
      <alignment horizontal="left" vertical="center" wrapText="1" indent="1"/>
    </xf>
    <xf numFmtId="0" fontId="105" fillId="0" borderId="138" xfId="0" applyFont="1" applyBorder="1" applyAlignment="1">
      <alignment horizontal="right" vertical="center"/>
    </xf>
    <xf numFmtId="49" fontId="105" fillId="0" borderId="138" xfId="0" applyNumberFormat="1" applyFont="1" applyBorder="1" applyAlignment="1">
      <alignment horizontal="right" vertical="center"/>
    </xf>
    <xf numFmtId="49" fontId="105" fillId="0" borderId="138" xfId="0" applyNumberFormat="1" applyFont="1" applyBorder="1" applyAlignment="1">
      <alignment vertical="top" wrapText="1"/>
    </xf>
    <xf numFmtId="49" fontId="105" fillId="0" borderId="138" xfId="0" applyNumberFormat="1" applyFont="1" applyBorder="1" applyAlignment="1">
      <alignment horizontal="left" vertical="top" wrapText="1" indent="2"/>
    </xf>
    <xf numFmtId="49" fontId="105" fillId="0" borderId="138" xfId="0" applyNumberFormat="1" applyFont="1" applyBorder="1" applyAlignment="1">
      <alignment horizontal="left" vertical="center" wrapText="1" indent="3"/>
    </xf>
    <xf numFmtId="49" fontId="105" fillId="0" borderId="138" xfId="0" applyNumberFormat="1" applyFont="1" applyBorder="1" applyAlignment="1">
      <alignment horizontal="left" wrapText="1" indent="2"/>
    </xf>
    <xf numFmtId="49" fontId="105" fillId="0" borderId="138" xfId="0" applyNumberFormat="1" applyFont="1" applyBorder="1" applyAlignment="1">
      <alignment horizontal="left" vertical="top" wrapText="1"/>
    </xf>
    <xf numFmtId="49" fontId="105" fillId="0" borderId="138" xfId="0" applyNumberFormat="1" applyFont="1" applyBorder="1" applyAlignment="1">
      <alignment horizontal="left" wrapText="1" indent="3"/>
    </xf>
    <xf numFmtId="49" fontId="105" fillId="0" borderId="138" xfId="0" applyNumberFormat="1" applyFont="1" applyBorder="1" applyAlignment="1">
      <alignment vertical="center"/>
    </xf>
    <xf numFmtId="49" fontId="105" fillId="0" borderId="138" xfId="0" applyNumberFormat="1" applyFont="1" applyBorder="1" applyAlignment="1">
      <alignment horizontal="left" indent="3"/>
    </xf>
    <xf numFmtId="0" fontId="105" fillId="0" borderId="138" xfId="0" applyFont="1" applyBorder="1" applyAlignment="1">
      <alignment horizontal="left" indent="1"/>
    </xf>
    <xf numFmtId="0" fontId="105" fillId="0" borderId="138" xfId="0" applyFont="1" applyBorder="1" applyAlignment="1">
      <alignment horizontal="left" wrapText="1" indent="2"/>
    </xf>
    <xf numFmtId="0" fontId="105" fillId="0" borderId="138" xfId="0" applyFont="1" applyBorder="1" applyAlignment="1">
      <alignment horizontal="left" vertical="top" wrapText="1"/>
    </xf>
    <xf numFmtId="0" fontId="104" fillId="0" borderId="7" xfId="0" applyFont="1" applyBorder="1" applyAlignment="1">
      <alignment wrapText="1"/>
    </xf>
    <xf numFmtId="0" fontId="105" fillId="0" borderId="138" xfId="0" applyFont="1" applyBorder="1" applyAlignment="1">
      <alignment horizontal="left" vertical="top" wrapText="1" indent="2"/>
    </xf>
    <xf numFmtId="0" fontId="105" fillId="0" borderId="138" xfId="0" applyFont="1" applyBorder="1" applyAlignment="1">
      <alignment horizontal="left" wrapText="1"/>
    </xf>
    <xf numFmtId="0" fontId="105" fillId="0" borderId="138" xfId="12672" applyFont="1" applyBorder="1" applyAlignment="1">
      <alignment horizontal="left" vertical="center" wrapText="1" indent="2"/>
    </xf>
    <xf numFmtId="0" fontId="105" fillId="0" borderId="138" xfId="0" applyFont="1" applyBorder="1" applyAlignment="1">
      <alignment wrapText="1"/>
    </xf>
    <xf numFmtId="0" fontId="105" fillId="0" borderId="138" xfId="0" applyFont="1" applyBorder="1"/>
    <xf numFmtId="0" fontId="105" fillId="0" borderId="138" xfId="12672" applyFont="1" applyBorder="1" applyAlignment="1">
      <alignment horizontal="left" vertical="center" wrapText="1"/>
    </xf>
    <xf numFmtId="0" fontId="104" fillId="0" borderId="138" xfId="0" applyFont="1" applyBorder="1" applyAlignment="1">
      <alignment wrapText="1"/>
    </xf>
    <xf numFmtId="0" fontId="105" fillId="0" borderId="140" xfId="0" applyFont="1" applyBorder="1" applyAlignment="1">
      <alignment horizontal="left" vertical="center" wrapText="1"/>
    </xf>
    <xf numFmtId="0" fontId="105" fillId="3" borderId="138" xfId="5" applyFont="1" applyFill="1" applyBorder="1" applyAlignment="1" applyProtection="1">
      <alignment horizontal="right" vertical="center"/>
      <protection locked="0"/>
    </xf>
    <xf numFmtId="2" fontId="105" fillId="3" borderId="138" xfId="5" applyNumberFormat="1" applyFont="1" applyFill="1" applyBorder="1" applyAlignment="1" applyProtection="1">
      <alignment horizontal="right" vertical="center"/>
      <protection locked="0"/>
    </xf>
    <xf numFmtId="0" fontId="105" fillId="0" borderId="138" xfId="0" applyFont="1" applyBorder="1" applyAlignment="1">
      <alignment vertical="center"/>
    </xf>
    <xf numFmtId="0" fontId="105" fillId="0" borderId="140" xfId="13" applyFont="1" applyBorder="1" applyAlignment="1" applyProtection="1">
      <alignment horizontal="left" vertical="top" wrapText="1"/>
      <protection locked="0"/>
    </xf>
    <xf numFmtId="0" fontId="105" fillId="0" borderId="141" xfId="13" applyFont="1" applyBorder="1" applyAlignment="1" applyProtection="1">
      <alignment horizontal="left" vertical="top" wrapText="1"/>
      <protection locked="0"/>
    </xf>
    <xf numFmtId="0" fontId="105" fillId="0" borderId="139" xfId="0" applyFont="1" applyBorder="1" applyAlignment="1">
      <alignment vertical="center" wrapText="1"/>
    </xf>
    <xf numFmtId="0" fontId="124" fillId="0" borderId="0" xfId="0" applyFont="1" applyAlignment="1">
      <alignment horizontal="left" indent="2"/>
    </xf>
    <xf numFmtId="0" fontId="115" fillId="0" borderId="0" xfId="0" applyFont="1" applyAlignment="1">
      <alignment horizontal="left" vertical="center" indent="1"/>
    </xf>
    <xf numFmtId="0" fontId="115" fillId="0" borderId="0" xfId="0" applyFont="1" applyAlignment="1">
      <alignment vertical="center" wrapText="1"/>
    </xf>
    <xf numFmtId="0" fontId="126" fillId="0" borderId="0" xfId="0" applyFont="1" applyAlignment="1">
      <alignment horizontal="left" vertical="center" wrapText="1" readingOrder="1"/>
    </xf>
    <xf numFmtId="0" fontId="124" fillId="0" borderId="0" xfId="0" applyFont="1" applyAlignment="1">
      <alignment horizontal="left" vertical="center" wrapText="1"/>
    </xf>
    <xf numFmtId="0" fontId="115" fillId="0" borderId="0" xfId="0" applyFont="1" applyAlignment="1">
      <alignment horizontal="left" vertical="center" wrapText="1"/>
    </xf>
    <xf numFmtId="0" fontId="105" fillId="0" borderId="139" xfId="0" applyFont="1" applyBorder="1" applyAlignment="1">
      <alignment horizontal="left" indent="2"/>
    </xf>
    <xf numFmtId="0" fontId="105" fillId="0" borderId="128" xfId="0" applyFont="1" applyBorder="1" applyAlignment="1">
      <alignment horizontal="left" vertical="center" wrapText="1" readingOrder="1"/>
    </xf>
    <xf numFmtId="0" fontId="105" fillId="0" borderId="138" xfId="0" applyFont="1" applyBorder="1" applyAlignment="1">
      <alignment horizontal="left" vertical="center" wrapText="1" readingOrder="1"/>
    </xf>
    <xf numFmtId="167" fontId="18" fillId="81" borderId="54" xfId="0" applyNumberFormat="1" applyFont="1" applyFill="1" applyBorder="1" applyAlignment="1">
      <alignment horizontal="center"/>
    </xf>
    <xf numFmtId="0" fontId="10" fillId="0" borderId="94" xfId="17" applyFill="1" applyBorder="1" applyAlignment="1" applyProtection="1">
      <alignment horizontal="left" vertical="top" wrapText="1"/>
    </xf>
    <xf numFmtId="0" fontId="105" fillId="0" borderId="0" xfId="0" applyFont="1" applyAlignment="1">
      <alignment wrapText="1"/>
    </xf>
    <xf numFmtId="0" fontId="141" fillId="0" borderId="0" xfId="0" applyFont="1"/>
    <xf numFmtId="0" fontId="142" fillId="0" borderId="0" xfId="0" applyFont="1" applyAlignment="1">
      <alignment vertical="top"/>
    </xf>
    <xf numFmtId="0" fontId="142" fillId="0" borderId="0" xfId="0" applyFont="1" applyAlignment="1">
      <alignment vertical="top" wrapText="1"/>
    </xf>
    <xf numFmtId="0" fontId="149" fillId="0" borderId="0" xfId="0" applyFont="1" applyAlignment="1">
      <alignment vertical="top" wrapText="1"/>
    </xf>
    <xf numFmtId="0" fontId="6" fillId="0" borderId="0" xfId="11" applyFont="1"/>
    <xf numFmtId="0" fontId="148" fillId="0" borderId="0" xfId="11" applyFont="1"/>
    <xf numFmtId="0" fontId="143" fillId="82" borderId="138" xfId="0" applyFont="1" applyFill="1" applyBorder="1" applyAlignment="1">
      <alignment horizontal="left" vertical="center"/>
    </xf>
    <xf numFmtId="49" fontId="144" fillId="0" borderId="138" xfId="0" applyNumberFormat="1" applyFont="1" applyBorder="1" applyAlignment="1">
      <alignment horizontal="left" vertical="center"/>
    </xf>
    <xf numFmtId="0" fontId="144" fillId="0" borderId="138" xfId="0" applyFont="1" applyBorder="1" applyAlignment="1">
      <alignment horizontal="left" vertical="center"/>
    </xf>
    <xf numFmtId="0" fontId="143" fillId="0" borderId="138" xfId="0" applyFont="1" applyBorder="1" applyAlignment="1">
      <alignment horizontal="left" vertical="center"/>
    </xf>
    <xf numFmtId="0" fontId="143" fillId="83" borderId="16" xfId="0" applyFont="1" applyFill="1" applyBorder="1" applyAlignment="1">
      <alignment horizontal="center" vertical="center"/>
    </xf>
    <xf numFmtId="0" fontId="143" fillId="83" borderId="17" xfId="0" applyFont="1" applyFill="1" applyBorder="1" applyAlignment="1">
      <alignment horizontal="center" vertical="center"/>
    </xf>
    <xf numFmtId="194" fontId="143" fillId="82" borderId="147" xfId="7" applyNumberFormat="1" applyFont="1" applyFill="1" applyBorder="1" applyAlignment="1">
      <alignment horizontal="left" vertical="center"/>
    </xf>
    <xf numFmtId="194" fontId="144" fillId="0" borderId="147" xfId="7" applyNumberFormat="1" applyFont="1" applyFill="1" applyBorder="1" applyAlignment="1">
      <alignment horizontal="left" vertical="center"/>
    </xf>
    <xf numFmtId="10" fontId="6" fillId="0" borderId="147" xfId="0" applyNumberFormat="1" applyFont="1" applyBorder="1" applyAlignment="1">
      <alignment horizontal="right" vertical="center" wrapText="1"/>
    </xf>
    <xf numFmtId="0" fontId="147" fillId="84" borderId="145" xfId="0" applyFont="1" applyFill="1" applyBorder="1" applyAlignment="1">
      <alignment horizontal="left" vertical="center"/>
    </xf>
    <xf numFmtId="10" fontId="148" fillId="86" borderId="144" xfId="0" applyNumberFormat="1" applyFont="1" applyFill="1" applyBorder="1" applyAlignment="1">
      <alignment horizontal="right" vertical="center" wrapText="1"/>
    </xf>
    <xf numFmtId="0" fontId="0" fillId="0" borderId="1" xfId="0" applyBorder="1"/>
    <xf numFmtId="0" fontId="4" fillId="85" borderId="138" xfId="0" applyFont="1" applyFill="1" applyBorder="1" applyAlignment="1">
      <alignment horizontal="center" vertical="center" wrapText="1"/>
    </xf>
    <xf numFmtId="0" fontId="5" fillId="86" borderId="138" xfId="0" applyFont="1" applyFill="1" applyBorder="1" applyAlignment="1">
      <alignment vertical="center" wrapText="1"/>
    </xf>
    <xf numFmtId="194" fontId="5" fillId="86" borderId="138" xfId="7" applyNumberFormat="1" applyFont="1" applyFill="1" applyBorder="1" applyAlignment="1">
      <alignment vertical="center"/>
    </xf>
    <xf numFmtId="194" fontId="5" fillId="86" borderId="147" xfId="7" applyNumberFormat="1" applyFont="1" applyFill="1" applyBorder="1" applyAlignment="1">
      <alignment vertical="center"/>
    </xf>
    <xf numFmtId="0" fontId="144" fillId="82" borderId="138" xfId="0" applyFont="1" applyFill="1" applyBorder="1" applyAlignment="1">
      <alignment horizontal="left" vertical="center" wrapText="1" indent="3"/>
    </xf>
    <xf numFmtId="194" fontId="5" fillId="35" borderId="138" xfId="7" applyNumberFormat="1" applyFont="1" applyFill="1" applyBorder="1" applyAlignment="1">
      <alignment vertical="center"/>
    </xf>
    <xf numFmtId="0" fontId="151" fillId="82" borderId="138" xfId="0" applyFont="1" applyFill="1" applyBorder="1" applyAlignment="1">
      <alignment horizontal="left" vertical="center" wrapText="1" indent="5"/>
    </xf>
    <xf numFmtId="0" fontId="152" fillId="83" borderId="138" xfId="0" applyFont="1" applyFill="1" applyBorder="1" applyAlignment="1">
      <alignment horizontal="left" vertical="center" wrapText="1" indent="1"/>
    </xf>
    <xf numFmtId="194" fontId="152" fillId="83" borderId="138" xfId="7" applyNumberFormat="1" applyFont="1" applyFill="1" applyBorder="1" applyAlignment="1">
      <alignment vertical="center"/>
    </xf>
    <xf numFmtId="194" fontId="152" fillId="84" borderId="147" xfId="7" applyNumberFormat="1" applyFont="1" applyFill="1" applyBorder="1" applyAlignment="1">
      <alignment vertical="center"/>
    </xf>
    <xf numFmtId="194" fontId="153" fillId="82" borderId="138" xfId="7" applyNumberFormat="1" applyFont="1" applyFill="1" applyBorder="1" applyAlignment="1">
      <alignment vertical="center"/>
    </xf>
    <xf numFmtId="194" fontId="153" fillId="84" borderId="147" xfId="7" applyNumberFormat="1" applyFont="1" applyFill="1" applyBorder="1" applyAlignment="1">
      <alignment vertical="center"/>
    </xf>
    <xf numFmtId="0" fontId="151" fillId="82" borderId="145" xfId="0" applyFont="1" applyFill="1" applyBorder="1" applyAlignment="1">
      <alignment horizontal="left" vertical="center" wrapText="1" indent="5"/>
    </xf>
    <xf numFmtId="194" fontId="153" fillId="82" borderId="145" xfId="7" applyNumberFormat="1" applyFont="1" applyFill="1" applyBorder="1" applyAlignment="1">
      <alignment vertical="center"/>
    </xf>
    <xf numFmtId="194" fontId="153" fillId="84" borderId="144" xfId="7" applyNumberFormat="1" applyFont="1" applyFill="1" applyBorder="1" applyAlignment="1">
      <alignment vertical="center"/>
    </xf>
    <xf numFmtId="0" fontId="6" fillId="0" borderId="138" xfId="13" applyFont="1" applyBorder="1" applyAlignment="1" applyProtection="1">
      <alignment wrapText="1"/>
      <protection locked="0"/>
    </xf>
    <xf numFmtId="0" fontId="6" fillId="0" borderId="3" xfId="13" applyFont="1" applyBorder="1" applyAlignment="1" applyProtection="1">
      <alignment vertical="center" wrapText="1"/>
      <protection locked="0"/>
    </xf>
    <xf numFmtId="49" fontId="154" fillId="0" borderId="94" xfId="0" applyNumberFormat="1" applyFont="1" applyBorder="1" applyAlignment="1">
      <alignment horizontal="right" vertical="center"/>
    </xf>
    <xf numFmtId="0" fontId="154" fillId="0" borderId="138" xfId="12672" applyFont="1" applyBorder="1" applyAlignment="1">
      <alignment horizontal="left" vertical="center" wrapText="1"/>
    </xf>
    <xf numFmtId="0" fontId="154" fillId="0" borderId="139" xfId="0" applyFont="1" applyBorder="1" applyAlignment="1">
      <alignment horizontal="left" vertical="top" wrapText="1"/>
    </xf>
    <xf numFmtId="0" fontId="154" fillId="0" borderId="138" xfId="0" applyFont="1" applyBorder="1" applyAlignment="1">
      <alignment vertical="center" wrapText="1"/>
    </xf>
    <xf numFmtId="0" fontId="131" fillId="0" borderId="138" xfId="21414" applyFont="1" applyBorder="1" applyAlignment="1">
      <alignment horizontal="left" vertical="center" wrapText="1"/>
    </xf>
    <xf numFmtId="193" fontId="8" fillId="0" borderId="138" xfId="0" applyNumberFormat="1" applyFont="1" applyBorder="1" applyAlignment="1">
      <alignment horizontal="right"/>
    </xf>
    <xf numFmtId="0" fontId="4" fillId="0" borderId="138" xfId="0" applyFont="1" applyBorder="1"/>
    <xf numFmtId="0" fontId="10" fillId="0" borderId="138" xfId="17" applyFill="1" applyBorder="1" applyAlignment="1" applyProtection="1"/>
    <xf numFmtId="0" fontId="138" fillId="3" borderId="138" xfId="5" applyFont="1" applyFill="1" applyBorder="1" applyProtection="1">
      <protection locked="0"/>
    </xf>
    <xf numFmtId="0" fontId="138" fillId="0" borderId="138" xfId="21416" applyFont="1" applyBorder="1" applyAlignment="1" applyProtection="1">
      <alignment horizontal="center" vertical="top" wrapText="1"/>
      <protection locked="0"/>
    </xf>
    <xf numFmtId="0" fontId="155" fillId="3" borderId="138" xfId="21416" applyFont="1" applyFill="1" applyBorder="1" applyAlignment="1" applyProtection="1">
      <alignment wrapText="1"/>
      <protection locked="0"/>
    </xf>
    <xf numFmtId="3" fontId="138" fillId="80" borderId="138" xfId="5" applyNumberFormat="1" applyFont="1" applyFill="1" applyBorder="1"/>
    <xf numFmtId="0" fontId="136" fillId="3" borderId="138" xfId="21416" applyFont="1" applyFill="1" applyBorder="1" applyAlignment="1" applyProtection="1">
      <alignment horizontal="right" wrapText="1"/>
      <protection locked="0"/>
    </xf>
    <xf numFmtId="3" fontId="138" fillId="0" borderId="138" xfId="5" applyNumberFormat="1" applyFont="1" applyBorder="1"/>
    <xf numFmtId="0" fontId="156" fillId="0" borderId="0" xfId="21415" applyFont="1" applyAlignment="1" applyProtection="1">
      <alignment vertical="center"/>
      <protection locked="0"/>
    </xf>
    <xf numFmtId="0" fontId="111" fillId="76" borderId="141" xfId="21412" applyFont="1" applyFill="1" applyBorder="1" applyAlignment="1" applyProtection="1">
      <alignment vertical="center" wrapText="1"/>
      <protection locked="0"/>
    </xf>
    <xf numFmtId="0" fontId="61" fillId="76" borderId="140" xfId="21412" applyFont="1" applyFill="1" applyBorder="1" applyProtection="1">
      <alignment vertical="center"/>
      <protection locked="0"/>
    </xf>
    <xf numFmtId="0" fontId="112" fillId="69" borderId="139" xfId="21412" applyFont="1" applyFill="1" applyBorder="1" applyAlignment="1" applyProtection="1">
      <alignment horizontal="center" vertical="center"/>
      <protection locked="0"/>
    </xf>
    <xf numFmtId="0" fontId="112" fillId="0" borderId="140" xfId="21412" applyFont="1" applyBorder="1" applyAlignment="1" applyProtection="1">
      <alignment horizontal="left" vertical="center" wrapText="1"/>
      <protection locked="0"/>
    </xf>
    <xf numFmtId="165" fontId="112" fillId="0" borderId="138" xfId="948" applyNumberFormat="1" applyFont="1" applyFill="1" applyBorder="1" applyAlignment="1" applyProtection="1">
      <alignment horizontal="right" vertical="center"/>
      <protection locked="0"/>
    </xf>
    <xf numFmtId="0" fontId="111" fillId="77" borderId="138" xfId="21412" applyFont="1" applyFill="1" applyBorder="1" applyAlignment="1" applyProtection="1">
      <alignment horizontal="center" vertical="center"/>
      <protection locked="0"/>
    </xf>
    <xf numFmtId="0" fontId="111" fillId="77" borderId="140" xfId="21412" applyFont="1" applyFill="1" applyBorder="1" applyAlignment="1" applyProtection="1">
      <alignment vertical="top" wrapText="1"/>
      <protection locked="0"/>
    </xf>
    <xf numFmtId="165" fontId="112" fillId="77" borderId="138" xfId="948" applyNumberFormat="1" applyFont="1" applyFill="1" applyBorder="1" applyAlignment="1" applyProtection="1">
      <alignment horizontal="right" vertical="center"/>
    </xf>
    <xf numFmtId="0" fontId="111" fillId="76" borderId="141" xfId="21412" applyFont="1" applyFill="1" applyBorder="1" applyProtection="1">
      <alignment vertical="center"/>
      <protection locked="0"/>
    </xf>
    <xf numFmtId="165" fontId="61" fillId="76" borderId="140" xfId="948" applyNumberFormat="1" applyFont="1" applyFill="1" applyBorder="1" applyAlignment="1" applyProtection="1">
      <alignment horizontal="right" vertical="center"/>
      <protection locked="0"/>
    </xf>
    <xf numFmtId="0" fontId="113" fillId="69" borderId="139" xfId="21412" applyFont="1" applyFill="1" applyBorder="1" applyAlignment="1" applyProtection="1">
      <alignment horizontal="center" vertical="center"/>
      <protection locked="0"/>
    </xf>
    <xf numFmtId="0" fontId="112" fillId="69" borderId="138" xfId="21412" applyFont="1" applyFill="1" applyBorder="1" applyAlignment="1" applyProtection="1">
      <alignment vertical="center" wrapText="1"/>
      <protection locked="0"/>
    </xf>
    <xf numFmtId="0" fontId="112" fillId="69" borderId="138" xfId="21412" applyFont="1" applyFill="1" applyBorder="1" applyAlignment="1" applyProtection="1">
      <alignment horizontal="left" vertical="center" wrapText="1"/>
      <protection locked="0"/>
    </xf>
    <xf numFmtId="0" fontId="112" fillId="0" borderId="138" xfId="21412" applyFont="1" applyBorder="1" applyAlignment="1" applyProtection="1">
      <alignment horizontal="left" vertical="center" wrapText="1"/>
      <protection locked="0"/>
    </xf>
    <xf numFmtId="0" fontId="113" fillId="3" borderId="139" xfId="21412" applyFont="1" applyFill="1" applyBorder="1" applyAlignment="1" applyProtection="1">
      <alignment horizontal="center" vertical="center"/>
      <protection locked="0"/>
    </xf>
    <xf numFmtId="0" fontId="112" fillId="0" borderId="138" xfId="21412" applyFont="1" applyBorder="1" applyAlignment="1" applyProtection="1">
      <alignment vertical="center" wrapText="1"/>
      <protection locked="0"/>
    </xf>
    <xf numFmtId="0" fontId="114" fillId="77" borderId="138" xfId="21412" applyFont="1" applyFill="1" applyBorder="1" applyAlignment="1" applyProtection="1">
      <alignment horizontal="center" vertical="center"/>
      <protection locked="0"/>
    </xf>
    <xf numFmtId="0" fontId="111" fillId="77" borderId="140" xfId="21412" applyFont="1" applyFill="1" applyBorder="1" applyAlignment="1" applyProtection="1">
      <alignment vertical="center" wrapText="1"/>
      <protection locked="0"/>
    </xf>
    <xf numFmtId="165" fontId="111" fillId="76" borderId="140" xfId="948" applyNumberFormat="1" applyFont="1" applyFill="1" applyBorder="1" applyAlignment="1" applyProtection="1">
      <alignment horizontal="right" vertical="center"/>
      <protection locked="0"/>
    </xf>
    <xf numFmtId="0" fontId="112" fillId="69" borderId="140" xfId="21412" applyFont="1" applyFill="1" applyBorder="1" applyAlignment="1" applyProtection="1">
      <alignment vertical="center" wrapText="1"/>
      <protection locked="0"/>
    </xf>
    <xf numFmtId="0" fontId="61" fillId="76" borderId="141" xfId="21412" applyFont="1" applyFill="1" applyBorder="1" applyProtection="1">
      <alignment vertical="center"/>
      <protection locked="0"/>
    </xf>
    <xf numFmtId="165" fontId="112" fillId="3" borderId="138" xfId="948" applyNumberFormat="1" applyFont="1" applyFill="1" applyBorder="1" applyAlignment="1" applyProtection="1">
      <alignment horizontal="right" vertical="center"/>
      <protection locked="0"/>
    </xf>
    <xf numFmtId="0" fontId="113" fillId="3" borderId="138" xfId="21412" applyFont="1" applyFill="1" applyBorder="1" applyAlignment="1" applyProtection="1">
      <alignment horizontal="center" vertical="center"/>
      <protection locked="0"/>
    </xf>
    <xf numFmtId="0" fontId="112" fillId="69" borderId="140" xfId="21412" applyFont="1" applyFill="1" applyBorder="1" applyAlignment="1" applyProtection="1">
      <alignment horizontal="left" vertical="center" wrapText="1"/>
      <protection locked="0"/>
    </xf>
    <xf numFmtId="0" fontId="155" fillId="3" borderId="0" xfId="21415" applyFont="1" applyFill="1" applyAlignment="1" applyProtection="1">
      <alignment vertical="center"/>
      <protection locked="0"/>
    </xf>
    <xf numFmtId="0" fontId="138" fillId="3" borderId="138" xfId="5" applyFont="1" applyFill="1" applyBorder="1" applyAlignment="1" applyProtection="1">
      <alignment vertical="center" wrapText="1"/>
      <protection locked="0"/>
    </xf>
    <xf numFmtId="0" fontId="138" fillId="0" borderId="138" xfId="21416" applyFont="1" applyBorder="1" applyAlignment="1" applyProtection="1">
      <alignment horizontal="center" vertical="center" wrapText="1"/>
      <protection locked="0"/>
    </xf>
    <xf numFmtId="3" fontId="138" fillId="3" borderId="138" xfId="1" applyNumberFormat="1" applyFont="1" applyFill="1" applyBorder="1" applyAlignment="1" applyProtection="1">
      <alignment horizontal="center" vertical="center" wrapText="1"/>
      <protection locked="0"/>
    </xf>
    <xf numFmtId="9" fontId="138" fillId="3" borderId="138" xfId="15" applyNumberFormat="1" applyFont="1" applyFill="1" applyBorder="1" applyAlignment="1" applyProtection="1">
      <alignment horizontal="center" vertical="center" wrapText="1"/>
      <protection locked="0"/>
    </xf>
    <xf numFmtId="0" fontId="138" fillId="3" borderId="138" xfId="21416" applyFont="1" applyFill="1" applyBorder="1" applyAlignment="1" applyProtection="1">
      <alignment horizontal="center" vertical="center" wrapText="1"/>
      <protection locked="0"/>
    </xf>
    <xf numFmtId="0" fontId="155" fillId="3" borderId="138" xfId="21416" applyFont="1" applyFill="1" applyBorder="1" applyProtection="1">
      <protection locked="0"/>
    </xf>
    <xf numFmtId="0" fontId="158" fillId="3" borderId="138" xfId="21416" applyFont="1" applyFill="1" applyBorder="1" applyAlignment="1" applyProtection="1">
      <alignment horizontal="right"/>
      <protection locked="0"/>
    </xf>
    <xf numFmtId="195" fontId="138" fillId="80" borderId="138" xfId="5" applyNumberFormat="1" applyFont="1" applyFill="1" applyBorder="1" applyProtection="1">
      <protection locked="0"/>
    </xf>
    <xf numFmtId="165" fontId="138" fillId="80" borderId="138" xfId="1" applyNumberFormat="1" applyFont="1" applyFill="1" applyBorder="1" applyAlignment="1" applyProtection="1"/>
    <xf numFmtId="0" fontId="138" fillId="3" borderId="138" xfId="21416" applyFont="1" applyFill="1" applyBorder="1" applyAlignment="1" applyProtection="1">
      <alignment horizontal="left" vertical="center"/>
      <protection locked="0"/>
    </xf>
    <xf numFmtId="3" fontId="138" fillId="3" borderId="138" xfId="5" applyNumberFormat="1" applyFont="1" applyFill="1" applyBorder="1" applyProtection="1">
      <protection locked="0"/>
    </xf>
    <xf numFmtId="0" fontId="136" fillId="3" borderId="138" xfId="21416" applyFont="1" applyFill="1" applyBorder="1" applyAlignment="1" applyProtection="1">
      <alignment horizontal="right"/>
      <protection locked="0"/>
    </xf>
    <xf numFmtId="0" fontId="138" fillId="0" borderId="138" xfId="21416" applyFont="1" applyBorder="1" applyAlignment="1" applyProtection="1">
      <alignment horizontal="left" vertical="center"/>
      <protection locked="0"/>
    </xf>
    <xf numFmtId="0" fontId="155" fillId="3" borderId="138" xfId="16" applyFont="1" applyFill="1" applyBorder="1" applyProtection="1">
      <protection locked="0"/>
    </xf>
    <xf numFmtId="3" fontId="155" fillId="76" borderId="138" xfId="16" applyNumberFormat="1" applyFont="1" applyFill="1" applyBorder="1"/>
    <xf numFmtId="165" fontId="0" fillId="0" borderId="0" xfId="7" applyNumberFormat="1" applyFont="1"/>
    <xf numFmtId="9" fontId="4" fillId="0" borderId="20" xfId="0" applyNumberFormat="1" applyFont="1" applyBorder="1"/>
    <xf numFmtId="0" fontId="8" fillId="0" borderId="101" xfId="0" applyFont="1" applyBorder="1" applyAlignment="1">
      <alignment vertical="center"/>
    </xf>
    <xf numFmtId="0" fontId="12" fillId="0" borderId="137" xfId="0" applyFont="1" applyBorder="1" applyAlignment="1">
      <alignment wrapText="1"/>
    </xf>
    <xf numFmtId="3" fontId="4" fillId="0" borderId="0" xfId="0" applyNumberFormat="1" applyFont="1"/>
    <xf numFmtId="167" fontId="0" fillId="0" borderId="0" xfId="0" applyNumberFormat="1"/>
    <xf numFmtId="0" fontId="21" fillId="0" borderId="138" xfId="0" applyFont="1" applyBorder="1" applyAlignment="1">
      <alignment horizontal="center"/>
    </xf>
    <xf numFmtId="0" fontId="21" fillId="0" borderId="138" xfId="0" applyFont="1" applyBorder="1" applyAlignment="1">
      <alignment horizontal="center" vertical="center"/>
    </xf>
    <xf numFmtId="9" fontId="112" fillId="77" borderId="138" xfId="948" applyNumberFormat="1" applyFont="1" applyFill="1" applyBorder="1" applyAlignment="1" applyProtection="1">
      <alignment horizontal="right" vertical="center"/>
    </xf>
    <xf numFmtId="165" fontId="4" fillId="0" borderId="147" xfId="7" applyNumberFormat="1" applyFont="1" applyBorder="1"/>
    <xf numFmtId="165" fontId="4" fillId="0" borderId="138" xfId="7" applyNumberFormat="1" applyFont="1" applyBorder="1"/>
    <xf numFmtId="9" fontId="25" fillId="36" borderId="88" xfId="20" applyNumberFormat="1" applyBorder="1"/>
    <xf numFmtId="0" fontId="101" fillId="0" borderId="138" xfId="0" applyFont="1" applyBorder="1"/>
    <xf numFmtId="0" fontId="10" fillId="0" borderId="138" xfId="17" applyBorder="1" applyAlignment="1" applyProtection="1"/>
    <xf numFmtId="165" fontId="6" fillId="0" borderId="0" xfId="7" applyNumberFormat="1" applyFont="1"/>
    <xf numFmtId="165" fontId="4" fillId="0" borderId="0" xfId="7" applyNumberFormat="1" applyFont="1"/>
    <xf numFmtId="165" fontId="0" fillId="0" borderId="138" xfId="7" applyNumberFormat="1" applyFont="1" applyBorder="1"/>
    <xf numFmtId="166" fontId="4" fillId="0" borderId="106" xfId="0" applyNumberFormat="1" applyFont="1" applyBorder="1"/>
    <xf numFmtId="166" fontId="4" fillId="0" borderId="102" xfId="0" applyNumberFormat="1" applyFont="1" applyBorder="1"/>
    <xf numFmtId="3" fontId="0" fillId="0" borderId="0" xfId="0" applyNumberFormat="1"/>
    <xf numFmtId="165" fontId="119" fillId="0" borderId="132" xfId="7" applyNumberFormat="1" applyFont="1" applyBorder="1"/>
    <xf numFmtId="165" fontId="4" fillId="0" borderId="25" xfId="7" applyNumberFormat="1" applyFont="1" applyBorder="1" applyAlignment="1">
      <alignment vertical="center"/>
    </xf>
    <xf numFmtId="165" fontId="4" fillId="0" borderId="17" xfId="7" applyNumberFormat="1" applyFont="1" applyBorder="1" applyAlignment="1">
      <alignment vertical="center"/>
    </xf>
    <xf numFmtId="165" fontId="4" fillId="0" borderId="102" xfId="7" applyNumberFormat="1" applyFont="1" applyBorder="1" applyAlignment="1">
      <alignment vertical="center"/>
    </xf>
    <xf numFmtId="166" fontId="4" fillId="0" borderId="89" xfId="20961" applyNumberFormat="1" applyFont="1" applyBorder="1" applyAlignment="1">
      <alignment vertical="center"/>
    </xf>
    <xf numFmtId="0" fontId="4" fillId="0" borderId="7" xfId="0" applyFont="1" applyBorder="1" applyAlignment="1">
      <alignment horizontal="center" vertical="center" wrapText="1"/>
    </xf>
    <xf numFmtId="0" fontId="4" fillId="0" borderId="60" xfId="0" applyFont="1" applyBorder="1" applyAlignment="1">
      <alignment horizontal="center" vertical="center" wrapText="1"/>
    </xf>
    <xf numFmtId="0" fontId="0" fillId="0" borderId="162" xfId="0" applyBorder="1"/>
    <xf numFmtId="0" fontId="4" fillId="0" borderId="138" xfId="0" applyFont="1" applyBorder="1" applyAlignment="1">
      <alignment horizontal="center" vertical="center" wrapText="1"/>
    </xf>
    <xf numFmtId="0" fontId="0" fillId="0" borderId="162" xfId="0" applyBorder="1" applyAlignment="1">
      <alignment horizontal="center" vertical="center"/>
    </xf>
    <xf numFmtId="0" fontId="129" fillId="3" borderId="138" xfId="21414" applyFont="1" applyFill="1" applyBorder="1" applyAlignment="1">
      <alignment horizontal="left" vertical="center" wrapText="1"/>
    </xf>
    <xf numFmtId="43" fontId="4" fillId="0" borderId="138" xfId="7" applyFont="1" applyFill="1" applyBorder="1" applyAlignment="1">
      <alignment vertical="center" wrapText="1"/>
    </xf>
    <xf numFmtId="43" fontId="4" fillId="0" borderId="147" xfId="7" applyFont="1" applyFill="1" applyBorder="1" applyAlignment="1">
      <alignment vertical="center" wrapText="1"/>
    </xf>
    <xf numFmtId="0" fontId="0" fillId="0" borderId="148" xfId="0" applyBorder="1" applyAlignment="1">
      <alignment horizontal="center" vertical="center"/>
    </xf>
    <xf numFmtId="0" fontId="130" fillId="0" borderId="138" xfId="21414" applyFont="1" applyBorder="1" applyAlignment="1">
      <alignment horizontal="left" vertical="center" wrapText="1" indent="1"/>
    </xf>
    <xf numFmtId="0" fontId="131" fillId="3" borderId="138" xfId="21414" applyFont="1" applyFill="1" applyBorder="1" applyAlignment="1">
      <alignment horizontal="left" vertical="center" wrapText="1"/>
    </xf>
    <xf numFmtId="0" fontId="130" fillId="3" borderId="138" xfId="21414" applyFont="1" applyFill="1" applyBorder="1" applyAlignment="1">
      <alignment horizontal="left" vertical="center" wrapText="1" indent="1"/>
    </xf>
    <xf numFmtId="43" fontId="4" fillId="0" borderId="138" xfId="7" applyFont="1" applyBorder="1" applyAlignment="1">
      <alignment vertical="center"/>
    </xf>
    <xf numFmtId="43" fontId="4" fillId="0" borderId="147" xfId="7" applyFont="1" applyBorder="1" applyAlignment="1">
      <alignment vertical="center"/>
    </xf>
    <xf numFmtId="0" fontId="132" fillId="0" borderId="138" xfId="21414" applyFont="1" applyBorder="1" applyAlignment="1">
      <alignment horizontal="left" vertical="center" wrapText="1" indent="1"/>
    </xf>
    <xf numFmtId="0" fontId="0" fillId="0" borderId="163" xfId="0" applyBorder="1"/>
    <xf numFmtId="0" fontId="5" fillId="35" borderId="164" xfId="0" applyFont="1" applyFill="1" applyBorder="1" applyAlignment="1">
      <alignment vertical="center" wrapText="1"/>
    </xf>
    <xf numFmtId="167" fontId="5" fillId="35" borderId="165" xfId="0" applyNumberFormat="1" applyFont="1" applyFill="1" applyBorder="1" applyAlignment="1">
      <alignment horizontal="center" vertical="center"/>
    </xf>
    <xf numFmtId="167" fontId="5" fillId="35" borderId="166" xfId="0" applyNumberFormat="1" applyFont="1" applyFill="1" applyBorder="1" applyAlignment="1">
      <alignment horizontal="center" vertical="center"/>
    </xf>
    <xf numFmtId="165" fontId="6" fillId="0" borderId="23" xfId="7" applyNumberFormat="1" applyFont="1" applyFill="1" applyBorder="1" applyAlignment="1" applyProtection="1">
      <alignment horizontal="right" vertical="center"/>
    </xf>
    <xf numFmtId="165" fontId="4" fillId="0" borderId="106" xfId="7" applyNumberFormat="1" applyFont="1" applyBorder="1" applyAlignment="1">
      <alignment horizontal="right" vertical="center"/>
    </xf>
    <xf numFmtId="165" fontId="108" fillId="0" borderId="106" xfId="7" applyNumberFormat="1" applyFont="1" applyBorder="1" applyAlignment="1">
      <alignment horizontal="right" vertical="center"/>
    </xf>
    <xf numFmtId="165" fontId="4" fillId="0" borderId="3" xfId="7" applyNumberFormat="1" applyFont="1" applyBorder="1"/>
    <xf numFmtId="165" fontId="4" fillId="0" borderId="8" xfId="7" applyNumberFormat="1" applyFont="1" applyBorder="1"/>
    <xf numFmtId="165" fontId="4" fillId="0" borderId="19" xfId="7" applyNumberFormat="1" applyFont="1" applyBorder="1"/>
    <xf numFmtId="165" fontId="4" fillId="35" borderId="22" xfId="7" applyNumberFormat="1" applyFont="1" applyFill="1" applyBorder="1"/>
    <xf numFmtId="165" fontId="4" fillId="35" borderId="23" xfId="7" applyNumberFormat="1" applyFont="1" applyFill="1" applyBorder="1"/>
    <xf numFmtId="0" fontId="4" fillId="0" borderId="147" xfId="0" applyFont="1" applyBorder="1" applyAlignment="1">
      <alignment horizontal="center" vertical="center" wrapText="1"/>
    </xf>
    <xf numFmtId="0" fontId="4" fillId="3" borderId="157" xfId="0" applyFont="1" applyFill="1" applyBorder="1" applyAlignment="1">
      <alignment vertical="center"/>
    </xf>
    <xf numFmtId="0" fontId="4" fillId="0" borderId="138" xfId="0" applyFont="1" applyBorder="1" applyAlignment="1">
      <alignment vertical="center"/>
    </xf>
    <xf numFmtId="0" fontId="4" fillId="0" borderId="141" xfId="0" applyFont="1" applyBorder="1" applyAlignment="1">
      <alignment vertical="center"/>
    </xf>
    <xf numFmtId="0" fontId="4" fillId="0" borderId="147" xfId="0" applyFont="1" applyBorder="1" applyAlignment="1">
      <alignment vertical="center"/>
    </xf>
    <xf numFmtId="169" fontId="25" fillId="36" borderId="167" xfId="20" applyBorder="1"/>
    <xf numFmtId="169" fontId="25" fillId="36" borderId="168" xfId="20" applyBorder="1"/>
    <xf numFmtId="169" fontId="25" fillId="36" borderId="164" xfId="20" applyBorder="1"/>
    <xf numFmtId="165" fontId="4" fillId="0" borderId="137" xfId="7" applyNumberFormat="1" applyFont="1" applyBorder="1" applyAlignment="1">
      <alignment vertical="center"/>
    </xf>
    <xf numFmtId="165" fontId="4" fillId="0" borderId="138" xfId="7" applyNumberFormat="1" applyFont="1" applyBorder="1" applyAlignment="1">
      <alignment vertical="center"/>
    </xf>
    <xf numFmtId="165" fontId="4" fillId="0" borderId="147" xfId="7" applyNumberFormat="1" applyFont="1" applyBorder="1" applyAlignment="1">
      <alignment vertical="center"/>
    </xf>
    <xf numFmtId="165" fontId="4" fillId="0" borderId="165" xfId="7" applyNumberFormat="1" applyFont="1" applyBorder="1" applyAlignment="1">
      <alignment vertical="center"/>
    </xf>
    <xf numFmtId="165" fontId="4" fillId="0" borderId="166" xfId="7" applyNumberFormat="1" applyFont="1" applyBorder="1" applyAlignment="1">
      <alignment vertical="center"/>
    </xf>
    <xf numFmtId="0" fontId="13" fillId="3" borderId="136" xfId="0" applyFont="1" applyFill="1" applyBorder="1" applyAlignment="1">
      <alignment horizontal="left"/>
    </xf>
    <xf numFmtId="0" fontId="5" fillId="0" borderId="141" xfId="0" applyFont="1" applyBorder="1" applyAlignment="1">
      <alignment vertical="center"/>
    </xf>
    <xf numFmtId="0" fontId="5" fillId="0" borderId="167" xfId="0" applyFont="1" applyBorder="1" applyAlignment="1">
      <alignment vertical="center"/>
    </xf>
    <xf numFmtId="0" fontId="4" fillId="3" borderId="138" xfId="0" applyFont="1" applyFill="1" applyBorder="1" applyAlignment="1">
      <alignment vertical="center"/>
    </xf>
    <xf numFmtId="169" fontId="25" fillId="36" borderId="138" xfId="20" applyBorder="1"/>
    <xf numFmtId="0" fontId="4" fillId="3" borderId="147" xfId="0" applyFont="1" applyFill="1" applyBorder="1" applyAlignment="1">
      <alignment vertical="center"/>
    </xf>
    <xf numFmtId="0" fontId="4" fillId="0" borderId="148" xfId="0" applyFont="1" applyBorder="1" applyAlignment="1">
      <alignment horizontal="center" vertical="center"/>
    </xf>
    <xf numFmtId="0" fontId="4" fillId="0" borderId="163" xfId="0" applyFont="1" applyBorder="1" applyAlignment="1">
      <alignment horizontal="center" vertical="center"/>
    </xf>
    <xf numFmtId="0" fontId="4" fillId="0" borderId="169" xfId="0" applyFont="1" applyBorder="1" applyAlignment="1">
      <alignment vertical="center"/>
    </xf>
    <xf numFmtId="9" fontId="5" fillId="0" borderId="23" xfId="20961" applyFont="1" applyBorder="1"/>
    <xf numFmtId="165" fontId="115" fillId="0" borderId="138" xfId="7" applyNumberFormat="1" applyFont="1" applyBorder="1"/>
    <xf numFmtId="165" fontId="115" fillId="35" borderId="138" xfId="7" applyNumberFormat="1" applyFont="1" applyFill="1" applyBorder="1"/>
    <xf numFmtId="165" fontId="118" fillId="0" borderId="138" xfId="7" applyNumberFormat="1" applyFont="1" applyBorder="1"/>
    <xf numFmtId="0" fontId="8" fillId="0" borderId="148" xfId="0" applyFont="1" applyBorder="1" applyAlignment="1">
      <alignment horizontal="center" vertical="center" wrapText="1"/>
    </xf>
    <xf numFmtId="0" fontId="14" fillId="0" borderId="138" xfId="0" applyFont="1" applyBorder="1" applyAlignment="1">
      <alignment horizontal="center" vertical="center" wrapText="1"/>
    </xf>
    <xf numFmtId="169" fontId="25" fillId="36" borderId="0" xfId="20"/>
    <xf numFmtId="0" fontId="15" fillId="0" borderId="138" xfId="0" applyFont="1" applyBorder="1" applyAlignment="1">
      <alignment horizontal="left" vertical="center" wrapText="1"/>
    </xf>
    <xf numFmtId="0" fontId="8" fillId="0" borderId="148" xfId="0" applyFont="1" applyBorder="1" applyAlignment="1">
      <alignment horizontal="right" vertical="center" wrapText="1"/>
    </xf>
    <xf numFmtId="0" fontId="6" fillId="0" borderId="138" xfId="0" applyFont="1" applyBorder="1" applyAlignment="1">
      <alignment vertical="center" wrapText="1"/>
    </xf>
    <xf numFmtId="193" fontId="6" fillId="0" borderId="138" xfId="0" applyNumberFormat="1" applyFont="1" applyBorder="1" applyAlignment="1" applyProtection="1">
      <alignment vertical="center" wrapText="1"/>
      <protection locked="0"/>
    </xf>
    <xf numFmtId="193" fontId="4" fillId="0" borderId="138" xfId="0" applyNumberFormat="1" applyFont="1" applyBorder="1" applyAlignment="1" applyProtection="1">
      <alignment vertical="center" wrapText="1"/>
      <protection locked="0"/>
    </xf>
    <xf numFmtId="193" fontId="4" fillId="0" borderId="147" xfId="0" applyNumberFormat="1" applyFont="1" applyBorder="1" applyAlignment="1" applyProtection="1">
      <alignment vertical="center" wrapText="1"/>
      <protection locked="0"/>
    </xf>
    <xf numFmtId="193" fontId="6" fillId="0" borderId="138" xfId="0" applyNumberFormat="1" applyFont="1" applyBorder="1" applyAlignment="1" applyProtection="1">
      <alignment horizontal="right" vertical="center" wrapText="1"/>
      <protection locked="0"/>
    </xf>
    <xf numFmtId="10" fontId="4" fillId="0" borderId="138" xfId="20961" applyNumberFormat="1" applyFont="1" applyFill="1" applyBorder="1" applyAlignment="1" applyProtection="1">
      <alignment horizontal="right" vertical="center" wrapText="1"/>
      <protection locked="0"/>
    </xf>
    <xf numFmtId="10" fontId="4" fillId="0" borderId="138" xfId="20961" applyNumberFormat="1" applyFont="1" applyBorder="1" applyAlignment="1" applyProtection="1">
      <alignment vertical="center" wrapText="1"/>
      <protection locked="0"/>
    </xf>
    <xf numFmtId="10" fontId="4" fillId="0" borderId="147" xfId="20961" applyNumberFormat="1" applyFont="1" applyBorder="1" applyAlignment="1" applyProtection="1">
      <alignment vertical="center" wrapText="1"/>
      <protection locked="0"/>
    </xf>
    <xf numFmtId="0" fontId="8" fillId="2" borderId="148" xfId="0" applyFont="1" applyFill="1" applyBorder="1" applyAlignment="1">
      <alignment horizontal="right" vertical="center"/>
    </xf>
    <xf numFmtId="0" fontId="8" fillId="2" borderId="138" xfId="0" applyFont="1" applyFill="1" applyBorder="1" applyAlignment="1">
      <alignment vertical="center"/>
    </xf>
    <xf numFmtId="9" fontId="8" fillId="2" borderId="138" xfId="20961" applyFont="1" applyFill="1" applyBorder="1" applyAlignment="1" applyProtection="1">
      <alignment vertical="center"/>
      <protection locked="0"/>
    </xf>
    <xf numFmtId="9" fontId="16" fillId="2" borderId="138" xfId="0" applyNumberFormat="1" applyFont="1" applyFill="1" applyBorder="1" applyAlignment="1" applyProtection="1">
      <alignment vertical="center"/>
      <protection locked="0"/>
    </xf>
    <xf numFmtId="9" fontId="16" fillId="2" borderId="147" xfId="0" applyNumberFormat="1" applyFont="1" applyFill="1" applyBorder="1" applyAlignment="1" applyProtection="1">
      <alignment vertical="center"/>
      <protection locked="0"/>
    </xf>
    <xf numFmtId="9" fontId="25" fillId="36" borderId="0" xfId="20" applyNumberFormat="1"/>
    <xf numFmtId="9" fontId="8" fillId="2" borderId="138" xfId="0" applyNumberFormat="1" applyFont="1" applyFill="1" applyBorder="1" applyAlignment="1" applyProtection="1">
      <alignment vertical="center"/>
      <protection locked="0"/>
    </xf>
    <xf numFmtId="193" fontId="8" fillId="2" borderId="138" xfId="0" applyNumberFormat="1" applyFont="1" applyFill="1" applyBorder="1" applyAlignment="1" applyProtection="1">
      <alignment vertical="center"/>
      <protection locked="0"/>
    </xf>
    <xf numFmtId="10" fontId="8" fillId="2" borderId="138" xfId="0" applyNumberFormat="1" applyFont="1" applyFill="1" applyBorder="1" applyAlignment="1" applyProtection="1">
      <alignment vertical="center"/>
      <protection locked="0"/>
    </xf>
    <xf numFmtId="0" fontId="14" fillId="0" borderId="148" xfId="0" applyFont="1" applyBorder="1" applyAlignment="1">
      <alignment horizontal="center" vertical="center" wrapText="1"/>
    </xf>
    <xf numFmtId="0" fontId="8" fillId="0" borderId="138" xfId="0" applyFont="1" applyBorder="1" applyAlignment="1">
      <alignment horizontal="left" vertical="center" wrapText="1"/>
    </xf>
    <xf numFmtId="196" fontId="16" fillId="2" borderId="138" xfId="7" applyNumberFormat="1" applyFont="1" applyFill="1" applyBorder="1" applyAlignment="1" applyProtection="1">
      <alignment vertical="center"/>
      <protection locked="0"/>
    </xf>
    <xf numFmtId="196" fontId="16" fillId="2" borderId="147" xfId="7" applyNumberFormat="1" applyFont="1" applyFill="1" applyBorder="1" applyAlignment="1" applyProtection="1">
      <alignment vertical="center"/>
      <protection locked="0"/>
    </xf>
    <xf numFmtId="0" fontId="8" fillId="2" borderId="139" xfId="0" applyFont="1" applyFill="1" applyBorder="1" applyAlignment="1">
      <alignment vertical="center"/>
    </xf>
    <xf numFmtId="9" fontId="16" fillId="2" borderId="138" xfId="20961" applyFont="1" applyFill="1" applyBorder="1" applyAlignment="1" applyProtection="1">
      <alignment vertical="center"/>
      <protection locked="0"/>
    </xf>
    <xf numFmtId="193" fontId="8" fillId="2" borderId="139" xfId="0" applyNumberFormat="1" applyFont="1" applyFill="1" applyBorder="1" applyAlignment="1" applyProtection="1">
      <alignment vertical="center"/>
      <protection locked="0"/>
    </xf>
    <xf numFmtId="0" fontId="8" fillId="2" borderId="163" xfId="0" applyFont="1" applyFill="1" applyBorder="1" applyAlignment="1">
      <alignment horizontal="right" vertical="center"/>
    </xf>
    <xf numFmtId="193" fontId="8" fillId="2" borderId="165" xfId="0" applyNumberFormat="1" applyFont="1" applyFill="1" applyBorder="1" applyAlignment="1" applyProtection="1">
      <alignment vertical="center"/>
      <protection locked="0"/>
    </xf>
    <xf numFmtId="9" fontId="8" fillId="2" borderId="165" xfId="20961" applyFont="1" applyFill="1" applyBorder="1" applyAlignment="1" applyProtection="1">
      <alignment vertical="center"/>
      <protection locked="0"/>
    </xf>
    <xf numFmtId="9" fontId="16" fillId="2" borderId="165" xfId="20961" applyFont="1" applyFill="1" applyBorder="1" applyAlignment="1" applyProtection="1">
      <alignment vertical="center"/>
      <protection locked="0"/>
    </xf>
    <xf numFmtId="9" fontId="16" fillId="2" borderId="166" xfId="20961" applyFont="1" applyFill="1" applyBorder="1" applyAlignment="1" applyProtection="1">
      <alignment vertical="center"/>
      <protection locked="0"/>
    </xf>
    <xf numFmtId="0" fontId="103" fillId="0" borderId="62" xfId="0" applyFont="1" applyBorder="1" applyAlignment="1">
      <alignment horizontal="left" vertical="center" wrapText="1"/>
    </xf>
    <xf numFmtId="0" fontId="103" fillId="0" borderId="61" xfId="0" applyFont="1" applyBorder="1" applyAlignment="1">
      <alignment horizontal="left" vertical="center" wrapText="1"/>
    </xf>
    <xf numFmtId="0" fontId="140" fillId="0" borderId="151" xfId="0" applyFont="1" applyBorder="1" applyAlignment="1">
      <alignment horizontal="center" vertical="center"/>
    </xf>
    <xf numFmtId="0" fontId="140" fillId="0" borderId="28" xfId="0" applyFont="1" applyBorder="1" applyAlignment="1">
      <alignment horizontal="center" vertical="center"/>
    </xf>
    <xf numFmtId="0" fontId="140" fillId="0" borderId="152" xfId="0" applyFont="1" applyBorder="1" applyAlignment="1">
      <alignment horizontal="center" vertical="center"/>
    </xf>
    <xf numFmtId="0" fontId="0" fillId="0" borderId="132" xfId="0" applyBorder="1" applyAlignment="1">
      <alignment horizontal="center" vertical="center"/>
    </xf>
    <xf numFmtId="0" fontId="127" fillId="0" borderId="7"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0" fillId="0" borderId="132" xfId="0" applyBorder="1" applyAlignment="1">
      <alignment horizontal="center" vertical="center" wrapText="1"/>
    </xf>
    <xf numFmtId="0" fontId="9" fillId="0" borderId="16" xfId="0" applyFont="1" applyBorder="1" applyAlignment="1">
      <alignment horizontal="center"/>
    </xf>
    <xf numFmtId="0" fontId="9" fillId="0" borderId="17" xfId="0" applyFont="1" applyBorder="1" applyAlignment="1">
      <alignment horizontal="center"/>
    </xf>
    <xf numFmtId="0" fontId="12" fillId="0" borderId="3" xfId="0" applyFont="1" applyBorder="1" applyAlignment="1">
      <alignment wrapText="1"/>
    </xf>
    <xf numFmtId="0" fontId="4" fillId="0" borderId="19" xfId="0" applyFont="1" applyBorder="1"/>
    <xf numFmtId="0" fontId="9" fillId="0" borderId="8" xfId="0" applyFont="1" applyBorder="1" applyAlignment="1">
      <alignment horizontal="center" vertical="center" wrapText="1"/>
    </xf>
    <xf numFmtId="0" fontId="9" fillId="0" borderId="20" xfId="0" applyFont="1" applyBorder="1" applyAlignment="1">
      <alignment horizontal="center" vertical="center" wrapText="1"/>
    </xf>
    <xf numFmtId="0" fontId="4" fillId="0" borderId="138" xfId="0" applyFont="1" applyBorder="1" applyAlignment="1">
      <alignment horizontal="center" vertical="center" wrapText="1"/>
    </xf>
    <xf numFmtId="0" fontId="4" fillId="0" borderId="141" xfId="0" applyFont="1" applyBorder="1" applyAlignment="1">
      <alignment horizontal="center"/>
    </xf>
    <xf numFmtId="0" fontId="4" fillId="0" borderId="20" xfId="0" applyFont="1" applyBorder="1" applyAlignment="1">
      <alignment horizontal="center"/>
    </xf>
    <xf numFmtId="0" fontId="5" fillId="35" borderId="110" xfId="0" applyFont="1" applyFill="1" applyBorder="1" applyAlignment="1">
      <alignment horizontal="center" vertical="center" wrapText="1"/>
    </xf>
    <xf numFmtId="0" fontId="5" fillId="35" borderId="27" xfId="0" applyFont="1" applyFill="1" applyBorder="1" applyAlignment="1">
      <alignment horizontal="center" vertical="center" wrapText="1"/>
    </xf>
    <xf numFmtId="0" fontId="5" fillId="35" borderId="107" xfId="0" applyFont="1" applyFill="1" applyBorder="1" applyAlignment="1">
      <alignment horizontal="center" vertical="center" wrapText="1"/>
    </xf>
    <xf numFmtId="0" fontId="5" fillId="35" borderId="93" xfId="0" applyFont="1" applyFill="1" applyBorder="1" applyAlignment="1">
      <alignment horizontal="center" vertical="center" wrapText="1"/>
    </xf>
    <xf numFmtId="0" fontId="4" fillId="85" borderId="7" xfId="0" applyFont="1" applyFill="1" applyBorder="1" applyAlignment="1">
      <alignment horizontal="center" vertical="center" wrapText="1"/>
    </xf>
    <xf numFmtId="0" fontId="4" fillId="85" borderId="138" xfId="0" applyFont="1" applyFill="1" applyBorder="1" applyAlignment="1">
      <alignment horizontal="center" vertical="center" wrapText="1"/>
    </xf>
    <xf numFmtId="0" fontId="4" fillId="85" borderId="7" xfId="11" applyFont="1" applyFill="1" applyBorder="1" applyAlignment="1">
      <alignment horizontal="center" vertical="top"/>
    </xf>
    <xf numFmtId="0" fontId="5" fillId="86" borderId="60" xfId="0" applyFont="1" applyFill="1" applyBorder="1" applyAlignment="1">
      <alignment horizontal="center" vertical="center" wrapText="1"/>
    </xf>
    <xf numFmtId="0" fontId="5" fillId="86" borderId="147" xfId="0" applyFont="1" applyFill="1" applyBorder="1" applyAlignment="1">
      <alignment horizontal="center" vertical="center" wrapText="1"/>
    </xf>
    <xf numFmtId="0" fontId="100" fillId="3" borderId="63" xfId="13" applyFont="1" applyFill="1" applyBorder="1" applyAlignment="1" applyProtection="1">
      <alignment horizontal="center" vertical="center" wrapText="1"/>
      <protection locked="0"/>
    </xf>
    <xf numFmtId="0" fontId="100" fillId="3" borderId="60"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5" fontId="14" fillId="3" borderId="15" xfId="1" applyNumberFormat="1" applyFont="1" applyFill="1" applyBorder="1" applyAlignment="1" applyProtection="1">
      <alignment horizontal="center"/>
      <protection locked="0"/>
    </xf>
    <xf numFmtId="165" fontId="14" fillId="3" borderId="16" xfId="1" applyNumberFormat="1" applyFont="1" applyFill="1" applyBorder="1" applyAlignment="1" applyProtection="1">
      <alignment horizontal="center"/>
      <protection locked="0"/>
    </xf>
    <xf numFmtId="165" fontId="14" fillId="3" borderId="17" xfId="1" applyNumberFormat="1" applyFont="1" applyFill="1" applyBorder="1" applyAlignment="1" applyProtection="1">
      <alignment horizontal="center"/>
      <protection locked="0"/>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165" fontId="14" fillId="0" borderId="86" xfId="1" applyNumberFormat="1" applyFont="1" applyFill="1" applyBorder="1" applyAlignment="1" applyProtection="1">
      <alignment horizontal="center" vertical="center" wrapText="1"/>
      <protection locked="0"/>
    </xf>
    <xf numFmtId="165" fontId="14" fillId="0" borderId="87" xfId="1" applyNumberFormat="1" applyFont="1" applyFill="1" applyBorder="1" applyAlignment="1" applyProtection="1">
      <alignment horizontal="center" vertical="center" wrapText="1"/>
      <protection locked="0"/>
    </xf>
    <xf numFmtId="0" fontId="4" fillId="0" borderId="63"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121" xfId="0" applyFont="1" applyBorder="1" applyAlignment="1">
      <alignment horizontal="center" vertical="center" wrapText="1"/>
    </xf>
    <xf numFmtId="0" fontId="4" fillId="0" borderId="0" xfId="0" applyFont="1" applyAlignment="1">
      <alignment horizontal="center" vertical="center" wrapText="1"/>
    </xf>
    <xf numFmtId="0" fontId="4" fillId="0" borderId="88" xfId="0" applyFont="1" applyBorder="1" applyAlignment="1">
      <alignment horizontal="center" vertical="center" wrapText="1"/>
    </xf>
    <xf numFmtId="0" fontId="13" fillId="0" borderId="52" xfId="0" applyFont="1" applyBorder="1" applyAlignment="1">
      <alignment horizontal="left" vertical="center"/>
    </xf>
    <xf numFmtId="0" fontId="13" fillId="0" borderId="53" xfId="0" applyFont="1" applyBorder="1" applyAlignment="1">
      <alignment horizontal="left" vertical="center"/>
    </xf>
    <xf numFmtId="0" fontId="4" fillId="0" borderId="53" xfId="0" applyFont="1" applyBorder="1" applyAlignment="1">
      <alignment horizontal="center" vertical="center" wrapText="1"/>
    </xf>
    <xf numFmtId="0" fontId="4" fillId="0" borderId="100" xfId="0" applyFont="1" applyBorder="1" applyAlignment="1">
      <alignment horizontal="center" vertical="center" wrapText="1"/>
    </xf>
    <xf numFmtId="0" fontId="4" fillId="0" borderId="16" xfId="0" applyFont="1" applyBorder="1" applyAlignment="1">
      <alignment horizontal="center"/>
    </xf>
    <xf numFmtId="0" fontId="4" fillId="0" borderId="17" xfId="0" applyFont="1" applyBorder="1" applyAlignment="1">
      <alignment horizontal="center" vertical="center" wrapText="1"/>
    </xf>
    <xf numFmtId="0" fontId="4" fillId="0" borderId="106" xfId="0" applyFont="1" applyBorder="1" applyAlignment="1">
      <alignment horizontal="center" vertical="center" wrapText="1"/>
    </xf>
    <xf numFmtId="0" fontId="118" fillId="0" borderId="113" xfId="0" applyFont="1" applyBorder="1" applyAlignment="1">
      <alignment horizontal="left" vertical="center" wrapText="1"/>
    </xf>
    <xf numFmtId="0" fontId="118" fillId="0" borderId="114" xfId="0" applyFont="1" applyBorder="1" applyAlignment="1">
      <alignment horizontal="left" vertical="center" wrapText="1"/>
    </xf>
    <xf numFmtId="0" fontId="118" fillId="0" borderId="116" xfId="0" applyFont="1" applyBorder="1" applyAlignment="1">
      <alignment horizontal="left" vertical="center" wrapText="1"/>
    </xf>
    <xf numFmtId="0" fontId="118" fillId="0" borderId="117" xfId="0" applyFont="1" applyBorder="1" applyAlignment="1">
      <alignment horizontal="left" vertical="center" wrapText="1"/>
    </xf>
    <xf numFmtId="0" fontId="118" fillId="0" borderId="119" xfId="0" applyFont="1" applyBorder="1" applyAlignment="1">
      <alignment horizontal="left" vertical="center" wrapText="1"/>
    </xf>
    <xf numFmtId="0" fontId="118" fillId="0" borderId="120" xfId="0" applyFont="1" applyBorder="1" applyAlignment="1">
      <alignment horizontal="left" vertical="center" wrapText="1"/>
    </xf>
    <xf numFmtId="0" fontId="119" fillId="0" borderId="137" xfId="0" applyFont="1" applyBorder="1" applyAlignment="1">
      <alignment horizontal="center" vertical="center" wrapText="1"/>
    </xf>
    <xf numFmtId="0" fontId="119" fillId="0" borderId="136" xfId="0" applyFont="1" applyBorder="1" applyAlignment="1">
      <alignment horizontal="center" vertical="center" wrapText="1"/>
    </xf>
    <xf numFmtId="0" fontId="119" fillId="0" borderId="115" xfId="0" applyFont="1" applyBorder="1" applyAlignment="1">
      <alignment horizontal="center" vertical="center" wrapText="1"/>
    </xf>
    <xf numFmtId="0" fontId="119" fillId="0" borderId="51" xfId="0" applyFont="1" applyBorder="1" applyAlignment="1">
      <alignment horizontal="center" vertical="center" wrapText="1"/>
    </xf>
    <xf numFmtId="0" fontId="119" fillId="0" borderId="118" xfId="0" applyFont="1" applyBorder="1" applyAlignment="1">
      <alignment horizontal="center" vertical="center" wrapText="1"/>
    </xf>
    <xf numFmtId="0" fontId="119" fillId="0" borderId="11" xfId="0" applyFont="1" applyBorder="1" applyAlignment="1">
      <alignment horizontal="center" vertical="center" wrapText="1"/>
    </xf>
    <xf numFmtId="0" fontId="115" fillId="0" borderId="139" xfId="0" applyFont="1" applyBorder="1" applyAlignment="1">
      <alignment horizontal="center" vertical="center" wrapText="1"/>
    </xf>
    <xf numFmtId="0" fontId="115" fillId="0" borderId="7" xfId="0" applyFont="1" applyBorder="1" applyAlignment="1">
      <alignment horizontal="center" vertical="center" wrapText="1"/>
    </xf>
    <xf numFmtId="0" fontId="115" fillId="0" borderId="138" xfId="0" applyFont="1" applyBorder="1" applyAlignment="1">
      <alignment horizontal="center" vertical="center" wrapText="1"/>
    </xf>
    <xf numFmtId="0" fontId="115" fillId="0" borderId="141" xfId="0" applyFont="1" applyBorder="1" applyAlignment="1">
      <alignment horizontal="center" vertical="center" wrapText="1"/>
    </xf>
    <xf numFmtId="0" fontId="115" fillId="0" borderId="140" xfId="0" applyFont="1" applyBorder="1" applyAlignment="1">
      <alignment horizontal="center" vertical="center" wrapText="1"/>
    </xf>
    <xf numFmtId="0" fontId="123" fillId="0" borderId="138" xfId="0" applyFont="1" applyBorder="1" applyAlignment="1">
      <alignment horizontal="center" vertical="center"/>
    </xf>
    <xf numFmtId="0" fontId="117" fillId="0" borderId="137" xfId="0" applyFont="1" applyBorder="1" applyAlignment="1">
      <alignment horizontal="center" vertical="center"/>
    </xf>
    <xf numFmtId="0" fontId="117" fillId="0" borderId="142" xfId="0" applyFont="1" applyBorder="1" applyAlignment="1">
      <alignment horizontal="center" vertical="center"/>
    </xf>
    <xf numFmtId="0" fontId="117" fillId="0" borderId="51" xfId="0" applyFont="1" applyBorder="1" applyAlignment="1">
      <alignment horizontal="center" vertical="center"/>
    </xf>
    <xf numFmtId="0" fontId="117" fillId="0" borderId="11" xfId="0" applyFont="1" applyBorder="1" applyAlignment="1">
      <alignment horizontal="center" vertical="center"/>
    </xf>
    <xf numFmtId="0" fontId="118" fillId="0" borderId="138" xfId="0" applyFont="1" applyBorder="1" applyAlignment="1">
      <alignment horizontal="center" vertical="center" wrapText="1"/>
    </xf>
    <xf numFmtId="0" fontId="118" fillId="0" borderId="137" xfId="0" applyFont="1" applyBorder="1" applyAlignment="1">
      <alignment horizontal="center" vertical="center" wrapText="1"/>
    </xf>
    <xf numFmtId="0" fontId="118" fillId="0" borderId="142" xfId="0" applyFont="1" applyBorder="1" applyAlignment="1">
      <alignment horizontal="center" vertical="center" wrapText="1"/>
    </xf>
    <xf numFmtId="0" fontId="118" fillId="0" borderId="121" xfId="0" applyFont="1" applyBorder="1" applyAlignment="1">
      <alignment horizontal="center" vertical="center" wrapText="1"/>
    </xf>
    <xf numFmtId="0" fontId="118" fillId="0" borderId="122" xfId="0" applyFont="1" applyBorder="1" applyAlignment="1">
      <alignment horizontal="center" vertical="center" wrapText="1"/>
    </xf>
    <xf numFmtId="0" fontId="118" fillId="0" borderId="51" xfId="0" applyFont="1" applyBorder="1" applyAlignment="1">
      <alignment horizontal="center" vertical="center" wrapText="1"/>
    </xf>
    <xf numFmtId="0" fontId="118" fillId="0" borderId="11" xfId="0" applyFont="1" applyBorder="1" applyAlignment="1">
      <alignment horizontal="center" vertical="center" wrapText="1"/>
    </xf>
    <xf numFmtId="0" fontId="115" fillId="0" borderId="143" xfId="0" applyFont="1" applyBorder="1" applyAlignment="1">
      <alignment horizontal="center" vertical="center" wrapText="1"/>
    </xf>
    <xf numFmtId="0" fontId="118" fillId="0" borderId="123" xfId="0" applyFont="1" applyBorder="1" applyAlignment="1">
      <alignment horizontal="center" vertical="center" wrapText="1"/>
    </xf>
    <xf numFmtId="0" fontId="118" fillId="0" borderId="7" xfId="0" applyFont="1" applyBorder="1" applyAlignment="1">
      <alignment horizontal="center" vertical="center" wrapText="1"/>
    </xf>
    <xf numFmtId="0" fontId="115" fillId="0" borderId="123" xfId="0" applyFont="1" applyBorder="1" applyAlignment="1">
      <alignment horizontal="center" vertical="center" wrapText="1"/>
    </xf>
    <xf numFmtId="0" fontId="115" fillId="0" borderId="137" xfId="0" applyFont="1" applyBorder="1" applyAlignment="1">
      <alignment horizontal="center" vertical="center" wrapText="1"/>
    </xf>
    <xf numFmtId="0" fontId="115" fillId="0" borderId="136" xfId="0" applyFont="1" applyBorder="1" applyAlignment="1">
      <alignment horizontal="center" vertical="center" wrapText="1"/>
    </xf>
    <xf numFmtId="0" fontId="115" fillId="0" borderId="142"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147" xfId="0" applyFont="1" applyBorder="1" applyAlignment="1">
      <alignment horizontal="center" vertical="center" wrapText="1"/>
    </xf>
    <xf numFmtId="0" fontId="115" fillId="0" borderId="52" xfId="0" applyFont="1" applyBorder="1" applyAlignment="1">
      <alignment horizontal="center" vertical="center" wrapText="1"/>
    </xf>
    <xf numFmtId="0" fontId="115" fillId="0" borderId="53" xfId="0" applyFont="1" applyBorder="1" applyAlignment="1">
      <alignment horizontal="center" vertical="center" wrapText="1"/>
    </xf>
    <xf numFmtId="0" fontId="115" fillId="0" borderId="100" xfId="0" applyFont="1" applyBorder="1" applyAlignment="1">
      <alignment horizontal="center" vertical="center" wrapText="1"/>
    </xf>
    <xf numFmtId="0" fontId="118" fillId="0" borderId="52" xfId="0" applyFont="1" applyBorder="1" applyAlignment="1">
      <alignment horizontal="left" vertical="top" wrapText="1"/>
    </xf>
    <xf numFmtId="0" fontId="118" fillId="0" borderId="100" xfId="0" applyFont="1" applyBorder="1" applyAlignment="1">
      <alignment horizontal="left" vertical="top" wrapText="1"/>
    </xf>
    <xf numFmtId="0" fontId="118" fillId="0" borderId="59" xfId="0" applyFont="1" applyBorder="1" applyAlignment="1">
      <alignment horizontal="left" vertical="top" wrapText="1"/>
    </xf>
    <xf numFmtId="0" fontId="118" fillId="0" borderId="88" xfId="0" applyFont="1" applyBorder="1" applyAlignment="1">
      <alignment horizontal="left" vertical="top" wrapText="1"/>
    </xf>
    <xf numFmtId="0" fontId="118" fillId="0" borderId="112" xfId="0" applyFont="1" applyBorder="1" applyAlignment="1">
      <alignment horizontal="left" vertical="top" wrapText="1"/>
    </xf>
    <xf numFmtId="0" fontId="118" fillId="0" borderId="149" xfId="0" applyFont="1" applyBorder="1" applyAlignment="1">
      <alignment horizontal="left" vertical="top" wrapText="1"/>
    </xf>
    <xf numFmtId="0" fontId="118" fillId="0" borderId="150" xfId="0" applyFont="1" applyBorder="1" applyAlignment="1">
      <alignment horizontal="center" vertical="center" wrapText="1"/>
    </xf>
    <xf numFmtId="0" fontId="118" fillId="0" borderId="65" xfId="0" applyFont="1" applyBorder="1" applyAlignment="1">
      <alignment horizontal="center" vertical="center" wrapText="1"/>
    </xf>
    <xf numFmtId="0" fontId="115" fillId="0" borderId="137" xfId="0" applyFont="1" applyBorder="1" applyAlignment="1">
      <alignment horizontal="center" vertical="top" wrapText="1"/>
    </xf>
    <xf numFmtId="0" fontId="115" fillId="0" borderId="136" xfId="0" applyFont="1" applyBorder="1" applyAlignment="1">
      <alignment horizontal="center" vertical="top" wrapText="1"/>
    </xf>
    <xf numFmtId="0" fontId="115" fillId="0" borderId="143" xfId="0" applyFont="1" applyBorder="1" applyAlignment="1">
      <alignment horizontal="center" vertical="top" wrapText="1"/>
    </xf>
    <xf numFmtId="0" fontId="115" fillId="0" borderId="140" xfId="0" applyFont="1" applyBorder="1" applyAlignment="1">
      <alignment horizontal="center" vertical="top" wrapText="1"/>
    </xf>
    <xf numFmtId="0" fontId="104" fillId="0" borderId="124" xfId="0" applyFont="1" applyBorder="1" applyAlignment="1">
      <alignment horizontal="left" vertical="top" wrapText="1"/>
    </xf>
    <xf numFmtId="0" fontId="104" fillId="0" borderId="125" xfId="0" applyFont="1" applyBorder="1" applyAlignment="1">
      <alignment horizontal="left" vertical="top" wrapText="1"/>
    </xf>
    <xf numFmtId="0" fontId="121" fillId="0" borderId="138" xfId="0" applyFont="1" applyBorder="1" applyAlignment="1">
      <alignment horizontal="center" vertical="center"/>
    </xf>
    <xf numFmtId="0" fontId="120" fillId="0" borderId="138" xfId="0" applyFont="1" applyBorder="1" applyAlignment="1">
      <alignment horizontal="center" vertical="center" wrapText="1"/>
    </xf>
    <xf numFmtId="0" fontId="120" fillId="0" borderId="139" xfId="0" applyFont="1" applyBorder="1" applyAlignment="1">
      <alignment horizontal="center" vertical="center" wrapText="1"/>
    </xf>
    <xf numFmtId="0" fontId="104" fillId="75" borderId="141" xfId="0" applyFont="1" applyFill="1" applyBorder="1" applyAlignment="1">
      <alignment horizontal="center" vertical="center" wrapText="1"/>
    </xf>
    <xf numFmtId="0" fontId="104" fillId="75" borderId="140" xfId="0" applyFont="1" applyFill="1" applyBorder="1" applyAlignment="1">
      <alignment horizontal="center" vertical="center" wrapText="1"/>
    </xf>
    <xf numFmtId="0" fontId="105" fillId="0" borderId="141" xfId="0" applyFont="1" applyBorder="1" applyAlignment="1">
      <alignment horizontal="left" vertical="center" wrapText="1"/>
    </xf>
    <xf numFmtId="0" fontId="105" fillId="0" borderId="140" xfId="0" applyFont="1" applyBorder="1" applyAlignment="1">
      <alignment horizontal="left" vertical="center" wrapText="1"/>
    </xf>
    <xf numFmtId="0" fontId="105" fillId="0" borderId="141" xfId="13" applyFont="1" applyBorder="1" applyAlignment="1" applyProtection="1">
      <alignment horizontal="left" vertical="top" wrapText="1"/>
      <protection locked="0"/>
    </xf>
    <xf numFmtId="0" fontId="105" fillId="0" borderId="140" xfId="13" applyFont="1" applyBorder="1" applyAlignment="1" applyProtection="1">
      <alignment horizontal="left" vertical="top" wrapText="1"/>
      <protection locked="0"/>
    </xf>
    <xf numFmtId="0" fontId="154" fillId="0" borderId="141" xfId="13" applyFont="1" applyBorder="1" applyAlignment="1" applyProtection="1">
      <alignment horizontal="left" vertical="top" wrapText="1"/>
      <protection locked="0"/>
    </xf>
    <xf numFmtId="0" fontId="154" fillId="0" borderId="140" xfId="13" applyFont="1" applyBorder="1" applyAlignment="1" applyProtection="1">
      <alignment horizontal="left" vertical="top" wrapText="1"/>
      <protection locked="0"/>
    </xf>
    <xf numFmtId="0" fontId="105" fillId="0" borderId="141" xfId="0" applyFont="1" applyBorder="1" applyAlignment="1">
      <alignment horizontal="left" vertical="top" wrapText="1"/>
    </xf>
    <xf numFmtId="0" fontId="105" fillId="0" borderId="140" xfId="0" applyFont="1" applyBorder="1" applyAlignment="1">
      <alignment horizontal="left" vertical="top" wrapText="1"/>
    </xf>
    <xf numFmtId="49" fontId="105" fillId="0" borderId="0" xfId="0" applyNumberFormat="1" applyFont="1" applyAlignment="1">
      <alignment horizontal="center" vertical="center"/>
    </xf>
    <xf numFmtId="0" fontId="105" fillId="0" borderId="138" xfId="0" applyFont="1" applyBorder="1" applyAlignment="1">
      <alignment horizontal="left" vertical="top" wrapText="1"/>
    </xf>
    <xf numFmtId="0" fontId="105" fillId="0" borderId="138" xfId="0" applyFont="1" applyBorder="1" applyAlignment="1">
      <alignment horizontal="left" vertical="center" wrapText="1"/>
    </xf>
    <xf numFmtId="0" fontId="104" fillId="75" borderId="138" xfId="0" applyFont="1" applyFill="1" applyBorder="1" applyAlignment="1">
      <alignment horizontal="center" vertical="center" wrapText="1"/>
    </xf>
    <xf numFmtId="0" fontId="105" fillId="0" borderId="138" xfId="0" applyFont="1" applyBorder="1" applyAlignment="1">
      <alignment horizontal="center"/>
    </xf>
    <xf numFmtId="0" fontId="105" fillId="0" borderId="95" xfId="0" applyFont="1" applyBorder="1" applyAlignment="1">
      <alignment horizontal="left" vertical="center" wrapText="1"/>
    </xf>
    <xf numFmtId="0" fontId="105" fillId="0" borderId="93" xfId="0" applyFont="1" applyBorder="1" applyAlignment="1">
      <alignment horizontal="left" vertical="center" wrapText="1"/>
    </xf>
    <xf numFmtId="0" fontId="104" fillId="0" borderId="138" xfId="0" applyFont="1" applyBorder="1" applyAlignment="1">
      <alignment horizontal="center" vertical="center"/>
    </xf>
    <xf numFmtId="0" fontId="105" fillId="3" borderId="141" xfId="13" applyFont="1" applyFill="1" applyBorder="1" applyAlignment="1" applyProtection="1">
      <alignment horizontal="left" vertical="top" wrapText="1"/>
      <protection locked="0"/>
    </xf>
    <xf numFmtId="0" fontId="105" fillId="3" borderId="140" xfId="13" applyFont="1" applyFill="1" applyBorder="1" applyAlignment="1" applyProtection="1">
      <alignment horizontal="left" vertical="top" wrapText="1"/>
      <protection locked="0"/>
    </xf>
    <xf numFmtId="0" fontId="104" fillId="0" borderId="81" xfId="0" applyFont="1" applyBorder="1" applyAlignment="1">
      <alignment horizontal="center" vertical="center"/>
    </xf>
    <xf numFmtId="0" fontId="104" fillId="75" borderId="78" xfId="0" applyFont="1" applyFill="1" applyBorder="1" applyAlignment="1">
      <alignment horizontal="center" vertical="center" wrapText="1"/>
    </xf>
    <xf numFmtId="0" fontId="104" fillId="75" borderId="0" xfId="0" applyFont="1" applyFill="1" applyAlignment="1">
      <alignment horizontal="center" vertical="center" wrapText="1"/>
    </xf>
    <xf numFmtId="0" fontId="104" fillId="75" borderId="79" xfId="0" applyFont="1" applyFill="1" applyBorder="1" applyAlignment="1">
      <alignment horizontal="center" vertical="center" wrapText="1"/>
    </xf>
    <xf numFmtId="0" fontId="105" fillId="0" borderId="95" xfId="0" applyFont="1" applyBorder="1" applyAlignment="1">
      <alignment vertical="center" wrapText="1"/>
    </xf>
    <xf numFmtId="0" fontId="105" fillId="0" borderId="93" xfId="0" applyFont="1" applyBorder="1" applyAlignment="1">
      <alignment vertical="center" wrapText="1"/>
    </xf>
    <xf numFmtId="0" fontId="104" fillId="75" borderId="83" xfId="0" applyFont="1" applyFill="1" applyBorder="1" applyAlignment="1">
      <alignment horizontal="center" vertical="center"/>
    </xf>
    <xf numFmtId="0" fontId="104" fillId="75" borderId="84" xfId="0" applyFont="1" applyFill="1" applyBorder="1" applyAlignment="1">
      <alignment horizontal="center" vertical="center"/>
    </xf>
    <xf numFmtId="0" fontId="104" fillId="75" borderId="85" xfId="0" applyFont="1" applyFill="1" applyBorder="1" applyAlignment="1">
      <alignment horizontal="center" vertical="center"/>
    </xf>
    <xf numFmtId="0" fontId="105" fillId="3" borderId="95" xfId="0" applyFont="1" applyFill="1" applyBorder="1" applyAlignment="1">
      <alignment horizontal="left" vertical="center" wrapText="1"/>
    </xf>
    <xf numFmtId="0" fontId="105" fillId="3" borderId="93" xfId="0" applyFont="1" applyFill="1" applyBorder="1" applyAlignment="1">
      <alignment horizontal="left" vertical="center" wrapText="1"/>
    </xf>
    <xf numFmtId="0" fontId="105" fillId="0" borderId="73" xfId="0" applyFont="1" applyBorder="1" applyAlignment="1">
      <alignment horizontal="left" vertical="center" wrapText="1"/>
    </xf>
    <xf numFmtId="0" fontId="105" fillId="0" borderId="74" xfId="0" applyFont="1" applyBorder="1" applyAlignment="1">
      <alignment horizontal="left" vertical="center" wrapText="1"/>
    </xf>
    <xf numFmtId="0" fontId="104" fillId="75" borderId="69" xfId="0" applyFont="1" applyFill="1" applyBorder="1" applyAlignment="1">
      <alignment horizontal="center" vertical="center" wrapText="1"/>
    </xf>
    <xf numFmtId="0" fontId="104" fillId="75" borderId="70" xfId="0" applyFont="1" applyFill="1" applyBorder="1" applyAlignment="1">
      <alignment horizontal="center" vertical="center" wrapText="1"/>
    </xf>
    <xf numFmtId="0" fontId="104" fillId="75" borderId="71" xfId="0" applyFont="1" applyFill="1" applyBorder="1" applyAlignment="1">
      <alignment horizontal="center" vertical="center" wrapText="1"/>
    </xf>
    <xf numFmtId="0" fontId="105" fillId="0" borderId="51" xfId="0" applyFont="1" applyBorder="1" applyAlignment="1">
      <alignment horizontal="left" vertical="center" wrapText="1"/>
    </xf>
    <xf numFmtId="0" fontId="105" fillId="0" borderId="11" xfId="0" applyFont="1" applyBorder="1" applyAlignment="1">
      <alignment horizontal="left" vertical="center" wrapText="1"/>
    </xf>
    <xf numFmtId="0" fontId="154" fillId="3" borderId="95" xfId="0" applyFont="1" applyFill="1" applyBorder="1" applyAlignment="1">
      <alignment horizontal="left" vertical="center" wrapText="1"/>
    </xf>
    <xf numFmtId="0" fontId="154" fillId="3" borderId="93" xfId="0" applyFont="1" applyFill="1" applyBorder="1" applyAlignment="1">
      <alignment horizontal="left" vertical="center" wrapText="1"/>
    </xf>
    <xf numFmtId="0" fontId="105" fillId="0" borderId="133" xfId="0" applyFont="1" applyBorder="1" applyAlignment="1">
      <alignment horizontal="left" vertical="center" wrapText="1"/>
    </xf>
    <xf numFmtId="0" fontId="105" fillId="0" borderId="134" xfId="0" applyFont="1" applyBorder="1" applyAlignment="1">
      <alignment horizontal="left" vertical="center" wrapText="1"/>
    </xf>
    <xf numFmtId="0" fontId="105" fillId="0" borderId="135" xfId="0" applyFont="1" applyBorder="1" applyAlignment="1">
      <alignment horizontal="left" vertical="center" wrapText="1"/>
    </xf>
    <xf numFmtId="0" fontId="105" fillId="3" borderId="73" xfId="0" applyFont="1" applyFill="1" applyBorder="1" applyAlignment="1">
      <alignment horizontal="left" vertical="center" wrapText="1"/>
    </xf>
    <xf numFmtId="0" fontId="105" fillId="3" borderId="74" xfId="0" applyFont="1" applyFill="1" applyBorder="1" applyAlignment="1">
      <alignment horizontal="left" vertical="center" wrapText="1"/>
    </xf>
    <xf numFmtId="0" fontId="105" fillId="0" borderId="76" xfId="0" applyFont="1" applyBorder="1" applyAlignment="1">
      <alignment horizontal="left" vertical="center" wrapText="1"/>
    </xf>
    <xf numFmtId="0" fontId="105" fillId="0" borderId="77" xfId="0" applyFont="1" applyBorder="1" applyAlignment="1">
      <alignment horizontal="left" vertical="center" wrapText="1"/>
    </xf>
    <xf numFmtId="0" fontId="105" fillId="0" borderId="51" xfId="0" applyFont="1" applyBorder="1" applyAlignment="1">
      <alignment vertical="center" wrapText="1"/>
    </xf>
    <xf numFmtId="0" fontId="105" fillId="0" borderId="11" xfId="0" applyFont="1" applyBorder="1" applyAlignment="1">
      <alignment vertical="center" wrapText="1"/>
    </xf>
    <xf numFmtId="0" fontId="105" fillId="3" borderId="95" xfId="0" applyFont="1" applyFill="1" applyBorder="1" applyAlignment="1">
      <alignment vertical="center" wrapText="1"/>
    </xf>
    <xf numFmtId="0" fontId="105" fillId="3" borderId="93" xfId="0" applyFont="1" applyFill="1" applyBorder="1" applyAlignment="1">
      <alignment vertical="center" wrapText="1"/>
    </xf>
    <xf numFmtId="0" fontId="104" fillId="0" borderId="66" xfId="0" applyFont="1" applyBorder="1" applyAlignment="1">
      <alignment horizontal="center" vertical="center"/>
    </xf>
    <xf numFmtId="0" fontId="104" fillId="0" borderId="67" xfId="0" applyFont="1" applyBorder="1" applyAlignment="1">
      <alignment horizontal="center" vertical="center"/>
    </xf>
    <xf numFmtId="0" fontId="104" fillId="0" borderId="68" xfId="0" applyFont="1" applyBorder="1" applyAlignment="1">
      <alignment horizontal="center" vertical="center"/>
    </xf>
    <xf numFmtId="0" fontId="105" fillId="0" borderId="94" xfId="0" applyFont="1" applyBorder="1" applyAlignment="1">
      <alignment horizontal="left" vertical="center" wrapText="1"/>
    </xf>
    <xf numFmtId="0" fontId="154" fillId="3" borderId="95" xfId="0" applyFont="1" applyFill="1" applyBorder="1" applyAlignment="1">
      <alignment vertical="center" wrapText="1"/>
    </xf>
    <xf numFmtId="0" fontId="154" fillId="3" borderId="93" xfId="0" applyFont="1" applyFill="1" applyBorder="1" applyAlignment="1">
      <alignment vertical="center" wrapText="1"/>
    </xf>
    <xf numFmtId="0" fontId="105" fillId="0" borderId="95" xfId="0" applyFont="1" applyBorder="1" applyAlignment="1">
      <alignment horizontal="left"/>
    </xf>
    <xf numFmtId="0" fontId="105" fillId="0" borderId="93" xfId="0" applyFont="1" applyBorder="1" applyAlignment="1">
      <alignment horizontal="left"/>
    </xf>
    <xf numFmtId="0" fontId="0" fillId="0" borderId="15" xfId="0" applyBorder="1" applyAlignment="1">
      <alignment horizontal="center" vertical="center"/>
    </xf>
    <xf numFmtId="0" fontId="127" fillId="0" borderId="5" xfId="0" applyFont="1" applyBorder="1" applyAlignment="1">
      <alignment horizontal="center" vertical="center"/>
    </xf>
    <xf numFmtId="0" fontId="0" fillId="0" borderId="148" xfId="0" applyBorder="1" applyAlignment="1">
      <alignment horizontal="center" vertical="center"/>
    </xf>
    <xf numFmtId="165" fontId="8" fillId="0" borderId="138" xfId="7" applyNumberFormat="1" applyFont="1" applyBorder="1" applyAlignment="1">
      <alignment horizontal="center" vertical="center" wrapText="1"/>
    </xf>
    <xf numFmtId="0" fontId="8" fillId="0" borderId="138" xfId="0" applyFont="1" applyBorder="1" applyAlignment="1">
      <alignment horizontal="center" vertical="center" wrapText="1"/>
    </xf>
    <xf numFmtId="0" fontId="8" fillId="0" borderId="147" xfId="0" applyFont="1" applyBorder="1" applyAlignment="1">
      <alignment horizontal="center" vertical="center" wrapText="1"/>
    </xf>
    <xf numFmtId="0" fontId="3" fillId="0" borderId="138" xfId="0" applyFont="1" applyBorder="1" applyAlignment="1">
      <alignment horizontal="center" vertical="center"/>
    </xf>
    <xf numFmtId="0" fontId="0" fillId="0" borderId="141" xfId="0" applyBorder="1" applyAlignment="1">
      <alignment horizontal="center"/>
    </xf>
    <xf numFmtId="0" fontId="0" fillId="0" borderId="157" xfId="0" applyBorder="1" applyAlignment="1">
      <alignment horizontal="center"/>
    </xf>
    <xf numFmtId="0" fontId="0" fillId="0" borderId="20" xfId="0" applyBorder="1" applyAlignment="1">
      <alignment horizontal="center"/>
    </xf>
    <xf numFmtId="0" fontId="0" fillId="0" borderId="148" xfId="0" applyBorder="1" applyAlignment="1">
      <alignment horizontal="center"/>
    </xf>
    <xf numFmtId="165" fontId="0" fillId="35" borderId="138" xfId="7" applyNumberFormat="1" applyFont="1" applyFill="1" applyBorder="1"/>
    <xf numFmtId="165" fontId="0" fillId="35" borderId="147" xfId="7" applyNumberFormat="1" applyFont="1" applyFill="1" applyBorder="1"/>
    <xf numFmtId="165" fontId="0" fillId="0" borderId="138" xfId="7" applyNumberFormat="1" applyFont="1" applyBorder="1" applyAlignment="1">
      <alignment vertical="center"/>
    </xf>
    <xf numFmtId="165" fontId="0" fillId="35" borderId="138" xfId="7" applyNumberFormat="1" applyFont="1" applyFill="1" applyBorder="1" applyAlignment="1">
      <alignment vertical="center"/>
    </xf>
    <xf numFmtId="165" fontId="0" fillId="35" borderId="147" xfId="7" applyNumberFormat="1" applyFont="1" applyFill="1" applyBorder="1" applyAlignment="1">
      <alignment vertical="center"/>
    </xf>
    <xf numFmtId="0" fontId="133" fillId="0" borderId="138" xfId="21414" applyFont="1" applyBorder="1" applyAlignment="1">
      <alignment horizontal="center" vertical="center" wrapText="1"/>
    </xf>
    <xf numFmtId="0" fontId="134" fillId="0" borderId="138" xfId="0" applyFont="1" applyBorder="1" applyAlignment="1">
      <alignment horizontal="left"/>
    </xf>
    <xf numFmtId="0" fontId="0" fillId="0" borderId="163" xfId="0" applyBorder="1" applyAlignment="1">
      <alignment horizontal="center"/>
    </xf>
    <xf numFmtId="0" fontId="131" fillId="0" borderId="165" xfId="0" applyFont="1" applyBorder="1" applyAlignment="1">
      <alignment horizontal="left" vertical="center" wrapText="1"/>
    </xf>
    <xf numFmtId="165" fontId="0" fillId="0" borderId="165" xfId="7" applyNumberFormat="1" applyFont="1" applyBorder="1"/>
    <xf numFmtId="165" fontId="0" fillId="35" borderId="165" xfId="7" applyNumberFormat="1" applyFont="1" applyFill="1" applyBorder="1"/>
    <xf numFmtId="165" fontId="0" fillId="35" borderId="166" xfId="7" applyNumberFormat="1" applyFont="1" applyFill="1" applyBorder="1"/>
    <xf numFmtId="0" fontId="0" fillId="0" borderId="0" xfId="0" applyBorder="1" applyAlignment="1">
      <alignment horizontal="center" vertical="center"/>
    </xf>
    <xf numFmtId="0" fontId="0" fillId="0" borderId="118" xfId="0" applyBorder="1" applyAlignment="1">
      <alignment horizontal="center" vertical="center"/>
    </xf>
    <xf numFmtId="0" fontId="0" fillId="0" borderId="141" xfId="0" applyBorder="1" applyAlignment="1">
      <alignment horizontal="center" vertical="center"/>
    </xf>
    <xf numFmtId="0" fontId="127" fillId="0" borderId="4" xfId="0" applyFont="1" applyBorder="1" applyAlignment="1">
      <alignment horizontal="center" vertical="center" wrapText="1"/>
    </xf>
    <xf numFmtId="0" fontId="127" fillId="0" borderId="65" xfId="0" applyFont="1" applyBorder="1" applyAlignment="1">
      <alignment horizontal="center" vertical="center" wrapText="1"/>
    </xf>
    <xf numFmtId="0" fontId="131" fillId="0" borderId="170" xfId="0" applyFont="1" applyBorder="1" applyAlignment="1">
      <alignment horizontal="justify" vertical="center" wrapText="1"/>
    </xf>
    <xf numFmtId="0" fontId="130" fillId="0" borderId="171" xfId="0" applyFont="1" applyBorder="1" applyAlignment="1">
      <alignment horizontal="left" vertical="center" wrapText="1" indent="1"/>
    </xf>
    <xf numFmtId="0" fontId="130" fillId="0" borderId="172" xfId="0" applyFont="1" applyBorder="1" applyAlignment="1">
      <alignment horizontal="left" vertical="center" wrapText="1" indent="1"/>
    </xf>
    <xf numFmtId="0" fontId="130" fillId="0" borderId="173" xfId="0" applyFont="1" applyBorder="1" applyAlignment="1">
      <alignment horizontal="left" vertical="center" wrapText="1" indent="1"/>
    </xf>
    <xf numFmtId="0" fontId="131" fillId="0" borderId="172" xfId="0" applyFont="1" applyBorder="1" applyAlignment="1">
      <alignment horizontal="justify" vertical="center" wrapText="1"/>
    </xf>
    <xf numFmtId="0" fontId="129" fillId="0" borderId="172" xfId="0" applyFont="1" applyBorder="1" applyAlignment="1">
      <alignment horizontal="justify" vertical="center" wrapText="1"/>
    </xf>
    <xf numFmtId="0" fontId="131" fillId="3" borderId="172" xfId="0" applyFont="1" applyFill="1" applyBorder="1" applyAlignment="1">
      <alignment horizontal="justify" vertical="center" wrapText="1"/>
    </xf>
    <xf numFmtId="0" fontId="131" fillId="0" borderId="173" xfId="0" applyFont="1" applyBorder="1" applyAlignment="1">
      <alignment horizontal="justify" vertical="center" wrapText="1"/>
    </xf>
    <xf numFmtId="0" fontId="131" fillId="0" borderId="171" xfId="0" applyFont="1" applyBorder="1" applyAlignment="1">
      <alignment horizontal="justify" vertical="center" wrapText="1"/>
    </xf>
    <xf numFmtId="0" fontId="132" fillId="0" borderId="172" xfId="0" applyFont="1" applyBorder="1" applyAlignment="1">
      <alignment horizontal="left" vertical="center" wrapText="1" indent="1"/>
    </xf>
    <xf numFmtId="0" fontId="131" fillId="0" borderId="148" xfId="21414" applyFont="1" applyBorder="1" applyAlignment="1">
      <alignment horizontal="justify" vertical="center" wrapText="1"/>
    </xf>
    <xf numFmtId="0" fontId="131" fillId="0" borderId="172" xfId="0" applyFont="1" applyBorder="1" applyAlignment="1">
      <alignment horizontal="left" vertical="center" wrapText="1"/>
    </xf>
    <xf numFmtId="0" fontId="132" fillId="0" borderId="150" xfId="0" applyFont="1" applyBorder="1" applyAlignment="1">
      <alignment horizontal="left" vertical="center" wrapText="1" indent="1"/>
    </xf>
    <xf numFmtId="0" fontId="129" fillId="0" borderId="172" xfId="0" applyFont="1" applyBorder="1" applyAlignment="1">
      <alignment vertical="center" wrapText="1"/>
    </xf>
    <xf numFmtId="0" fontId="131" fillId="0" borderId="172" xfId="0" applyFont="1" applyBorder="1" applyAlignment="1">
      <alignment vertical="center" wrapText="1"/>
    </xf>
    <xf numFmtId="0" fontId="131" fillId="0" borderId="148" xfId="21414" applyFont="1" applyBorder="1" applyAlignment="1">
      <alignment vertical="center" wrapText="1"/>
    </xf>
    <xf numFmtId="0" fontId="131" fillId="0" borderId="163" xfId="21414" applyFont="1" applyBorder="1" applyAlignment="1">
      <alignment vertical="center" wrapText="1"/>
    </xf>
    <xf numFmtId="193" fontId="21" fillId="0" borderId="174" xfId="0" applyNumberFormat="1" applyFont="1" applyBorder="1" applyAlignment="1">
      <alignment horizontal="center" vertical="center"/>
    </xf>
    <xf numFmtId="167" fontId="22" fillId="0" borderId="175" xfId="0" applyNumberFormat="1" applyFont="1" applyBorder="1" applyAlignment="1">
      <alignment horizontal="center"/>
    </xf>
    <xf numFmtId="0" fontId="0" fillId="0" borderId="162" xfId="0" applyBorder="1" applyAlignment="1">
      <alignment horizontal="center"/>
    </xf>
    <xf numFmtId="167" fontId="21" fillId="0" borderId="176" xfId="0" applyNumberFormat="1" applyFont="1" applyBorder="1" applyAlignment="1">
      <alignment horizontal="center"/>
    </xf>
    <xf numFmtId="0" fontId="0" fillId="0" borderId="101" xfId="0" applyBorder="1" applyAlignment="1">
      <alignment horizontal="center"/>
    </xf>
    <xf numFmtId="0" fontId="130" fillId="0" borderId="139" xfId="21414" applyFont="1" applyBorder="1" applyAlignment="1">
      <alignment horizontal="left" vertical="center" wrapText="1" indent="1"/>
    </xf>
    <xf numFmtId="0" fontId="130" fillId="3" borderId="138" xfId="0" applyFont="1" applyFill="1" applyBorder="1" applyAlignment="1">
      <alignment horizontal="left" vertical="center" wrapText="1" indent="1"/>
    </xf>
    <xf numFmtId="167" fontId="22" fillId="0" borderId="147" xfId="0" applyNumberFormat="1" applyFont="1" applyBorder="1" applyAlignment="1">
      <alignment horizontal="center"/>
    </xf>
    <xf numFmtId="0" fontId="131" fillId="0" borderId="138" xfId="0" applyFont="1" applyBorder="1" applyAlignment="1">
      <alignment horizontal="left" vertical="center" wrapText="1"/>
    </xf>
    <xf numFmtId="0" fontId="22" fillId="0" borderId="147" xfId="0" applyFont="1" applyBorder="1"/>
    <xf numFmtId="0" fontId="130" fillId="0" borderId="138" xfId="0" applyFont="1" applyBorder="1" applyAlignment="1">
      <alignment horizontal="left" vertical="center" wrapText="1" indent="1"/>
    </xf>
    <xf numFmtId="0" fontId="22" fillId="0" borderId="138" xfId="0" applyFont="1" applyBorder="1"/>
    <xf numFmtId="0" fontId="132" fillId="3" borderId="138" xfId="0" applyFont="1" applyFill="1" applyBorder="1" applyAlignment="1">
      <alignment horizontal="left" vertical="center" wrapText="1" indent="1"/>
    </xf>
    <xf numFmtId="0" fontId="132" fillId="0" borderId="138" xfId="0" applyFont="1" applyBorder="1" applyAlignment="1">
      <alignment horizontal="left" vertical="center" wrapText="1" indent="1"/>
    </xf>
    <xf numFmtId="193" fontId="21" fillId="0" borderId="177" xfId="0" applyNumberFormat="1" applyFont="1" applyBorder="1" applyAlignment="1">
      <alignment horizontal="center" vertical="center"/>
    </xf>
    <xf numFmtId="0" fontId="22" fillId="0" borderId="166" xfId="0" applyFont="1" applyBorder="1"/>
    <xf numFmtId="0" fontId="162" fillId="0" borderId="0" xfId="0" applyFont="1" applyAlignment="1">
      <alignment horizontal="left" vertical="center" wrapText="1"/>
    </xf>
  </cellXfs>
  <cellStyles count="22314">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2 2 2" xfId="22311" xr:uid="{7D0768BE-C1A8-49D7-BDBD-26D9729FCEC3}"/>
    <cellStyle name="Calculation 2 10 2 3" xfId="21418" xr:uid="{EDC447CB-0284-4DE1-AA22-DC51E4BB3B65}"/>
    <cellStyle name="Calculation 2 10 3" xfId="724" xr:uid="{00000000-0005-0000-0000-0000C4020000}"/>
    <cellStyle name="Calculation 2 10 3 2" xfId="21407" xr:uid="{00000000-0005-0000-0000-0000C5020000}"/>
    <cellStyle name="Calculation 2 10 3 2 2" xfId="22310" xr:uid="{6181209D-E1B4-4F6E-BCF5-5D3EB03C5C25}"/>
    <cellStyle name="Calculation 2 10 3 3" xfId="21419" xr:uid="{90DD871E-F630-440E-82F1-379FAFCE0BA3}"/>
    <cellStyle name="Calculation 2 10 4" xfId="725" xr:uid="{00000000-0005-0000-0000-0000C6020000}"/>
    <cellStyle name="Calculation 2 10 4 2" xfId="21406" xr:uid="{00000000-0005-0000-0000-0000C7020000}"/>
    <cellStyle name="Calculation 2 10 4 2 2" xfId="22309" xr:uid="{E24C6CC8-95C7-4775-90FF-049EF00684D0}"/>
    <cellStyle name="Calculation 2 10 4 3" xfId="21420" xr:uid="{2E9C41DD-2141-4C3D-AF50-437DF2C0901B}"/>
    <cellStyle name="Calculation 2 10 5" xfId="726" xr:uid="{00000000-0005-0000-0000-0000C8020000}"/>
    <cellStyle name="Calculation 2 10 5 2" xfId="21405" xr:uid="{00000000-0005-0000-0000-0000C9020000}"/>
    <cellStyle name="Calculation 2 10 5 2 2" xfId="22308" xr:uid="{BB7CD875-20F7-458E-81C7-10B0B4657421}"/>
    <cellStyle name="Calculation 2 10 5 3" xfId="21421" xr:uid="{51587B60-4EA4-4E01-A7A6-FD3410ACEC5D}"/>
    <cellStyle name="Calculation 2 11" xfId="727" xr:uid="{00000000-0005-0000-0000-0000CA020000}"/>
    <cellStyle name="Calculation 2 11 2" xfId="728" xr:uid="{00000000-0005-0000-0000-0000CB020000}"/>
    <cellStyle name="Calculation 2 11 2 2" xfId="21403" xr:uid="{00000000-0005-0000-0000-0000CC020000}"/>
    <cellStyle name="Calculation 2 11 2 2 2" xfId="22306" xr:uid="{684E7341-EBE1-42AC-8AEC-E60C16BE0B42}"/>
    <cellStyle name="Calculation 2 11 2 3" xfId="21423" xr:uid="{16449669-CBE8-4321-A32D-7F1D58C56A35}"/>
    <cellStyle name="Calculation 2 11 3" xfId="729" xr:uid="{00000000-0005-0000-0000-0000CD020000}"/>
    <cellStyle name="Calculation 2 11 3 2" xfId="21402" xr:uid="{00000000-0005-0000-0000-0000CE020000}"/>
    <cellStyle name="Calculation 2 11 3 2 2" xfId="22305" xr:uid="{D1F1F375-96AB-4B37-8CC8-A0DBA8855862}"/>
    <cellStyle name="Calculation 2 11 3 3" xfId="21424" xr:uid="{EACA7F26-6F13-45D5-914B-35191E2C05DB}"/>
    <cellStyle name="Calculation 2 11 4" xfId="730" xr:uid="{00000000-0005-0000-0000-0000CF020000}"/>
    <cellStyle name="Calculation 2 11 4 2" xfId="21401" xr:uid="{00000000-0005-0000-0000-0000D0020000}"/>
    <cellStyle name="Calculation 2 11 4 2 2" xfId="22304" xr:uid="{4A1CCAC2-E093-45A9-A8F5-6D8553C9998D}"/>
    <cellStyle name="Calculation 2 11 4 3" xfId="21425" xr:uid="{167E6B22-BDB2-4BF8-8013-3A0BBFD3C2EB}"/>
    <cellStyle name="Calculation 2 11 5" xfId="731" xr:uid="{00000000-0005-0000-0000-0000D1020000}"/>
    <cellStyle name="Calculation 2 11 5 2" xfId="21400" xr:uid="{00000000-0005-0000-0000-0000D2020000}"/>
    <cellStyle name="Calculation 2 11 5 2 2" xfId="22303" xr:uid="{E57855D7-BD8C-49D8-A833-2983820419C8}"/>
    <cellStyle name="Calculation 2 11 5 3" xfId="21426" xr:uid="{E3BDC6A2-E851-4F39-B074-060CD1FC10C2}"/>
    <cellStyle name="Calculation 2 11 6" xfId="21404" xr:uid="{00000000-0005-0000-0000-0000D3020000}"/>
    <cellStyle name="Calculation 2 11 6 2" xfId="22307" xr:uid="{E6520F45-7A7F-4E93-8C86-28BF91129736}"/>
    <cellStyle name="Calculation 2 11 7" xfId="21422" xr:uid="{A7907F68-F909-4DB1-9D3C-DCA340596813}"/>
    <cellStyle name="Calculation 2 12" xfId="732" xr:uid="{00000000-0005-0000-0000-0000D4020000}"/>
    <cellStyle name="Calculation 2 12 2" xfId="733" xr:uid="{00000000-0005-0000-0000-0000D5020000}"/>
    <cellStyle name="Calculation 2 12 2 2" xfId="21398" xr:uid="{00000000-0005-0000-0000-0000D6020000}"/>
    <cellStyle name="Calculation 2 12 2 2 2" xfId="22301" xr:uid="{CFC50FFA-D90A-43EC-BFAA-08B035F8948D}"/>
    <cellStyle name="Calculation 2 12 2 3" xfId="21428" xr:uid="{EA5B9DC2-285F-4613-954A-96C1C32F43F9}"/>
    <cellStyle name="Calculation 2 12 3" xfId="734" xr:uid="{00000000-0005-0000-0000-0000D7020000}"/>
    <cellStyle name="Calculation 2 12 3 2" xfId="21397" xr:uid="{00000000-0005-0000-0000-0000D8020000}"/>
    <cellStyle name="Calculation 2 12 3 2 2" xfId="22300" xr:uid="{65104788-BEA7-4500-8D1D-6DAC9F63F057}"/>
    <cellStyle name="Calculation 2 12 3 3" xfId="21429" xr:uid="{E5362E68-FE67-4260-AF49-38E2EA1A52BB}"/>
    <cellStyle name="Calculation 2 12 4" xfId="735" xr:uid="{00000000-0005-0000-0000-0000D9020000}"/>
    <cellStyle name="Calculation 2 12 4 2" xfId="21396" xr:uid="{00000000-0005-0000-0000-0000DA020000}"/>
    <cellStyle name="Calculation 2 12 4 2 2" xfId="22299" xr:uid="{83E17255-20E4-492B-AFC2-6CD214FC7C8C}"/>
    <cellStyle name="Calculation 2 12 4 3" xfId="21430" xr:uid="{C38AD17E-E9AC-4273-8D6B-F710F4D79BA8}"/>
    <cellStyle name="Calculation 2 12 5" xfId="736" xr:uid="{00000000-0005-0000-0000-0000DB020000}"/>
    <cellStyle name="Calculation 2 12 5 2" xfId="21395" xr:uid="{00000000-0005-0000-0000-0000DC020000}"/>
    <cellStyle name="Calculation 2 12 5 2 2" xfId="22298" xr:uid="{2AF5CA57-617E-4D05-88B0-EA2A8C05C42E}"/>
    <cellStyle name="Calculation 2 12 5 3" xfId="21431" xr:uid="{53FCD247-4140-47E8-98FE-ED8197746D11}"/>
    <cellStyle name="Calculation 2 12 6" xfId="21399" xr:uid="{00000000-0005-0000-0000-0000DD020000}"/>
    <cellStyle name="Calculation 2 12 6 2" xfId="22302" xr:uid="{06F03F8B-438D-4415-9A59-F188FEB16B2C}"/>
    <cellStyle name="Calculation 2 12 7" xfId="21427" xr:uid="{837AE373-8C25-4CCE-8DD0-400CC628F336}"/>
    <cellStyle name="Calculation 2 13" xfId="737" xr:uid="{00000000-0005-0000-0000-0000DE020000}"/>
    <cellStyle name="Calculation 2 13 2" xfId="738" xr:uid="{00000000-0005-0000-0000-0000DF020000}"/>
    <cellStyle name="Calculation 2 13 2 2" xfId="21393" xr:uid="{00000000-0005-0000-0000-0000E0020000}"/>
    <cellStyle name="Calculation 2 13 2 2 2" xfId="22296" xr:uid="{315B4698-8156-4B97-8D77-C810C27D953F}"/>
    <cellStyle name="Calculation 2 13 2 3" xfId="21433" xr:uid="{01D8CE92-3723-4F6B-B12A-38617A7E6318}"/>
    <cellStyle name="Calculation 2 13 3" xfId="739" xr:uid="{00000000-0005-0000-0000-0000E1020000}"/>
    <cellStyle name="Calculation 2 13 3 2" xfId="21392" xr:uid="{00000000-0005-0000-0000-0000E2020000}"/>
    <cellStyle name="Calculation 2 13 3 2 2" xfId="22295" xr:uid="{8F720EA0-FDAC-4ED2-9526-49CDF937AC9D}"/>
    <cellStyle name="Calculation 2 13 3 3" xfId="21434" xr:uid="{6FBE1E66-2EA8-4806-B4CD-061A47634302}"/>
    <cellStyle name="Calculation 2 13 4" xfId="740" xr:uid="{00000000-0005-0000-0000-0000E3020000}"/>
    <cellStyle name="Calculation 2 13 4 2" xfId="21391" xr:uid="{00000000-0005-0000-0000-0000E4020000}"/>
    <cellStyle name="Calculation 2 13 4 2 2" xfId="22294" xr:uid="{A7EF3C04-5049-4986-90E7-039A6508B619}"/>
    <cellStyle name="Calculation 2 13 4 3" xfId="21435" xr:uid="{FE38D606-7098-4E76-83ED-90B4BEEF35D5}"/>
    <cellStyle name="Calculation 2 13 5" xfId="21394" xr:uid="{00000000-0005-0000-0000-0000E5020000}"/>
    <cellStyle name="Calculation 2 13 5 2" xfId="22297" xr:uid="{FA0A9A62-9D9F-46BF-BAF5-9DCE8AA768EB}"/>
    <cellStyle name="Calculation 2 13 6" xfId="21432" xr:uid="{3ADFAC75-E8D8-44DB-A7F4-8B72640936A7}"/>
    <cellStyle name="Calculation 2 14" xfId="741" xr:uid="{00000000-0005-0000-0000-0000E6020000}"/>
    <cellStyle name="Calculation 2 14 2" xfId="21390" xr:uid="{00000000-0005-0000-0000-0000E7020000}"/>
    <cellStyle name="Calculation 2 14 2 2" xfId="22293" xr:uid="{7F84C025-54CE-4756-86CC-270E07AEE211}"/>
    <cellStyle name="Calculation 2 14 3" xfId="21436" xr:uid="{3E53C13B-F9D4-443D-956A-B82BF3157712}"/>
    <cellStyle name="Calculation 2 15" xfId="742" xr:uid="{00000000-0005-0000-0000-0000E8020000}"/>
    <cellStyle name="Calculation 2 15 2" xfId="21389" xr:uid="{00000000-0005-0000-0000-0000E9020000}"/>
    <cellStyle name="Calculation 2 15 2 2" xfId="22292" xr:uid="{5660675E-5430-4498-85F8-AEC27A3FD734}"/>
    <cellStyle name="Calculation 2 15 3" xfId="21437" xr:uid="{158411A5-F2E2-42B9-B816-46A54805551D}"/>
    <cellStyle name="Calculation 2 16" xfId="743" xr:uid="{00000000-0005-0000-0000-0000EA020000}"/>
    <cellStyle name="Calculation 2 16 2" xfId="21388" xr:uid="{00000000-0005-0000-0000-0000EB020000}"/>
    <cellStyle name="Calculation 2 16 2 2" xfId="22291" xr:uid="{05611D9A-4BF4-48B8-A336-3837BD59289C}"/>
    <cellStyle name="Calculation 2 16 3" xfId="21438" xr:uid="{1C385F79-DE3F-4613-B81B-2E1089BB0992}"/>
    <cellStyle name="Calculation 2 17" xfId="21409" xr:uid="{00000000-0005-0000-0000-0000EC020000}"/>
    <cellStyle name="Calculation 2 17 2" xfId="22312" xr:uid="{D8388B6D-3441-4B88-BF44-453D1747049D}"/>
    <cellStyle name="Calculation 2 18" xfId="21417" xr:uid="{83D34516-B57E-4521-99B2-AB3D78EBA89A}"/>
    <cellStyle name="Calculation 2 2" xfId="744" xr:uid="{00000000-0005-0000-0000-0000ED020000}"/>
    <cellStyle name="Calculation 2 2 10" xfId="21387" xr:uid="{00000000-0005-0000-0000-0000EE020000}"/>
    <cellStyle name="Calculation 2 2 10 2" xfId="22290" xr:uid="{BFCE67F0-5457-4DF6-B2AF-9A430F65157F}"/>
    <cellStyle name="Calculation 2 2 11" xfId="21439" xr:uid="{BDCFA0A8-C3D5-4A57-AA32-07FF12D59368}"/>
    <cellStyle name="Calculation 2 2 2" xfId="745" xr:uid="{00000000-0005-0000-0000-0000EF020000}"/>
    <cellStyle name="Calculation 2 2 2 2" xfId="746" xr:uid="{00000000-0005-0000-0000-0000F0020000}"/>
    <cellStyle name="Calculation 2 2 2 2 2" xfId="21385" xr:uid="{00000000-0005-0000-0000-0000F1020000}"/>
    <cellStyle name="Calculation 2 2 2 2 2 2" xfId="22288" xr:uid="{FD6B55F4-93FF-4D5B-9C43-10D4E1D6C79A}"/>
    <cellStyle name="Calculation 2 2 2 2 3" xfId="21441" xr:uid="{923DD1C2-D10F-417D-910D-5A8879198830}"/>
    <cellStyle name="Calculation 2 2 2 3" xfId="747" xr:uid="{00000000-0005-0000-0000-0000F2020000}"/>
    <cellStyle name="Calculation 2 2 2 3 2" xfId="21384" xr:uid="{00000000-0005-0000-0000-0000F3020000}"/>
    <cellStyle name="Calculation 2 2 2 3 2 2" xfId="22287" xr:uid="{BD4FC2A3-2BA3-419B-8F7C-5E32DBE2F969}"/>
    <cellStyle name="Calculation 2 2 2 3 3" xfId="21442" xr:uid="{9DA1A17F-4D6A-4DBF-A454-AB7F7F903D2E}"/>
    <cellStyle name="Calculation 2 2 2 4" xfId="748" xr:uid="{00000000-0005-0000-0000-0000F4020000}"/>
    <cellStyle name="Calculation 2 2 2 4 2" xfId="21383" xr:uid="{00000000-0005-0000-0000-0000F5020000}"/>
    <cellStyle name="Calculation 2 2 2 4 2 2" xfId="22286" xr:uid="{C3FE52E6-DF89-43E3-91D6-A9D55C6F02E0}"/>
    <cellStyle name="Calculation 2 2 2 4 3" xfId="21443" xr:uid="{D4A61EF0-AA92-4C90-A51D-ED076425CC62}"/>
    <cellStyle name="Calculation 2 2 2 5" xfId="21386" xr:uid="{00000000-0005-0000-0000-0000F6020000}"/>
    <cellStyle name="Calculation 2 2 2 5 2" xfId="22289" xr:uid="{38CB3B09-A78B-40EB-B8C1-E55B56D3EF27}"/>
    <cellStyle name="Calculation 2 2 2 6" xfId="21440" xr:uid="{19164F96-93EE-412D-AC42-E77CC61B5EDB}"/>
    <cellStyle name="Calculation 2 2 3" xfId="749" xr:uid="{00000000-0005-0000-0000-0000F7020000}"/>
    <cellStyle name="Calculation 2 2 3 2" xfId="750" xr:uid="{00000000-0005-0000-0000-0000F8020000}"/>
    <cellStyle name="Calculation 2 2 3 2 2" xfId="21381" xr:uid="{00000000-0005-0000-0000-0000F9020000}"/>
    <cellStyle name="Calculation 2 2 3 2 2 2" xfId="22284" xr:uid="{7B54366D-217E-49A5-A5F9-30FD540FF9D3}"/>
    <cellStyle name="Calculation 2 2 3 2 3" xfId="21445" xr:uid="{845F3569-871F-4FD0-BBF5-572A46E77E33}"/>
    <cellStyle name="Calculation 2 2 3 3" xfId="751" xr:uid="{00000000-0005-0000-0000-0000FA020000}"/>
    <cellStyle name="Calculation 2 2 3 3 2" xfId="21380" xr:uid="{00000000-0005-0000-0000-0000FB020000}"/>
    <cellStyle name="Calculation 2 2 3 3 2 2" xfId="22283" xr:uid="{9697D9B1-D4EE-44FC-BD8A-EDFE54BD4843}"/>
    <cellStyle name="Calculation 2 2 3 3 3" xfId="21446" xr:uid="{E7EC81B5-2434-4009-BE37-3CA141C8AE9E}"/>
    <cellStyle name="Calculation 2 2 3 4" xfId="752" xr:uid="{00000000-0005-0000-0000-0000FC020000}"/>
    <cellStyle name="Calculation 2 2 3 4 2" xfId="21379" xr:uid="{00000000-0005-0000-0000-0000FD020000}"/>
    <cellStyle name="Calculation 2 2 3 4 2 2" xfId="22282" xr:uid="{0ED54AE0-412D-4B71-AA81-7BF1F0C4C081}"/>
    <cellStyle name="Calculation 2 2 3 4 3" xfId="21447" xr:uid="{1044A1B2-114E-45F5-8CA2-8D2EBBFD7C56}"/>
    <cellStyle name="Calculation 2 2 3 5" xfId="21382" xr:uid="{00000000-0005-0000-0000-0000FE020000}"/>
    <cellStyle name="Calculation 2 2 3 5 2" xfId="22285" xr:uid="{4F54300A-F1AE-4D8C-8963-4B9307131798}"/>
    <cellStyle name="Calculation 2 2 3 6" xfId="21444" xr:uid="{B1A35B5A-F1C8-49E7-A125-17DCEFED8D03}"/>
    <cellStyle name="Calculation 2 2 4" xfId="753" xr:uid="{00000000-0005-0000-0000-0000FF020000}"/>
    <cellStyle name="Calculation 2 2 4 2" xfId="754" xr:uid="{00000000-0005-0000-0000-000000030000}"/>
    <cellStyle name="Calculation 2 2 4 2 2" xfId="21377" xr:uid="{00000000-0005-0000-0000-000001030000}"/>
    <cellStyle name="Calculation 2 2 4 2 2 2" xfId="22280" xr:uid="{1DD57CF1-2A56-4C79-AF74-471E493A09CB}"/>
    <cellStyle name="Calculation 2 2 4 2 3" xfId="21449" xr:uid="{7DDF8346-21A4-47BA-83AD-67009390B3E0}"/>
    <cellStyle name="Calculation 2 2 4 3" xfId="755" xr:uid="{00000000-0005-0000-0000-000002030000}"/>
    <cellStyle name="Calculation 2 2 4 3 2" xfId="21376" xr:uid="{00000000-0005-0000-0000-000003030000}"/>
    <cellStyle name="Calculation 2 2 4 3 2 2" xfId="22279" xr:uid="{99C6A476-BC26-45C5-9ADC-042160EB50A3}"/>
    <cellStyle name="Calculation 2 2 4 3 3" xfId="21450" xr:uid="{4DB76368-B46E-468B-925B-08E0F25735CB}"/>
    <cellStyle name="Calculation 2 2 4 4" xfId="756" xr:uid="{00000000-0005-0000-0000-000004030000}"/>
    <cellStyle name="Calculation 2 2 4 4 2" xfId="21375" xr:uid="{00000000-0005-0000-0000-000005030000}"/>
    <cellStyle name="Calculation 2 2 4 4 2 2" xfId="22278" xr:uid="{157E7210-AABA-40EA-B205-9F88590533ED}"/>
    <cellStyle name="Calculation 2 2 4 4 3" xfId="21451" xr:uid="{038AB97E-E990-4BBD-BE21-2F8662A0951C}"/>
    <cellStyle name="Calculation 2 2 4 5" xfId="21378" xr:uid="{00000000-0005-0000-0000-000006030000}"/>
    <cellStyle name="Calculation 2 2 4 5 2" xfId="22281" xr:uid="{DCECF9F4-3923-4B9A-B210-4E6AEA11DCFC}"/>
    <cellStyle name="Calculation 2 2 4 6" xfId="21448" xr:uid="{9B98767C-642B-477B-9B9B-CEB3ED1BD282}"/>
    <cellStyle name="Calculation 2 2 5" xfId="757" xr:uid="{00000000-0005-0000-0000-000007030000}"/>
    <cellStyle name="Calculation 2 2 5 2" xfId="758" xr:uid="{00000000-0005-0000-0000-000008030000}"/>
    <cellStyle name="Calculation 2 2 5 2 2" xfId="21373" xr:uid="{00000000-0005-0000-0000-000009030000}"/>
    <cellStyle name="Calculation 2 2 5 2 2 2" xfId="22276" xr:uid="{F40126B8-1E30-49CD-8A09-8BCEEB754635}"/>
    <cellStyle name="Calculation 2 2 5 2 3" xfId="21453" xr:uid="{272F83CE-08B0-4B14-B9B3-7733999309BF}"/>
    <cellStyle name="Calculation 2 2 5 3" xfId="759" xr:uid="{00000000-0005-0000-0000-00000A030000}"/>
    <cellStyle name="Calculation 2 2 5 3 2" xfId="21372" xr:uid="{00000000-0005-0000-0000-00000B030000}"/>
    <cellStyle name="Calculation 2 2 5 3 2 2" xfId="22275" xr:uid="{FAEDBB3D-1D00-4198-BCC6-DD197B87D91B}"/>
    <cellStyle name="Calculation 2 2 5 3 3" xfId="21454" xr:uid="{F5AF85B1-C100-4CC3-BF6D-E19E49448A61}"/>
    <cellStyle name="Calculation 2 2 5 4" xfId="760" xr:uid="{00000000-0005-0000-0000-00000C030000}"/>
    <cellStyle name="Calculation 2 2 5 4 2" xfId="21371" xr:uid="{00000000-0005-0000-0000-00000D030000}"/>
    <cellStyle name="Calculation 2 2 5 4 2 2" xfId="22274" xr:uid="{F745AAFE-9B30-4329-B181-001934FC0565}"/>
    <cellStyle name="Calculation 2 2 5 4 3" xfId="21455" xr:uid="{4FDE849F-BEE6-41D0-B65B-BA6C6EF2B028}"/>
    <cellStyle name="Calculation 2 2 5 5" xfId="21374" xr:uid="{00000000-0005-0000-0000-00000E030000}"/>
    <cellStyle name="Calculation 2 2 5 5 2" xfId="22277" xr:uid="{953C1530-E4E9-48A1-9BE3-714B7EACD4A9}"/>
    <cellStyle name="Calculation 2 2 5 6" xfId="21452" xr:uid="{956A3D71-3AE2-416A-98AA-ED7E7DAA7F38}"/>
    <cellStyle name="Calculation 2 2 6" xfId="761" xr:uid="{00000000-0005-0000-0000-00000F030000}"/>
    <cellStyle name="Calculation 2 2 6 2" xfId="21370" xr:uid="{00000000-0005-0000-0000-000010030000}"/>
    <cellStyle name="Calculation 2 2 6 2 2" xfId="22273" xr:uid="{9ED3E26F-D403-4F97-85B5-BB10077D2973}"/>
    <cellStyle name="Calculation 2 2 6 3" xfId="21456" xr:uid="{9E16C187-A42B-4A7E-A754-1B0694632F4C}"/>
    <cellStyle name="Calculation 2 2 7" xfId="762" xr:uid="{00000000-0005-0000-0000-000011030000}"/>
    <cellStyle name="Calculation 2 2 7 2" xfId="21369" xr:uid="{00000000-0005-0000-0000-000012030000}"/>
    <cellStyle name="Calculation 2 2 7 2 2" xfId="22272" xr:uid="{D5FAA13F-24DA-4A35-901F-342E95FAF39D}"/>
    <cellStyle name="Calculation 2 2 7 3" xfId="21457" xr:uid="{D06A6590-381D-41DA-85FC-FB690092F6DB}"/>
    <cellStyle name="Calculation 2 2 8" xfId="763" xr:uid="{00000000-0005-0000-0000-000013030000}"/>
    <cellStyle name="Calculation 2 2 8 2" xfId="21368" xr:uid="{00000000-0005-0000-0000-000014030000}"/>
    <cellStyle name="Calculation 2 2 8 2 2" xfId="22271" xr:uid="{CF027EC5-BC7B-4D87-8C4E-ECBECA4010AE}"/>
    <cellStyle name="Calculation 2 2 8 3" xfId="21458" xr:uid="{C9A74639-854B-496D-B427-F073A8C013C8}"/>
    <cellStyle name="Calculation 2 2 9" xfId="764" xr:uid="{00000000-0005-0000-0000-000015030000}"/>
    <cellStyle name="Calculation 2 2 9 2" xfId="21367" xr:uid="{00000000-0005-0000-0000-000016030000}"/>
    <cellStyle name="Calculation 2 2 9 2 2" xfId="22270" xr:uid="{35BE40BD-5B59-42E5-9E7A-F502CE9B3765}"/>
    <cellStyle name="Calculation 2 2 9 3" xfId="21459" xr:uid="{82ABC528-3574-40BD-A56F-1BED93D26F0A}"/>
    <cellStyle name="Calculation 2 3" xfId="765" xr:uid="{00000000-0005-0000-0000-000017030000}"/>
    <cellStyle name="Calculation 2 3 2" xfId="766" xr:uid="{00000000-0005-0000-0000-000018030000}"/>
    <cellStyle name="Calculation 2 3 2 2" xfId="21366" xr:uid="{00000000-0005-0000-0000-000019030000}"/>
    <cellStyle name="Calculation 2 3 2 2 2" xfId="22269" xr:uid="{4A27E461-FFC8-428C-AD7B-9CB8A72D248C}"/>
    <cellStyle name="Calculation 2 3 2 3" xfId="21460" xr:uid="{2BB7B854-641C-49AE-BE51-0F7F9C837754}"/>
    <cellStyle name="Calculation 2 3 3" xfId="767" xr:uid="{00000000-0005-0000-0000-00001A030000}"/>
    <cellStyle name="Calculation 2 3 3 2" xfId="21365" xr:uid="{00000000-0005-0000-0000-00001B030000}"/>
    <cellStyle name="Calculation 2 3 3 2 2" xfId="22268" xr:uid="{FEEB4B54-6A7D-496C-870B-30E71897AC99}"/>
    <cellStyle name="Calculation 2 3 3 3" xfId="21461" xr:uid="{ADA97AE5-AAF8-4073-A7F4-6F3AEF71B3BC}"/>
    <cellStyle name="Calculation 2 3 4" xfId="768" xr:uid="{00000000-0005-0000-0000-00001C030000}"/>
    <cellStyle name="Calculation 2 3 4 2" xfId="21364" xr:uid="{00000000-0005-0000-0000-00001D030000}"/>
    <cellStyle name="Calculation 2 3 4 2 2" xfId="22267" xr:uid="{179ADFBB-47EE-4828-A742-A1110DF58265}"/>
    <cellStyle name="Calculation 2 3 4 3" xfId="21462" xr:uid="{864A7562-875F-43B6-9E46-C38190A70767}"/>
    <cellStyle name="Calculation 2 3 5" xfId="769" xr:uid="{00000000-0005-0000-0000-00001E030000}"/>
    <cellStyle name="Calculation 2 3 5 2" xfId="21363" xr:uid="{00000000-0005-0000-0000-00001F030000}"/>
    <cellStyle name="Calculation 2 3 5 2 2" xfId="22266" xr:uid="{83A77E26-0CC3-433F-B8EF-0FA1E8970463}"/>
    <cellStyle name="Calculation 2 3 5 3" xfId="21463" xr:uid="{73176A92-7691-4134-8989-8B20B5588262}"/>
    <cellStyle name="Calculation 2 4" xfId="770" xr:uid="{00000000-0005-0000-0000-000020030000}"/>
    <cellStyle name="Calculation 2 4 2" xfId="771" xr:uid="{00000000-0005-0000-0000-000021030000}"/>
    <cellStyle name="Calculation 2 4 2 2" xfId="21362" xr:uid="{00000000-0005-0000-0000-000022030000}"/>
    <cellStyle name="Calculation 2 4 2 2 2" xfId="22265" xr:uid="{44F23D10-9469-4B1E-9D11-4C171349A2DD}"/>
    <cellStyle name="Calculation 2 4 2 3" xfId="21464" xr:uid="{348DC87E-B040-4913-9514-443F7ADA9031}"/>
    <cellStyle name="Calculation 2 4 3" xfId="772" xr:uid="{00000000-0005-0000-0000-000023030000}"/>
    <cellStyle name="Calculation 2 4 3 2" xfId="21361" xr:uid="{00000000-0005-0000-0000-000024030000}"/>
    <cellStyle name="Calculation 2 4 3 2 2" xfId="22264" xr:uid="{7B65E07C-1E9F-4F1B-8D5E-821078BD71E6}"/>
    <cellStyle name="Calculation 2 4 3 3" xfId="21465" xr:uid="{AC4001B9-DFBE-4206-B52C-9E2E85CD3138}"/>
    <cellStyle name="Calculation 2 4 4" xfId="773" xr:uid="{00000000-0005-0000-0000-000025030000}"/>
    <cellStyle name="Calculation 2 4 4 2" xfId="21360" xr:uid="{00000000-0005-0000-0000-000026030000}"/>
    <cellStyle name="Calculation 2 4 4 2 2" xfId="22263" xr:uid="{FCE1241F-9BED-4A9B-839B-EC9D78E109C8}"/>
    <cellStyle name="Calculation 2 4 4 3" xfId="21466" xr:uid="{036D8F15-3C44-42A3-9FBB-251CDF6416D0}"/>
    <cellStyle name="Calculation 2 4 5" xfId="774" xr:uid="{00000000-0005-0000-0000-000027030000}"/>
    <cellStyle name="Calculation 2 4 5 2" xfId="21359" xr:uid="{00000000-0005-0000-0000-000028030000}"/>
    <cellStyle name="Calculation 2 4 5 2 2" xfId="22262" xr:uid="{D9CA2BDF-BE88-4534-819D-26E6CC17494E}"/>
    <cellStyle name="Calculation 2 4 5 3" xfId="21467" xr:uid="{1C0FEB65-A74B-4E99-B27A-90914D430A89}"/>
    <cellStyle name="Calculation 2 5" xfId="775" xr:uid="{00000000-0005-0000-0000-000029030000}"/>
    <cellStyle name="Calculation 2 5 2" xfId="776" xr:uid="{00000000-0005-0000-0000-00002A030000}"/>
    <cellStyle name="Calculation 2 5 2 2" xfId="21358" xr:uid="{00000000-0005-0000-0000-00002B030000}"/>
    <cellStyle name="Calculation 2 5 2 2 2" xfId="22261" xr:uid="{4622F2A1-CAF4-4714-9D5A-50F306CD70DF}"/>
    <cellStyle name="Calculation 2 5 2 3" xfId="21468" xr:uid="{9C6AB6AB-3CCF-4C01-ADEC-4D73BCF8EE96}"/>
    <cellStyle name="Calculation 2 5 3" xfId="777" xr:uid="{00000000-0005-0000-0000-00002C030000}"/>
    <cellStyle name="Calculation 2 5 3 2" xfId="21357" xr:uid="{00000000-0005-0000-0000-00002D030000}"/>
    <cellStyle name="Calculation 2 5 3 2 2" xfId="22260" xr:uid="{73A29D8A-D395-4B0D-8F0C-6933D1D88E5F}"/>
    <cellStyle name="Calculation 2 5 3 3" xfId="21469" xr:uid="{66A638F3-68B6-4BE0-BB01-81DF1D0B2A6F}"/>
    <cellStyle name="Calculation 2 5 4" xfId="778" xr:uid="{00000000-0005-0000-0000-00002E030000}"/>
    <cellStyle name="Calculation 2 5 4 2" xfId="21356" xr:uid="{00000000-0005-0000-0000-00002F030000}"/>
    <cellStyle name="Calculation 2 5 4 2 2" xfId="22259" xr:uid="{24786238-DB2C-48F5-9879-680F59168878}"/>
    <cellStyle name="Calculation 2 5 4 3" xfId="21470" xr:uid="{715FAE0D-E288-4DB5-B3F5-E768C2D63CFC}"/>
    <cellStyle name="Calculation 2 5 5" xfId="779" xr:uid="{00000000-0005-0000-0000-000030030000}"/>
    <cellStyle name="Calculation 2 5 5 2" xfId="21355" xr:uid="{00000000-0005-0000-0000-000031030000}"/>
    <cellStyle name="Calculation 2 5 5 2 2" xfId="22258" xr:uid="{8C1927C7-B1E8-47BA-9FAC-B1A7C180C3AA}"/>
    <cellStyle name="Calculation 2 5 5 3" xfId="21471" xr:uid="{C5A68B9D-F323-41C8-BE89-CD10331ABBDB}"/>
    <cellStyle name="Calculation 2 6" xfId="780" xr:uid="{00000000-0005-0000-0000-000032030000}"/>
    <cellStyle name="Calculation 2 6 2" xfId="781" xr:uid="{00000000-0005-0000-0000-000033030000}"/>
    <cellStyle name="Calculation 2 6 2 2" xfId="21354" xr:uid="{00000000-0005-0000-0000-000034030000}"/>
    <cellStyle name="Calculation 2 6 2 2 2" xfId="22257" xr:uid="{2933BC2D-51C3-4237-8087-8683CB752F25}"/>
    <cellStyle name="Calculation 2 6 2 3" xfId="21472" xr:uid="{F518EB6C-AEB5-48FA-AED3-2713376C3359}"/>
    <cellStyle name="Calculation 2 6 3" xfId="782" xr:uid="{00000000-0005-0000-0000-000035030000}"/>
    <cellStyle name="Calculation 2 6 3 2" xfId="21353" xr:uid="{00000000-0005-0000-0000-000036030000}"/>
    <cellStyle name="Calculation 2 6 3 2 2" xfId="22256" xr:uid="{2342902B-54FD-4EF1-87A1-5DC38E7E4D99}"/>
    <cellStyle name="Calculation 2 6 3 3" xfId="21473" xr:uid="{7FC9F133-C4B5-46A8-BE2C-ACA011AECE73}"/>
    <cellStyle name="Calculation 2 6 4" xfId="783" xr:uid="{00000000-0005-0000-0000-000037030000}"/>
    <cellStyle name="Calculation 2 6 4 2" xfId="21352" xr:uid="{00000000-0005-0000-0000-000038030000}"/>
    <cellStyle name="Calculation 2 6 4 2 2" xfId="22255" xr:uid="{C0D0962E-86F1-4620-8F8F-657D5A56B02E}"/>
    <cellStyle name="Calculation 2 6 4 3" xfId="21474" xr:uid="{97F7D96A-768C-4048-8B30-03A68513F311}"/>
    <cellStyle name="Calculation 2 6 5" xfId="784" xr:uid="{00000000-0005-0000-0000-000039030000}"/>
    <cellStyle name="Calculation 2 6 5 2" xfId="21351" xr:uid="{00000000-0005-0000-0000-00003A030000}"/>
    <cellStyle name="Calculation 2 6 5 2 2" xfId="22254" xr:uid="{C57EF002-B88C-4630-A3E0-CA768777EBD5}"/>
    <cellStyle name="Calculation 2 6 5 3" xfId="21475" xr:uid="{107F9F23-580A-4DED-AA0C-BF043B8EA15D}"/>
    <cellStyle name="Calculation 2 7" xfId="785" xr:uid="{00000000-0005-0000-0000-00003B030000}"/>
    <cellStyle name="Calculation 2 7 2" xfId="786" xr:uid="{00000000-0005-0000-0000-00003C030000}"/>
    <cellStyle name="Calculation 2 7 2 2" xfId="21350" xr:uid="{00000000-0005-0000-0000-00003D030000}"/>
    <cellStyle name="Calculation 2 7 2 2 2" xfId="22253" xr:uid="{4E5BC1D8-0511-4704-84B7-F2B962CE9CB2}"/>
    <cellStyle name="Calculation 2 7 2 3" xfId="21476" xr:uid="{E07127C4-8BC4-4899-BBD3-78FBFB98E832}"/>
    <cellStyle name="Calculation 2 7 3" xfId="787" xr:uid="{00000000-0005-0000-0000-00003E030000}"/>
    <cellStyle name="Calculation 2 7 3 2" xfId="21349" xr:uid="{00000000-0005-0000-0000-00003F030000}"/>
    <cellStyle name="Calculation 2 7 3 2 2" xfId="22252" xr:uid="{783FD436-1874-40B6-AF57-2023377ECD17}"/>
    <cellStyle name="Calculation 2 7 3 3" xfId="21477" xr:uid="{DDBFC10B-4FA5-4AB0-8E2E-66310DCA49AA}"/>
    <cellStyle name="Calculation 2 7 4" xfId="788" xr:uid="{00000000-0005-0000-0000-000040030000}"/>
    <cellStyle name="Calculation 2 7 4 2" xfId="21348" xr:uid="{00000000-0005-0000-0000-000041030000}"/>
    <cellStyle name="Calculation 2 7 4 2 2" xfId="22251" xr:uid="{44E211D2-B520-48A2-B783-533C9354EE55}"/>
    <cellStyle name="Calculation 2 7 4 3" xfId="21478" xr:uid="{E7E033E5-D7AD-4CE5-B9EA-61D31BB6EF58}"/>
    <cellStyle name="Calculation 2 7 5" xfId="789" xr:uid="{00000000-0005-0000-0000-000042030000}"/>
    <cellStyle name="Calculation 2 7 5 2" xfId="21347" xr:uid="{00000000-0005-0000-0000-000043030000}"/>
    <cellStyle name="Calculation 2 7 5 2 2" xfId="22250" xr:uid="{D0B121E1-66AA-40A1-9BE0-24A114FEF9A4}"/>
    <cellStyle name="Calculation 2 7 5 3" xfId="21479" xr:uid="{B4402083-3E88-4070-8500-09F9E2AD10B1}"/>
    <cellStyle name="Calculation 2 8" xfId="790" xr:uid="{00000000-0005-0000-0000-000044030000}"/>
    <cellStyle name="Calculation 2 8 2" xfId="791" xr:uid="{00000000-0005-0000-0000-000045030000}"/>
    <cellStyle name="Calculation 2 8 2 2" xfId="21346" xr:uid="{00000000-0005-0000-0000-000046030000}"/>
    <cellStyle name="Calculation 2 8 2 2 2" xfId="22249" xr:uid="{039F6BDD-EC29-42BD-AF8A-0D3DA52DB067}"/>
    <cellStyle name="Calculation 2 8 2 3" xfId="21480" xr:uid="{FCF670E0-9A14-41F1-858B-6A543E1DB7CF}"/>
    <cellStyle name="Calculation 2 8 3" xfId="792" xr:uid="{00000000-0005-0000-0000-000047030000}"/>
    <cellStyle name="Calculation 2 8 3 2" xfId="21345" xr:uid="{00000000-0005-0000-0000-000048030000}"/>
    <cellStyle name="Calculation 2 8 3 2 2" xfId="22248" xr:uid="{5F512E2D-EA5B-48D1-9B9E-55D1ACB87213}"/>
    <cellStyle name="Calculation 2 8 3 3" xfId="21481" xr:uid="{D13F71BD-421A-4DC5-8B0A-3D5E6A8E6B81}"/>
    <cellStyle name="Calculation 2 8 4" xfId="793" xr:uid="{00000000-0005-0000-0000-000049030000}"/>
    <cellStyle name="Calculation 2 8 4 2" xfId="21344" xr:uid="{00000000-0005-0000-0000-00004A030000}"/>
    <cellStyle name="Calculation 2 8 4 2 2" xfId="22247" xr:uid="{200A8CBD-2263-4E27-8627-FB546FCA3F4F}"/>
    <cellStyle name="Calculation 2 8 4 3" xfId="21482" xr:uid="{23FBE581-3A64-4622-AC7A-62B680926AC0}"/>
    <cellStyle name="Calculation 2 8 5" xfId="794" xr:uid="{00000000-0005-0000-0000-00004B030000}"/>
    <cellStyle name="Calculation 2 8 5 2" xfId="21343" xr:uid="{00000000-0005-0000-0000-00004C030000}"/>
    <cellStyle name="Calculation 2 8 5 2 2" xfId="22246" xr:uid="{4BF877AB-B21D-4CF3-BCF2-C264BEDE32B9}"/>
    <cellStyle name="Calculation 2 8 5 3" xfId="21483" xr:uid="{D190A661-3E2D-4F92-8695-8F8CB4189217}"/>
    <cellStyle name="Calculation 2 9" xfId="795" xr:uid="{00000000-0005-0000-0000-00004D030000}"/>
    <cellStyle name="Calculation 2 9 2" xfId="796" xr:uid="{00000000-0005-0000-0000-00004E030000}"/>
    <cellStyle name="Calculation 2 9 2 2" xfId="21342" xr:uid="{00000000-0005-0000-0000-00004F030000}"/>
    <cellStyle name="Calculation 2 9 2 2 2" xfId="22245" xr:uid="{05F2CE41-6103-47A8-BC8A-EC5D11FCE4BF}"/>
    <cellStyle name="Calculation 2 9 2 3" xfId="21484" xr:uid="{007DF760-FA8C-4309-A6D2-387409631D00}"/>
    <cellStyle name="Calculation 2 9 3" xfId="797" xr:uid="{00000000-0005-0000-0000-000050030000}"/>
    <cellStyle name="Calculation 2 9 3 2" xfId="21341" xr:uid="{00000000-0005-0000-0000-000051030000}"/>
    <cellStyle name="Calculation 2 9 3 2 2" xfId="22244" xr:uid="{DFC10DE7-5A12-4910-AA8B-B4A11616A6DB}"/>
    <cellStyle name="Calculation 2 9 3 3" xfId="21485" xr:uid="{06D98F5B-FBC1-41DC-AE96-39DA56BF23DD}"/>
    <cellStyle name="Calculation 2 9 4" xfId="798" xr:uid="{00000000-0005-0000-0000-000052030000}"/>
    <cellStyle name="Calculation 2 9 4 2" xfId="21340" xr:uid="{00000000-0005-0000-0000-000053030000}"/>
    <cellStyle name="Calculation 2 9 4 2 2" xfId="22243" xr:uid="{4CF27102-7664-4701-AFA7-E4DD2AAE0B07}"/>
    <cellStyle name="Calculation 2 9 4 3" xfId="21486" xr:uid="{54F17FDD-8CD3-48F5-83A9-CD6A1FA1C1DA}"/>
    <cellStyle name="Calculation 2 9 5" xfId="799" xr:uid="{00000000-0005-0000-0000-000054030000}"/>
    <cellStyle name="Calculation 2 9 5 2" xfId="21339" xr:uid="{00000000-0005-0000-0000-000055030000}"/>
    <cellStyle name="Calculation 2 9 5 2 2" xfId="22242" xr:uid="{C789C52D-EA43-48C6-A8F4-BC172171D11F}"/>
    <cellStyle name="Calculation 2 9 5 3" xfId="21487" xr:uid="{97E48C29-9B68-4723-B95E-E9707F3CEDD4}"/>
    <cellStyle name="Calculation 3" xfId="800" xr:uid="{00000000-0005-0000-0000-000056030000}"/>
    <cellStyle name="Calculation 3 2" xfId="801" xr:uid="{00000000-0005-0000-0000-000057030000}"/>
    <cellStyle name="Calculation 3 2 2" xfId="21337" xr:uid="{00000000-0005-0000-0000-000058030000}"/>
    <cellStyle name="Calculation 3 2 2 2" xfId="22240" xr:uid="{336CFDFC-134C-4372-8F28-2224B60556CA}"/>
    <cellStyle name="Calculation 3 2 3" xfId="21489" xr:uid="{9157F310-4141-4027-AB96-2E5A7C333C2D}"/>
    <cellStyle name="Calculation 3 3" xfId="802" xr:uid="{00000000-0005-0000-0000-000059030000}"/>
    <cellStyle name="Calculation 3 3 2" xfId="21336" xr:uid="{00000000-0005-0000-0000-00005A030000}"/>
    <cellStyle name="Calculation 3 3 2 2" xfId="22239" xr:uid="{8F77F539-36E0-4834-ABEB-F5B8EC8467D2}"/>
    <cellStyle name="Calculation 3 3 3" xfId="21490" xr:uid="{E2E3E9B4-8AD2-41ED-AA16-4DC5A71F6EC2}"/>
    <cellStyle name="Calculation 3 4" xfId="21338" xr:uid="{00000000-0005-0000-0000-00005B030000}"/>
    <cellStyle name="Calculation 3 4 2" xfId="22241" xr:uid="{3C3786BC-D1A1-49E6-8576-22AA4E965EF2}"/>
    <cellStyle name="Calculation 3 5" xfId="21488" xr:uid="{B7D91630-919D-4CAF-B339-87826F8705D7}"/>
    <cellStyle name="Calculation 4" xfId="803" xr:uid="{00000000-0005-0000-0000-00005C030000}"/>
    <cellStyle name="Calculation 4 2" xfId="804" xr:uid="{00000000-0005-0000-0000-00005D030000}"/>
    <cellStyle name="Calculation 4 2 2" xfId="21334" xr:uid="{00000000-0005-0000-0000-00005E030000}"/>
    <cellStyle name="Calculation 4 2 2 2" xfId="22237" xr:uid="{F91D1DE2-301B-4910-A29D-39903E189730}"/>
    <cellStyle name="Calculation 4 2 3" xfId="21492" xr:uid="{1BB2BB56-6225-4B06-A58F-C5CF9A59CD02}"/>
    <cellStyle name="Calculation 4 3" xfId="805" xr:uid="{00000000-0005-0000-0000-00005F030000}"/>
    <cellStyle name="Calculation 4 3 2" xfId="21333" xr:uid="{00000000-0005-0000-0000-000060030000}"/>
    <cellStyle name="Calculation 4 3 2 2" xfId="22236" xr:uid="{88918F38-545E-4D58-91DE-DCA54547DD6C}"/>
    <cellStyle name="Calculation 4 3 3" xfId="21493" xr:uid="{F64D55EC-6B50-4599-AC11-9DA9CA6557E2}"/>
    <cellStyle name="Calculation 4 4" xfId="21335" xr:uid="{00000000-0005-0000-0000-000061030000}"/>
    <cellStyle name="Calculation 4 4 2" xfId="22238" xr:uid="{64DD070F-4616-422E-A20B-9452B158468B}"/>
    <cellStyle name="Calculation 4 5" xfId="21491" xr:uid="{9BA6E7AA-479C-4D4A-AF6C-60669A5228E6}"/>
    <cellStyle name="Calculation 5" xfId="806" xr:uid="{00000000-0005-0000-0000-000062030000}"/>
    <cellStyle name="Calculation 5 2" xfId="807" xr:uid="{00000000-0005-0000-0000-000063030000}"/>
    <cellStyle name="Calculation 5 2 2" xfId="21331" xr:uid="{00000000-0005-0000-0000-000064030000}"/>
    <cellStyle name="Calculation 5 2 2 2" xfId="22234" xr:uid="{726978A1-46E5-4755-861F-50726A239DD1}"/>
    <cellStyle name="Calculation 5 2 3" xfId="21495" xr:uid="{CD5F7511-1687-43C3-A440-7129BF9A1DC3}"/>
    <cellStyle name="Calculation 5 3" xfId="808" xr:uid="{00000000-0005-0000-0000-000065030000}"/>
    <cellStyle name="Calculation 5 3 2" xfId="21330" xr:uid="{00000000-0005-0000-0000-000066030000}"/>
    <cellStyle name="Calculation 5 3 2 2" xfId="22233" xr:uid="{BBB36466-2E2D-4702-9A93-A17F6B88D2D6}"/>
    <cellStyle name="Calculation 5 3 3" xfId="21496" xr:uid="{9E34C5A4-1BF6-429C-98C7-BC6634B18551}"/>
    <cellStyle name="Calculation 5 4" xfId="21332" xr:uid="{00000000-0005-0000-0000-000067030000}"/>
    <cellStyle name="Calculation 5 4 2" xfId="22235" xr:uid="{8154B70C-BC9E-4B82-9BEA-A1183086B214}"/>
    <cellStyle name="Calculation 5 5" xfId="21494" xr:uid="{440B9F32-0D65-482C-86A3-B147BD9D0A37}"/>
    <cellStyle name="Calculation 6" xfId="809" xr:uid="{00000000-0005-0000-0000-000068030000}"/>
    <cellStyle name="Calculation 6 2" xfId="810" xr:uid="{00000000-0005-0000-0000-000069030000}"/>
    <cellStyle name="Calculation 6 2 2" xfId="21328" xr:uid="{00000000-0005-0000-0000-00006A030000}"/>
    <cellStyle name="Calculation 6 2 2 2" xfId="22231" xr:uid="{B2A3AF0A-8A8E-4A5C-BF14-C2B0B14BB5DF}"/>
    <cellStyle name="Calculation 6 2 3" xfId="21498" xr:uid="{56E4F35A-C8B5-4273-9BF6-DAF64C9A275E}"/>
    <cellStyle name="Calculation 6 3" xfId="811" xr:uid="{00000000-0005-0000-0000-00006B030000}"/>
    <cellStyle name="Calculation 6 3 2" xfId="21327" xr:uid="{00000000-0005-0000-0000-00006C030000}"/>
    <cellStyle name="Calculation 6 3 2 2" xfId="22230" xr:uid="{B446A8F4-FE79-42BC-941D-C6834A90CAFA}"/>
    <cellStyle name="Calculation 6 3 3" xfId="21499" xr:uid="{E89EAB17-3416-4CB6-8F8C-AD6BFF363B76}"/>
    <cellStyle name="Calculation 6 4" xfId="21329" xr:uid="{00000000-0005-0000-0000-00006D030000}"/>
    <cellStyle name="Calculation 6 4 2" xfId="22232" xr:uid="{556945D1-C44B-4713-A7A6-E7C7CED4F32C}"/>
    <cellStyle name="Calculation 6 5" xfId="21497" xr:uid="{DEEAC677-E3D7-49A3-AEF0-4E11755B4DF0}"/>
    <cellStyle name="Calculation 7" xfId="812" xr:uid="{00000000-0005-0000-0000-00006E030000}"/>
    <cellStyle name="Calculation 7 2" xfId="21326" xr:uid="{00000000-0005-0000-0000-00006F030000}"/>
    <cellStyle name="Calculation 7 2 2" xfId="22229" xr:uid="{4259F188-F579-4BB2-AE91-86C6A9FAA00C}"/>
    <cellStyle name="Calculation 7 3" xfId="21500" xr:uid="{608D9036-003E-46AA-9DE4-034215C2B595}"/>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0 2 2" xfId="22227" xr:uid="{B40855E8-D391-4606-BACC-C8640CC474FC}"/>
    <cellStyle name="Gia's 10 3" xfId="21502" xr:uid="{503529E0-782C-4646-A66A-01F80FFE5692}"/>
    <cellStyle name="Gia's 11" xfId="21325" xr:uid="{00000000-0005-0000-0000-00002C240000}"/>
    <cellStyle name="Gia's 11 2" xfId="22228" xr:uid="{A4FE554D-9D31-47F8-9451-A473D55DEFCD}"/>
    <cellStyle name="Gia's 12" xfId="21501" xr:uid="{D0108C7E-0229-445C-9107-D065B3B3F645}"/>
    <cellStyle name="Gia's 2" xfId="9187" xr:uid="{00000000-0005-0000-0000-00002D240000}"/>
    <cellStyle name="Gia's 2 2" xfId="21323" xr:uid="{00000000-0005-0000-0000-00002E240000}"/>
    <cellStyle name="Gia's 2 2 2" xfId="22226" xr:uid="{48BC4230-5F92-4890-A65F-D3B5D938197C}"/>
    <cellStyle name="Gia's 2 3" xfId="21503" xr:uid="{6E8D4A08-DCB7-49F1-A74D-495650B581F7}"/>
    <cellStyle name="Gia's 3" xfId="9188" xr:uid="{00000000-0005-0000-0000-00002F240000}"/>
    <cellStyle name="Gia's 3 2" xfId="21322" xr:uid="{00000000-0005-0000-0000-000030240000}"/>
    <cellStyle name="Gia's 3 2 2" xfId="22225" xr:uid="{CB51DC1B-DE21-4B13-AF74-E2C71332397F}"/>
    <cellStyle name="Gia's 3 3" xfId="21504" xr:uid="{39691CCC-EE9A-4931-BD70-BA696CCB0A28}"/>
    <cellStyle name="Gia's 4" xfId="9189" xr:uid="{00000000-0005-0000-0000-000031240000}"/>
    <cellStyle name="Gia's 4 2" xfId="21321" xr:uid="{00000000-0005-0000-0000-000032240000}"/>
    <cellStyle name="Gia's 4 2 2" xfId="22224" xr:uid="{EF2886F2-E3C2-4A8B-A725-E61133087452}"/>
    <cellStyle name="Gia's 4 3" xfId="21505" xr:uid="{E87895BC-AA4A-4084-9873-BA5216ACD686}"/>
    <cellStyle name="Gia's 5" xfId="9190" xr:uid="{00000000-0005-0000-0000-000033240000}"/>
    <cellStyle name="Gia's 5 2" xfId="21320" xr:uid="{00000000-0005-0000-0000-000034240000}"/>
    <cellStyle name="Gia's 5 2 2" xfId="22223" xr:uid="{E266D51C-0444-4856-BA76-00CE93882A94}"/>
    <cellStyle name="Gia's 5 3" xfId="21506" xr:uid="{A2441342-6FA8-4067-969F-6DBA95767844}"/>
    <cellStyle name="Gia's 6" xfId="9191" xr:uid="{00000000-0005-0000-0000-000035240000}"/>
    <cellStyle name="Gia's 6 2" xfId="21319" xr:uid="{00000000-0005-0000-0000-000036240000}"/>
    <cellStyle name="Gia's 6 2 2" xfId="22222" xr:uid="{13FABE43-9EA3-4837-B3A8-02F7EC7E9C87}"/>
    <cellStyle name="Gia's 6 3" xfId="21507" xr:uid="{9296004E-9CF5-4B81-8630-45BF1A500802}"/>
    <cellStyle name="Gia's 7" xfId="9192" xr:uid="{00000000-0005-0000-0000-000037240000}"/>
    <cellStyle name="Gia's 7 2" xfId="21318" xr:uid="{00000000-0005-0000-0000-000038240000}"/>
    <cellStyle name="Gia's 7 2 2" xfId="22221" xr:uid="{C0171807-36C9-497B-A708-2BA366FB2E30}"/>
    <cellStyle name="Gia's 7 3" xfId="21508" xr:uid="{2E157927-9E11-4014-B921-EF406D48BCD2}"/>
    <cellStyle name="Gia's 8" xfId="9193" xr:uid="{00000000-0005-0000-0000-000039240000}"/>
    <cellStyle name="Gia's 8 2" xfId="21317" xr:uid="{00000000-0005-0000-0000-00003A240000}"/>
    <cellStyle name="Gia's 8 2 2" xfId="22220" xr:uid="{460A238E-91E5-45B7-9C1A-318728D68411}"/>
    <cellStyle name="Gia's 8 3" xfId="21509" xr:uid="{9E14F1BB-0A5D-4486-B3FA-8DE1FABDFD11}"/>
    <cellStyle name="Gia's 9" xfId="9194" xr:uid="{00000000-0005-0000-0000-00003B240000}"/>
    <cellStyle name="Gia's 9 2" xfId="21316" xr:uid="{00000000-0005-0000-0000-00003C240000}"/>
    <cellStyle name="Gia's 9 2 2" xfId="22219" xr:uid="{5CF1C307-B408-4C2F-B4D7-1B47E56E0461}"/>
    <cellStyle name="Gia's 9 3" xfId="21510" xr:uid="{D5D9750C-8908-4E10-92E3-4609827BFD3C}"/>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greyed 2 2" xfId="22218" xr:uid="{6502B9AB-4B47-4733-BA9E-25CF98807253}"/>
    <cellStyle name="greyed 3" xfId="21511" xr:uid="{D5C1AC7E-B8D5-4483-B4AC-262FCF174BD6}"/>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2 2 2" xfId="22216" xr:uid="{4E3B5035-89F3-4C24-A7F7-64E5B27BC1D8}"/>
    <cellStyle name="Header2 2 3" xfId="21513" xr:uid="{BB5B79B0-C812-41C3-AD32-9563944723AE}"/>
    <cellStyle name="Header2 3" xfId="9227" xr:uid="{00000000-0005-0000-0000-00005F240000}"/>
    <cellStyle name="Header2 3 2" xfId="21312" xr:uid="{00000000-0005-0000-0000-000060240000}"/>
    <cellStyle name="Header2 3 2 2" xfId="22215" xr:uid="{E1211D55-69AC-4310-8264-294C4DFD8B5D}"/>
    <cellStyle name="Header2 3 3" xfId="21514" xr:uid="{E3F969AD-362D-436C-AE73-68EC78C680B7}"/>
    <cellStyle name="Header2 4" xfId="21314" xr:uid="{00000000-0005-0000-0000-000061240000}"/>
    <cellStyle name="Header2 4 2" xfId="22217" xr:uid="{D0A69490-C091-4F83-9387-8438D25ABC20}"/>
    <cellStyle name="Header2 5" xfId="21512" xr:uid="{FEFDE21D-EBA1-4A5B-8F91-75B76B578C26}"/>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eadingTable 2 2" xfId="22214" xr:uid="{C776075A-E8C4-4118-9AA4-593A1479F2AE}"/>
    <cellStyle name="HeadingTable 3" xfId="21515" xr:uid="{1BFAD669-CB09-4E24-917A-7A83AFAA9368}"/>
    <cellStyle name="highlightExposure" xfId="9323" xr:uid="{00000000-0005-0000-0000-0000C2240000}"/>
    <cellStyle name="highlightExposure 2" xfId="21310" xr:uid="{00000000-0005-0000-0000-0000C3240000}"/>
    <cellStyle name="highlightExposure 2 2" xfId="22213" xr:uid="{85F95D66-6E34-4A78-889A-B05CD5DD6B53}"/>
    <cellStyle name="highlightExposure 3" xfId="21516" xr:uid="{BC99F3C5-A7CB-489A-8A03-D6745997AD5F}"/>
    <cellStyle name="highlightPercentage" xfId="9324" xr:uid="{00000000-0005-0000-0000-0000C4240000}"/>
    <cellStyle name="highlightPercentage 2" xfId="21309" xr:uid="{00000000-0005-0000-0000-0000C5240000}"/>
    <cellStyle name="highlightPercentage 2 2" xfId="22212" xr:uid="{EB4C7DA5-305D-492C-9F76-903594EB67EF}"/>
    <cellStyle name="highlightPercentage 3" xfId="21517" xr:uid="{FF60E9C9-96C8-4784-BCD1-E720C5D7146B}"/>
    <cellStyle name="highlightText" xfId="9325" xr:uid="{00000000-0005-0000-0000-0000C6240000}"/>
    <cellStyle name="highlightText 2" xfId="21308" xr:uid="{00000000-0005-0000-0000-0000C7240000}"/>
    <cellStyle name="highlightText 2 2" xfId="22211" xr:uid="{706A9D9E-D560-46E8-B7B4-183FBB20EC8B}"/>
    <cellStyle name="highlightText 3" xfId="21518" xr:uid="{7BDB5904-5BB4-4F17-A92F-603C36814F9E}"/>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2 2 2" xfId="22209" xr:uid="{70B62DC5-1395-467E-9DD1-E1679103CCAF}"/>
    <cellStyle name="Input 2 10 2 3" xfId="21520" xr:uid="{9B1333AD-968C-4D0C-A4F4-630D61EA97C2}"/>
    <cellStyle name="Input 2 10 3" xfId="9336" xr:uid="{00000000-0005-0000-0000-0000D4240000}"/>
    <cellStyle name="Input 2 10 3 2" xfId="21305" xr:uid="{00000000-0005-0000-0000-0000D5240000}"/>
    <cellStyle name="Input 2 10 3 2 2" xfId="22208" xr:uid="{2D7C24A7-EECE-42F6-AD97-848E096AB696}"/>
    <cellStyle name="Input 2 10 3 3" xfId="21521" xr:uid="{01A0B52D-6BDE-4EB8-9144-E96166FFA8B2}"/>
    <cellStyle name="Input 2 10 4" xfId="9337" xr:uid="{00000000-0005-0000-0000-0000D6240000}"/>
    <cellStyle name="Input 2 10 4 2" xfId="21304" xr:uid="{00000000-0005-0000-0000-0000D7240000}"/>
    <cellStyle name="Input 2 10 4 2 2" xfId="22207" xr:uid="{F7D5F702-4CC2-4C75-AC1B-93510C087B48}"/>
    <cellStyle name="Input 2 10 4 3" xfId="21522" xr:uid="{EEB856AF-59BB-4A10-8908-5FB2609B133E}"/>
    <cellStyle name="Input 2 10 5" xfId="9338" xr:uid="{00000000-0005-0000-0000-0000D8240000}"/>
    <cellStyle name="Input 2 10 5 2" xfId="21303" xr:uid="{00000000-0005-0000-0000-0000D9240000}"/>
    <cellStyle name="Input 2 10 5 2 2" xfId="22206" xr:uid="{99E075C6-C2DA-4933-9007-DF9287FF8D50}"/>
    <cellStyle name="Input 2 10 5 3" xfId="21523" xr:uid="{507FB794-782E-4EFD-B9D6-4A23FB68AD4D}"/>
    <cellStyle name="Input 2 11" xfId="9339" xr:uid="{00000000-0005-0000-0000-0000DA240000}"/>
    <cellStyle name="Input 2 11 2" xfId="9340" xr:uid="{00000000-0005-0000-0000-0000DB240000}"/>
    <cellStyle name="Input 2 11 2 2" xfId="21301" xr:uid="{00000000-0005-0000-0000-0000DC240000}"/>
    <cellStyle name="Input 2 11 2 2 2" xfId="22204" xr:uid="{73E3DE2A-5EB1-40D4-8103-4503D0267842}"/>
    <cellStyle name="Input 2 11 2 3" xfId="21525" xr:uid="{B3958992-DF16-4EB9-863B-0E675C752C8F}"/>
    <cellStyle name="Input 2 11 3" xfId="9341" xr:uid="{00000000-0005-0000-0000-0000DD240000}"/>
    <cellStyle name="Input 2 11 3 2" xfId="21300" xr:uid="{00000000-0005-0000-0000-0000DE240000}"/>
    <cellStyle name="Input 2 11 3 2 2" xfId="22203" xr:uid="{FDA36EB4-24EA-44F5-B727-B3C65DB12E32}"/>
    <cellStyle name="Input 2 11 3 3" xfId="21526" xr:uid="{6D8F353D-B855-4B3C-96EE-AFA0E50D078F}"/>
    <cellStyle name="Input 2 11 4" xfId="9342" xr:uid="{00000000-0005-0000-0000-0000DF240000}"/>
    <cellStyle name="Input 2 11 4 2" xfId="21299" xr:uid="{00000000-0005-0000-0000-0000E0240000}"/>
    <cellStyle name="Input 2 11 4 2 2" xfId="22202" xr:uid="{10ABCF7A-681D-46EF-9499-1A0F26DA30DF}"/>
    <cellStyle name="Input 2 11 4 3" xfId="21527" xr:uid="{C5EB38AD-EE38-49EA-B0D8-C0868D09D405}"/>
    <cellStyle name="Input 2 11 5" xfId="9343" xr:uid="{00000000-0005-0000-0000-0000E1240000}"/>
    <cellStyle name="Input 2 11 5 2" xfId="21298" xr:uid="{00000000-0005-0000-0000-0000E2240000}"/>
    <cellStyle name="Input 2 11 5 2 2" xfId="22201" xr:uid="{37932F37-910D-4405-8A02-3CB0BC6ED8BE}"/>
    <cellStyle name="Input 2 11 5 3" xfId="21528" xr:uid="{6C76B199-E055-4E32-A9FC-668C60B5ECF4}"/>
    <cellStyle name="Input 2 11 6" xfId="21302" xr:uid="{00000000-0005-0000-0000-0000E3240000}"/>
    <cellStyle name="Input 2 11 6 2" xfId="22205" xr:uid="{165B0AD5-C5E2-42D0-AE4D-D43C675123A3}"/>
    <cellStyle name="Input 2 11 7" xfId="21524" xr:uid="{B2C0EA65-B4FA-49EF-888F-2A70DA75607D}"/>
    <cellStyle name="Input 2 12" xfId="9344" xr:uid="{00000000-0005-0000-0000-0000E4240000}"/>
    <cellStyle name="Input 2 12 2" xfId="9345" xr:uid="{00000000-0005-0000-0000-0000E5240000}"/>
    <cellStyle name="Input 2 12 2 2" xfId="21296" xr:uid="{00000000-0005-0000-0000-0000E6240000}"/>
    <cellStyle name="Input 2 12 2 2 2" xfId="22199" xr:uid="{65AC7741-06C3-47A7-9D61-C3F2DD7E1A88}"/>
    <cellStyle name="Input 2 12 2 3" xfId="21530" xr:uid="{E6676709-44DB-4DF3-8DE3-FD1FC3D4EA29}"/>
    <cellStyle name="Input 2 12 3" xfId="9346" xr:uid="{00000000-0005-0000-0000-0000E7240000}"/>
    <cellStyle name="Input 2 12 3 2" xfId="21295" xr:uid="{00000000-0005-0000-0000-0000E8240000}"/>
    <cellStyle name="Input 2 12 3 2 2" xfId="22198" xr:uid="{4F1E949B-5604-4234-A6CD-0697A5248254}"/>
    <cellStyle name="Input 2 12 3 3" xfId="21531" xr:uid="{C5092E5E-2AFF-4FC2-B292-14120C085F3B}"/>
    <cellStyle name="Input 2 12 4" xfId="9347" xr:uid="{00000000-0005-0000-0000-0000E9240000}"/>
    <cellStyle name="Input 2 12 4 2" xfId="21294" xr:uid="{00000000-0005-0000-0000-0000EA240000}"/>
    <cellStyle name="Input 2 12 4 2 2" xfId="22197" xr:uid="{60442CE0-33DE-4F6A-877C-E5AAF5260DEC}"/>
    <cellStyle name="Input 2 12 4 3" xfId="21532" xr:uid="{0AD3F731-F579-47F7-BEE4-DE6FD3C3D3C5}"/>
    <cellStyle name="Input 2 12 5" xfId="9348" xr:uid="{00000000-0005-0000-0000-0000EB240000}"/>
    <cellStyle name="Input 2 12 5 2" xfId="21293" xr:uid="{00000000-0005-0000-0000-0000EC240000}"/>
    <cellStyle name="Input 2 12 5 2 2" xfId="22196" xr:uid="{29400604-69FA-4714-B4CD-9F99A918EC9E}"/>
    <cellStyle name="Input 2 12 5 3" xfId="21533" xr:uid="{9945D07A-69B8-4948-8F74-500120967815}"/>
    <cellStyle name="Input 2 12 6" xfId="21297" xr:uid="{00000000-0005-0000-0000-0000ED240000}"/>
    <cellStyle name="Input 2 12 6 2" xfId="22200" xr:uid="{56CD47F6-46D5-40D4-98A2-247DC32114F0}"/>
    <cellStyle name="Input 2 12 7" xfId="21529" xr:uid="{D34DF089-ABD4-44A7-BE6E-1102E0783551}"/>
    <cellStyle name="Input 2 13" xfId="9349" xr:uid="{00000000-0005-0000-0000-0000EE240000}"/>
    <cellStyle name="Input 2 13 2" xfId="9350" xr:uid="{00000000-0005-0000-0000-0000EF240000}"/>
    <cellStyle name="Input 2 13 2 2" xfId="21291" xr:uid="{00000000-0005-0000-0000-0000F0240000}"/>
    <cellStyle name="Input 2 13 2 2 2" xfId="22194" xr:uid="{321BAB4F-EFDC-4FB9-A686-EC853EE65471}"/>
    <cellStyle name="Input 2 13 2 3" xfId="21535" xr:uid="{56F55193-428A-49AD-B7E1-5A85A677AD95}"/>
    <cellStyle name="Input 2 13 3" xfId="9351" xr:uid="{00000000-0005-0000-0000-0000F1240000}"/>
    <cellStyle name="Input 2 13 3 2" xfId="21290" xr:uid="{00000000-0005-0000-0000-0000F2240000}"/>
    <cellStyle name="Input 2 13 3 2 2" xfId="22193" xr:uid="{CDF599EC-FD9C-4C05-9022-2F54F7999E17}"/>
    <cellStyle name="Input 2 13 3 3" xfId="21536" xr:uid="{EA0626E7-B982-45B0-B645-2712D101D26C}"/>
    <cellStyle name="Input 2 13 4" xfId="9352" xr:uid="{00000000-0005-0000-0000-0000F3240000}"/>
    <cellStyle name="Input 2 13 4 2" xfId="21289" xr:uid="{00000000-0005-0000-0000-0000F4240000}"/>
    <cellStyle name="Input 2 13 4 2 2" xfId="22192" xr:uid="{5A41CFF0-B7E1-47EA-8280-E51A969193B6}"/>
    <cellStyle name="Input 2 13 4 3" xfId="21537" xr:uid="{247B2E1F-C11F-4C5B-B4A0-1F583DB0278B}"/>
    <cellStyle name="Input 2 13 5" xfId="21292" xr:uid="{00000000-0005-0000-0000-0000F5240000}"/>
    <cellStyle name="Input 2 13 5 2" xfId="22195" xr:uid="{51747658-4F64-45E3-879C-5DCEA10313A6}"/>
    <cellStyle name="Input 2 13 6" xfId="21534" xr:uid="{B02A87CF-2AFF-4EEB-9256-8596A2D71377}"/>
    <cellStyle name="Input 2 14" xfId="9353" xr:uid="{00000000-0005-0000-0000-0000F6240000}"/>
    <cellStyle name="Input 2 14 2" xfId="21288" xr:uid="{00000000-0005-0000-0000-0000F7240000}"/>
    <cellStyle name="Input 2 14 2 2" xfId="22191" xr:uid="{E39167BB-51DB-4044-9857-7A3B39DCBE92}"/>
    <cellStyle name="Input 2 14 3" xfId="21538" xr:uid="{7100D6DB-1C19-45FB-8026-3AB313D55AC8}"/>
    <cellStyle name="Input 2 15" xfId="9354" xr:uid="{00000000-0005-0000-0000-0000F8240000}"/>
    <cellStyle name="Input 2 15 2" xfId="21287" xr:uid="{00000000-0005-0000-0000-0000F9240000}"/>
    <cellStyle name="Input 2 15 2 2" xfId="22190" xr:uid="{012C66CE-FDD9-42BA-9FC0-1A7A2E203E44}"/>
    <cellStyle name="Input 2 15 3" xfId="21539" xr:uid="{5624184C-4D95-446E-8765-04BE7A21452E}"/>
    <cellStyle name="Input 2 16" xfId="9355" xr:uid="{00000000-0005-0000-0000-0000FA240000}"/>
    <cellStyle name="Input 2 16 2" xfId="21286" xr:uid="{00000000-0005-0000-0000-0000FB240000}"/>
    <cellStyle name="Input 2 16 2 2" xfId="22189" xr:uid="{644569C0-7540-4B7E-9D96-0BFBA4ADCB74}"/>
    <cellStyle name="Input 2 16 3" xfId="21540" xr:uid="{30105A4F-573B-4B9A-A598-029F2E9E48F3}"/>
    <cellStyle name="Input 2 17" xfId="21307" xr:uid="{00000000-0005-0000-0000-0000FC240000}"/>
    <cellStyle name="Input 2 17 2" xfId="22210" xr:uid="{032CA488-C419-4CC5-BD22-2ECDFFABAE3D}"/>
    <cellStyle name="Input 2 18" xfId="21519" xr:uid="{6DD9C7E3-F6C2-4991-A73E-452F15A6AC67}"/>
    <cellStyle name="Input 2 2" xfId="9356" xr:uid="{00000000-0005-0000-0000-0000FD240000}"/>
    <cellStyle name="Input 2 2 10" xfId="21285" xr:uid="{00000000-0005-0000-0000-0000FE240000}"/>
    <cellStyle name="Input 2 2 10 2" xfId="22188" xr:uid="{BDFF8F8F-8C13-4ADD-BFDF-9DC3C34A3750}"/>
    <cellStyle name="Input 2 2 11" xfId="21541" xr:uid="{21A79AEF-299B-4568-8A66-0195B0FC5A2B}"/>
    <cellStyle name="Input 2 2 2" xfId="9357" xr:uid="{00000000-0005-0000-0000-0000FF240000}"/>
    <cellStyle name="Input 2 2 2 2" xfId="9358" xr:uid="{00000000-0005-0000-0000-000000250000}"/>
    <cellStyle name="Input 2 2 2 2 2" xfId="21283" xr:uid="{00000000-0005-0000-0000-000001250000}"/>
    <cellStyle name="Input 2 2 2 2 2 2" xfId="22186" xr:uid="{B44491DA-769A-42AA-A878-A079B760339E}"/>
    <cellStyle name="Input 2 2 2 2 3" xfId="21543" xr:uid="{38518F7B-CB95-43E8-AE88-15E34DC04095}"/>
    <cellStyle name="Input 2 2 2 3" xfId="9359" xr:uid="{00000000-0005-0000-0000-000002250000}"/>
    <cellStyle name="Input 2 2 2 3 2" xfId="21282" xr:uid="{00000000-0005-0000-0000-000003250000}"/>
    <cellStyle name="Input 2 2 2 3 2 2" xfId="22185" xr:uid="{1AF3EFB3-5935-4E05-B174-E063CDEEE411}"/>
    <cellStyle name="Input 2 2 2 3 3" xfId="21544" xr:uid="{E343B01C-7763-4F77-AA2C-587ABEBCC10F}"/>
    <cellStyle name="Input 2 2 2 4" xfId="9360" xr:uid="{00000000-0005-0000-0000-000004250000}"/>
    <cellStyle name="Input 2 2 2 4 2" xfId="21281" xr:uid="{00000000-0005-0000-0000-000005250000}"/>
    <cellStyle name="Input 2 2 2 4 2 2" xfId="22184" xr:uid="{45951FC5-70B5-4E5A-861D-42D10DB470CC}"/>
    <cellStyle name="Input 2 2 2 4 3" xfId="21545" xr:uid="{0C7C0180-2D16-481F-AC79-2DC525DD0EA9}"/>
    <cellStyle name="Input 2 2 2 5" xfId="21284" xr:uid="{00000000-0005-0000-0000-000006250000}"/>
    <cellStyle name="Input 2 2 2 5 2" xfId="22187" xr:uid="{F8BF041A-99BD-43D1-B12F-4BFE9032FF59}"/>
    <cellStyle name="Input 2 2 2 6" xfId="21542" xr:uid="{8AA51990-C53C-4858-807B-35C2CC61095A}"/>
    <cellStyle name="Input 2 2 3" xfId="9361" xr:uid="{00000000-0005-0000-0000-000007250000}"/>
    <cellStyle name="Input 2 2 3 2" xfId="9362" xr:uid="{00000000-0005-0000-0000-000008250000}"/>
    <cellStyle name="Input 2 2 3 2 2" xfId="21279" xr:uid="{00000000-0005-0000-0000-000009250000}"/>
    <cellStyle name="Input 2 2 3 2 2 2" xfId="22182" xr:uid="{3FF178FA-F249-4FED-9E57-BC675C0E8527}"/>
    <cellStyle name="Input 2 2 3 2 3" xfId="21547" xr:uid="{18FC827B-D3EB-46F4-8D7C-66100B88207C}"/>
    <cellStyle name="Input 2 2 3 3" xfId="9363" xr:uid="{00000000-0005-0000-0000-00000A250000}"/>
    <cellStyle name="Input 2 2 3 3 2" xfId="21278" xr:uid="{00000000-0005-0000-0000-00000B250000}"/>
    <cellStyle name="Input 2 2 3 3 2 2" xfId="22181" xr:uid="{D2FB10F2-01E6-4AD3-863A-E2ED9DE363DF}"/>
    <cellStyle name="Input 2 2 3 3 3" xfId="21548" xr:uid="{D2132B85-CF96-43E0-9836-AA01CDD3D3E8}"/>
    <cellStyle name="Input 2 2 3 4" xfId="9364" xr:uid="{00000000-0005-0000-0000-00000C250000}"/>
    <cellStyle name="Input 2 2 3 4 2" xfId="21277" xr:uid="{00000000-0005-0000-0000-00000D250000}"/>
    <cellStyle name="Input 2 2 3 4 2 2" xfId="22180" xr:uid="{64451F46-F62A-4322-A8CC-AD9C5E404879}"/>
    <cellStyle name="Input 2 2 3 4 3" xfId="21549" xr:uid="{74326904-8482-4F12-8320-61D30D96AC7A}"/>
    <cellStyle name="Input 2 2 3 5" xfId="21280" xr:uid="{00000000-0005-0000-0000-00000E250000}"/>
    <cellStyle name="Input 2 2 3 5 2" xfId="22183" xr:uid="{8CE6504A-F7D2-4722-B3DC-BDAAF4868954}"/>
    <cellStyle name="Input 2 2 3 6" xfId="21546" xr:uid="{CC8B89A5-695B-4559-9548-2FE20013AFD0}"/>
    <cellStyle name="Input 2 2 4" xfId="9365" xr:uid="{00000000-0005-0000-0000-00000F250000}"/>
    <cellStyle name="Input 2 2 4 2" xfId="9366" xr:uid="{00000000-0005-0000-0000-000010250000}"/>
    <cellStyle name="Input 2 2 4 2 2" xfId="21275" xr:uid="{00000000-0005-0000-0000-000011250000}"/>
    <cellStyle name="Input 2 2 4 2 2 2" xfId="22178" xr:uid="{7F0D7F56-B1AD-41F4-B62B-DBC33A518533}"/>
    <cellStyle name="Input 2 2 4 2 3" xfId="21551" xr:uid="{E83AEB22-F3C2-4D1B-A774-B348E78592CB}"/>
    <cellStyle name="Input 2 2 4 3" xfId="9367" xr:uid="{00000000-0005-0000-0000-000012250000}"/>
    <cellStyle name="Input 2 2 4 3 2" xfId="21274" xr:uid="{00000000-0005-0000-0000-000013250000}"/>
    <cellStyle name="Input 2 2 4 3 2 2" xfId="22177" xr:uid="{DEB7B8C8-CF5B-4FC9-BE56-1BB010C1C8CF}"/>
    <cellStyle name="Input 2 2 4 3 3" xfId="21552" xr:uid="{69CE959A-1133-4025-A5A7-DE37FFFFCCC1}"/>
    <cellStyle name="Input 2 2 4 4" xfId="9368" xr:uid="{00000000-0005-0000-0000-000014250000}"/>
    <cellStyle name="Input 2 2 4 4 2" xfId="21273" xr:uid="{00000000-0005-0000-0000-000015250000}"/>
    <cellStyle name="Input 2 2 4 4 2 2" xfId="22176" xr:uid="{C0835C0C-67D6-4D67-B706-488F84A41BB1}"/>
    <cellStyle name="Input 2 2 4 4 3" xfId="21553" xr:uid="{E87CE6BD-9DED-4FA3-9674-6AFF18C5CC78}"/>
    <cellStyle name="Input 2 2 4 5" xfId="21276" xr:uid="{00000000-0005-0000-0000-000016250000}"/>
    <cellStyle name="Input 2 2 4 5 2" xfId="22179" xr:uid="{72DE9B83-6CA6-4C38-AD72-2E8B0D2471EB}"/>
    <cellStyle name="Input 2 2 4 6" xfId="21550" xr:uid="{B565442B-A5F1-442C-BB27-72E85F37C578}"/>
    <cellStyle name="Input 2 2 5" xfId="9369" xr:uid="{00000000-0005-0000-0000-000017250000}"/>
    <cellStyle name="Input 2 2 5 2" xfId="9370" xr:uid="{00000000-0005-0000-0000-000018250000}"/>
    <cellStyle name="Input 2 2 5 2 2" xfId="21271" xr:uid="{00000000-0005-0000-0000-000019250000}"/>
    <cellStyle name="Input 2 2 5 2 2 2" xfId="22174" xr:uid="{89AC6BFE-FF27-4EC8-B8FE-373C7F3B326E}"/>
    <cellStyle name="Input 2 2 5 2 3" xfId="21555" xr:uid="{B200F9E1-93F4-4EC4-9DC6-FE3CE18C37FE}"/>
    <cellStyle name="Input 2 2 5 3" xfId="9371" xr:uid="{00000000-0005-0000-0000-00001A250000}"/>
    <cellStyle name="Input 2 2 5 3 2" xfId="21270" xr:uid="{00000000-0005-0000-0000-00001B250000}"/>
    <cellStyle name="Input 2 2 5 3 2 2" xfId="22173" xr:uid="{A51C490E-5E8A-43E7-9EE1-B892816132F9}"/>
    <cellStyle name="Input 2 2 5 3 3" xfId="21556" xr:uid="{1307CF37-7B1F-4636-90F5-8FAD0826D66C}"/>
    <cellStyle name="Input 2 2 5 4" xfId="9372" xr:uid="{00000000-0005-0000-0000-00001C250000}"/>
    <cellStyle name="Input 2 2 5 4 2" xfId="21269" xr:uid="{00000000-0005-0000-0000-00001D250000}"/>
    <cellStyle name="Input 2 2 5 4 2 2" xfId="22172" xr:uid="{EBF4A61E-8E2A-4159-BBB8-5FDF82F9B436}"/>
    <cellStyle name="Input 2 2 5 4 3" xfId="21557" xr:uid="{2B16F117-72CA-47D8-82CD-41F4E5FD9F59}"/>
    <cellStyle name="Input 2 2 5 5" xfId="21272" xr:uid="{00000000-0005-0000-0000-00001E250000}"/>
    <cellStyle name="Input 2 2 5 5 2" xfId="22175" xr:uid="{C694B686-745F-46ED-A9E7-273ABE5BC444}"/>
    <cellStyle name="Input 2 2 5 6" xfId="21554" xr:uid="{4C683098-2A67-47B8-9F0D-EF04FA4FF62C}"/>
    <cellStyle name="Input 2 2 6" xfId="9373" xr:uid="{00000000-0005-0000-0000-00001F250000}"/>
    <cellStyle name="Input 2 2 6 2" xfId="21268" xr:uid="{00000000-0005-0000-0000-000020250000}"/>
    <cellStyle name="Input 2 2 6 2 2" xfId="22171" xr:uid="{89B3EBE2-CFAA-4E81-9C4F-183B55E6B398}"/>
    <cellStyle name="Input 2 2 6 3" xfId="21558" xr:uid="{A18D0011-60D8-4562-879F-057AA7343B57}"/>
    <cellStyle name="Input 2 2 7" xfId="9374" xr:uid="{00000000-0005-0000-0000-000021250000}"/>
    <cellStyle name="Input 2 2 7 2" xfId="21267" xr:uid="{00000000-0005-0000-0000-000022250000}"/>
    <cellStyle name="Input 2 2 7 2 2" xfId="22170" xr:uid="{B7657FF0-F117-48B7-AAC3-C158489F86ED}"/>
    <cellStyle name="Input 2 2 7 3" xfId="21559" xr:uid="{EAA7423F-E2BB-4BE9-85F9-4F09360B1931}"/>
    <cellStyle name="Input 2 2 8" xfId="9375" xr:uid="{00000000-0005-0000-0000-000023250000}"/>
    <cellStyle name="Input 2 2 8 2" xfId="21266" xr:uid="{00000000-0005-0000-0000-000024250000}"/>
    <cellStyle name="Input 2 2 8 2 2" xfId="22169" xr:uid="{81EED901-016C-4FFD-8107-24F2DEA17F23}"/>
    <cellStyle name="Input 2 2 8 3" xfId="21560" xr:uid="{71A5E513-F30F-4370-BDE2-B8775CB9F78B}"/>
    <cellStyle name="Input 2 2 9" xfId="9376" xr:uid="{00000000-0005-0000-0000-000025250000}"/>
    <cellStyle name="Input 2 2 9 2" xfId="21265" xr:uid="{00000000-0005-0000-0000-000026250000}"/>
    <cellStyle name="Input 2 2 9 2 2" xfId="22168" xr:uid="{A66BAEBB-F012-4F69-B052-8D4EFB1A2B8A}"/>
    <cellStyle name="Input 2 2 9 3" xfId="21561" xr:uid="{206C9D69-5B6A-47C7-98C6-3967419442D8}"/>
    <cellStyle name="Input 2 3" xfId="9377" xr:uid="{00000000-0005-0000-0000-000027250000}"/>
    <cellStyle name="Input 2 3 2" xfId="9378" xr:uid="{00000000-0005-0000-0000-000028250000}"/>
    <cellStyle name="Input 2 3 2 2" xfId="21264" xr:uid="{00000000-0005-0000-0000-000029250000}"/>
    <cellStyle name="Input 2 3 2 2 2" xfId="22167" xr:uid="{6977FE83-5BE0-4D24-A17A-BD6AFE62B329}"/>
    <cellStyle name="Input 2 3 2 3" xfId="21562" xr:uid="{83DEA7AE-5822-446D-8A31-162ADBCFB07C}"/>
    <cellStyle name="Input 2 3 3" xfId="9379" xr:uid="{00000000-0005-0000-0000-00002A250000}"/>
    <cellStyle name="Input 2 3 3 2" xfId="21263" xr:uid="{00000000-0005-0000-0000-00002B250000}"/>
    <cellStyle name="Input 2 3 3 2 2" xfId="22166" xr:uid="{5121CD21-E00C-46A9-8B2C-FE1C7CBED64B}"/>
    <cellStyle name="Input 2 3 3 3" xfId="21563" xr:uid="{F6A6ADB3-3E33-4C07-876B-BAEC9BCA2586}"/>
    <cellStyle name="Input 2 3 4" xfId="9380" xr:uid="{00000000-0005-0000-0000-00002C250000}"/>
    <cellStyle name="Input 2 3 4 2" xfId="21262" xr:uid="{00000000-0005-0000-0000-00002D250000}"/>
    <cellStyle name="Input 2 3 4 2 2" xfId="22165" xr:uid="{ED3C304B-BDC1-4AE4-BA56-9EB560A398D9}"/>
    <cellStyle name="Input 2 3 4 3" xfId="21564" xr:uid="{7D107264-4B58-45BF-8F46-909BFBE5EEDF}"/>
    <cellStyle name="Input 2 3 5" xfId="9381" xr:uid="{00000000-0005-0000-0000-00002E250000}"/>
    <cellStyle name="Input 2 3 5 2" xfId="21261" xr:uid="{00000000-0005-0000-0000-00002F250000}"/>
    <cellStyle name="Input 2 3 5 2 2" xfId="22164" xr:uid="{43B8B58C-1DBB-48DC-915E-E4C741CF8089}"/>
    <cellStyle name="Input 2 3 5 3" xfId="21565" xr:uid="{0741B117-A9E0-4F31-8334-107233AC8BA7}"/>
    <cellStyle name="Input 2 4" xfId="9382" xr:uid="{00000000-0005-0000-0000-000030250000}"/>
    <cellStyle name="Input 2 4 2" xfId="9383" xr:uid="{00000000-0005-0000-0000-000031250000}"/>
    <cellStyle name="Input 2 4 2 2" xfId="21260" xr:uid="{00000000-0005-0000-0000-000032250000}"/>
    <cellStyle name="Input 2 4 2 2 2" xfId="22163" xr:uid="{A4373570-3C6D-4EC4-BACA-46E28B118C70}"/>
    <cellStyle name="Input 2 4 2 3" xfId="21566" xr:uid="{FC644816-735C-40DA-8105-13CF86EE7948}"/>
    <cellStyle name="Input 2 4 3" xfId="9384" xr:uid="{00000000-0005-0000-0000-000033250000}"/>
    <cellStyle name="Input 2 4 3 2" xfId="21259" xr:uid="{00000000-0005-0000-0000-000034250000}"/>
    <cellStyle name="Input 2 4 3 2 2" xfId="22162" xr:uid="{3E2F528D-4458-4B49-91F0-06FF9C7B47B2}"/>
    <cellStyle name="Input 2 4 3 3" xfId="21567" xr:uid="{9FEE91C2-49D9-4267-BED4-54622B35EC25}"/>
    <cellStyle name="Input 2 4 4" xfId="9385" xr:uid="{00000000-0005-0000-0000-000035250000}"/>
    <cellStyle name="Input 2 4 4 2" xfId="21258" xr:uid="{00000000-0005-0000-0000-000036250000}"/>
    <cellStyle name="Input 2 4 4 2 2" xfId="22161" xr:uid="{EA846AFE-CC81-44EA-BFC2-2B1A11106E00}"/>
    <cellStyle name="Input 2 4 4 3" xfId="21568" xr:uid="{B5A28B91-4AF3-44CC-A3FF-AA68B5FC1325}"/>
    <cellStyle name="Input 2 4 5" xfId="9386" xr:uid="{00000000-0005-0000-0000-000037250000}"/>
    <cellStyle name="Input 2 4 5 2" xfId="21257" xr:uid="{00000000-0005-0000-0000-000038250000}"/>
    <cellStyle name="Input 2 4 5 2 2" xfId="22160" xr:uid="{9641F7A7-4B10-44D0-9757-AC42183D0E08}"/>
    <cellStyle name="Input 2 4 5 3" xfId="21569" xr:uid="{6424AECF-8EC2-42CC-A80B-0861FA3BACFB}"/>
    <cellStyle name="Input 2 5" xfId="9387" xr:uid="{00000000-0005-0000-0000-000039250000}"/>
    <cellStyle name="Input 2 5 2" xfId="9388" xr:uid="{00000000-0005-0000-0000-00003A250000}"/>
    <cellStyle name="Input 2 5 2 2" xfId="21256" xr:uid="{00000000-0005-0000-0000-00003B250000}"/>
    <cellStyle name="Input 2 5 2 2 2" xfId="22159" xr:uid="{31AE5A85-FE91-47D1-B66E-FB1B5DC9376B}"/>
    <cellStyle name="Input 2 5 2 3" xfId="21570" xr:uid="{69C67280-F50E-44D5-A245-52DCC60F9799}"/>
    <cellStyle name="Input 2 5 3" xfId="9389" xr:uid="{00000000-0005-0000-0000-00003C250000}"/>
    <cellStyle name="Input 2 5 3 2" xfId="21255" xr:uid="{00000000-0005-0000-0000-00003D250000}"/>
    <cellStyle name="Input 2 5 3 2 2" xfId="22158" xr:uid="{63048347-9C6B-47BA-8B8C-6BD54925FA6A}"/>
    <cellStyle name="Input 2 5 3 3" xfId="21571" xr:uid="{2A43F86C-D207-4D21-8D46-95AEB95A2935}"/>
    <cellStyle name="Input 2 5 4" xfId="9390" xr:uid="{00000000-0005-0000-0000-00003E250000}"/>
    <cellStyle name="Input 2 5 4 2" xfId="21254" xr:uid="{00000000-0005-0000-0000-00003F250000}"/>
    <cellStyle name="Input 2 5 4 2 2" xfId="22157" xr:uid="{DC0C20DC-1B70-4D29-BEFB-EA4EAB4E3686}"/>
    <cellStyle name="Input 2 5 4 3" xfId="21572" xr:uid="{CB3B4AAC-E1B1-40BE-A902-173D502207DE}"/>
    <cellStyle name="Input 2 5 5" xfId="9391" xr:uid="{00000000-0005-0000-0000-000040250000}"/>
    <cellStyle name="Input 2 5 5 2" xfId="21253" xr:uid="{00000000-0005-0000-0000-000041250000}"/>
    <cellStyle name="Input 2 5 5 2 2" xfId="22156" xr:uid="{E4C5079A-87DF-49DA-B6E8-B35D66F445A7}"/>
    <cellStyle name="Input 2 5 5 3" xfId="21573" xr:uid="{21363FBB-4ACA-45C4-A63C-FD8659EC3652}"/>
    <cellStyle name="Input 2 6" xfId="9392" xr:uid="{00000000-0005-0000-0000-000042250000}"/>
    <cellStyle name="Input 2 6 2" xfId="9393" xr:uid="{00000000-0005-0000-0000-000043250000}"/>
    <cellStyle name="Input 2 6 2 2" xfId="21252" xr:uid="{00000000-0005-0000-0000-000044250000}"/>
    <cellStyle name="Input 2 6 2 2 2" xfId="22155" xr:uid="{5F5031C9-F1E8-4FB3-8131-843B052294E4}"/>
    <cellStyle name="Input 2 6 2 3" xfId="21574" xr:uid="{4EC22EF7-36CD-436B-BFFD-5E13395D36E7}"/>
    <cellStyle name="Input 2 6 3" xfId="9394" xr:uid="{00000000-0005-0000-0000-000045250000}"/>
    <cellStyle name="Input 2 6 3 2" xfId="21251" xr:uid="{00000000-0005-0000-0000-000046250000}"/>
    <cellStyle name="Input 2 6 3 2 2" xfId="22154" xr:uid="{86B915CB-1AC0-4157-AEF4-845164D8F308}"/>
    <cellStyle name="Input 2 6 3 3" xfId="21575" xr:uid="{60477729-23F7-44D5-8B05-3B2F8FD7A8CD}"/>
    <cellStyle name="Input 2 6 4" xfId="9395" xr:uid="{00000000-0005-0000-0000-000047250000}"/>
    <cellStyle name="Input 2 6 4 2" xfId="21250" xr:uid="{00000000-0005-0000-0000-000048250000}"/>
    <cellStyle name="Input 2 6 4 2 2" xfId="22153" xr:uid="{BA65D3C2-5DF6-4F11-87A9-8AA3D30C7AE0}"/>
    <cellStyle name="Input 2 6 4 3" xfId="21576" xr:uid="{7FD609FD-1EF3-4594-AA62-CFD09C819662}"/>
    <cellStyle name="Input 2 6 5" xfId="9396" xr:uid="{00000000-0005-0000-0000-000049250000}"/>
    <cellStyle name="Input 2 6 5 2" xfId="21249" xr:uid="{00000000-0005-0000-0000-00004A250000}"/>
    <cellStyle name="Input 2 6 5 2 2" xfId="22152" xr:uid="{77248EAC-B4A2-4CFA-BDE7-99350AECDC55}"/>
    <cellStyle name="Input 2 6 5 3" xfId="21577" xr:uid="{F251B782-A343-4C9A-A59E-6531ED9872EA}"/>
    <cellStyle name="Input 2 7" xfId="9397" xr:uid="{00000000-0005-0000-0000-00004B250000}"/>
    <cellStyle name="Input 2 7 2" xfId="9398" xr:uid="{00000000-0005-0000-0000-00004C250000}"/>
    <cellStyle name="Input 2 7 2 2" xfId="21248" xr:uid="{00000000-0005-0000-0000-00004D250000}"/>
    <cellStyle name="Input 2 7 2 2 2" xfId="22151" xr:uid="{47D7D26F-F345-48A0-B5D2-8CE86377164B}"/>
    <cellStyle name="Input 2 7 2 3" xfId="21578" xr:uid="{00DBC85E-D104-45AF-A0A6-A2605AEBEA2F}"/>
    <cellStyle name="Input 2 7 3" xfId="9399" xr:uid="{00000000-0005-0000-0000-00004E250000}"/>
    <cellStyle name="Input 2 7 3 2" xfId="21247" xr:uid="{00000000-0005-0000-0000-00004F250000}"/>
    <cellStyle name="Input 2 7 3 2 2" xfId="22150" xr:uid="{9825C9E4-6FE1-4964-92B2-8A9B6017DB70}"/>
    <cellStyle name="Input 2 7 3 3" xfId="21579" xr:uid="{EABA33B2-8642-4119-9545-A88AA907378D}"/>
    <cellStyle name="Input 2 7 4" xfId="9400" xr:uid="{00000000-0005-0000-0000-000050250000}"/>
    <cellStyle name="Input 2 7 4 2" xfId="21246" xr:uid="{00000000-0005-0000-0000-000051250000}"/>
    <cellStyle name="Input 2 7 4 2 2" xfId="22149" xr:uid="{9CBF6375-7825-4C09-A911-660148C8E485}"/>
    <cellStyle name="Input 2 7 4 3" xfId="21580" xr:uid="{132391DC-C9E9-4A89-91E1-CBC011F26508}"/>
    <cellStyle name="Input 2 7 5" xfId="9401" xr:uid="{00000000-0005-0000-0000-000052250000}"/>
    <cellStyle name="Input 2 7 5 2" xfId="21245" xr:uid="{00000000-0005-0000-0000-000053250000}"/>
    <cellStyle name="Input 2 7 5 2 2" xfId="22148" xr:uid="{2E04BC65-F185-4322-8491-6330CB8A3F02}"/>
    <cellStyle name="Input 2 7 5 3" xfId="21581" xr:uid="{3775176C-9F52-4D3E-8A8B-FC1D3B130394}"/>
    <cellStyle name="Input 2 8" xfId="9402" xr:uid="{00000000-0005-0000-0000-000054250000}"/>
    <cellStyle name="Input 2 8 2" xfId="9403" xr:uid="{00000000-0005-0000-0000-000055250000}"/>
    <cellStyle name="Input 2 8 2 2" xfId="21244" xr:uid="{00000000-0005-0000-0000-000056250000}"/>
    <cellStyle name="Input 2 8 2 2 2" xfId="22147" xr:uid="{544BF4E2-4C1E-45A7-87C4-484B24E1FA1F}"/>
    <cellStyle name="Input 2 8 2 3" xfId="21582" xr:uid="{30868222-E39F-4AE7-B94A-A368FE7E3957}"/>
    <cellStyle name="Input 2 8 3" xfId="9404" xr:uid="{00000000-0005-0000-0000-000057250000}"/>
    <cellStyle name="Input 2 8 3 2" xfId="21243" xr:uid="{00000000-0005-0000-0000-000058250000}"/>
    <cellStyle name="Input 2 8 3 2 2" xfId="22146" xr:uid="{72A060AE-88A7-4846-84A5-83A177DEB06D}"/>
    <cellStyle name="Input 2 8 3 3" xfId="21583" xr:uid="{313652E4-B538-4EF5-8FCA-0E72919E744C}"/>
    <cellStyle name="Input 2 8 4" xfId="9405" xr:uid="{00000000-0005-0000-0000-000059250000}"/>
    <cellStyle name="Input 2 8 4 2" xfId="21242" xr:uid="{00000000-0005-0000-0000-00005A250000}"/>
    <cellStyle name="Input 2 8 4 2 2" xfId="22145" xr:uid="{DA9FA6A1-7A71-4DAA-8F08-E25AADCDDC59}"/>
    <cellStyle name="Input 2 8 4 3" xfId="21584" xr:uid="{415C8FF1-DFFA-4DAE-B704-79999CE182E5}"/>
    <cellStyle name="Input 2 8 5" xfId="9406" xr:uid="{00000000-0005-0000-0000-00005B250000}"/>
    <cellStyle name="Input 2 8 5 2" xfId="21241" xr:uid="{00000000-0005-0000-0000-00005C250000}"/>
    <cellStyle name="Input 2 8 5 2 2" xfId="22144" xr:uid="{EBEE712F-BFC2-461A-9A34-4BB5F4F27D27}"/>
    <cellStyle name="Input 2 8 5 3" xfId="21585" xr:uid="{7AC37433-7B0D-4E30-A496-41AC8B72D912}"/>
    <cellStyle name="Input 2 9" xfId="9407" xr:uid="{00000000-0005-0000-0000-00005D250000}"/>
    <cellStyle name="Input 2 9 2" xfId="9408" xr:uid="{00000000-0005-0000-0000-00005E250000}"/>
    <cellStyle name="Input 2 9 2 2" xfId="21240" xr:uid="{00000000-0005-0000-0000-00005F250000}"/>
    <cellStyle name="Input 2 9 2 2 2" xfId="22143" xr:uid="{3C64A897-5A53-4D6A-85C6-77400B90B0CA}"/>
    <cellStyle name="Input 2 9 2 3" xfId="21586" xr:uid="{909EA416-0C5B-42F7-8E9E-7600853F99CB}"/>
    <cellStyle name="Input 2 9 3" xfId="9409" xr:uid="{00000000-0005-0000-0000-000060250000}"/>
    <cellStyle name="Input 2 9 3 2" xfId="21239" xr:uid="{00000000-0005-0000-0000-000061250000}"/>
    <cellStyle name="Input 2 9 3 2 2" xfId="22142" xr:uid="{A9323879-9F80-4D27-8002-D86D2C6C540A}"/>
    <cellStyle name="Input 2 9 3 3" xfId="21587" xr:uid="{848E59A6-9A83-4ADF-9765-8FB73FEBB391}"/>
    <cellStyle name="Input 2 9 4" xfId="9410" xr:uid="{00000000-0005-0000-0000-000062250000}"/>
    <cellStyle name="Input 2 9 4 2" xfId="21238" xr:uid="{00000000-0005-0000-0000-000063250000}"/>
    <cellStyle name="Input 2 9 4 2 2" xfId="22141" xr:uid="{49ECC11E-616A-4862-A752-277505F906CC}"/>
    <cellStyle name="Input 2 9 4 3" xfId="21588" xr:uid="{2F4CB84E-0C39-47C9-A183-7C1B8EC557C9}"/>
    <cellStyle name="Input 2 9 5" xfId="9411" xr:uid="{00000000-0005-0000-0000-000064250000}"/>
    <cellStyle name="Input 2 9 5 2" xfId="21237" xr:uid="{00000000-0005-0000-0000-000065250000}"/>
    <cellStyle name="Input 2 9 5 2 2" xfId="22140" xr:uid="{A5EBA9B4-2B17-4A17-8F95-09D95A991095}"/>
    <cellStyle name="Input 2 9 5 3" xfId="21589" xr:uid="{A2E0F869-62F9-4D5B-9E3C-FA7FD93656E1}"/>
    <cellStyle name="Input 3" xfId="9412" xr:uid="{00000000-0005-0000-0000-000066250000}"/>
    <cellStyle name="Input 3 2" xfId="9413" xr:uid="{00000000-0005-0000-0000-000067250000}"/>
    <cellStyle name="Input 3 2 2" xfId="21235" xr:uid="{00000000-0005-0000-0000-000068250000}"/>
    <cellStyle name="Input 3 2 2 2" xfId="22138" xr:uid="{2579329C-D5E6-4BDF-B7EC-FDE01DC37355}"/>
    <cellStyle name="Input 3 2 3" xfId="21591" xr:uid="{C074EE63-A107-4FF2-875B-40918FC12E38}"/>
    <cellStyle name="Input 3 3" xfId="9414" xr:uid="{00000000-0005-0000-0000-000069250000}"/>
    <cellStyle name="Input 3 3 2" xfId="21234" xr:uid="{00000000-0005-0000-0000-00006A250000}"/>
    <cellStyle name="Input 3 3 2 2" xfId="22137" xr:uid="{F96B7D8B-D6DE-4352-B674-52B70AFB811B}"/>
    <cellStyle name="Input 3 3 3" xfId="21592" xr:uid="{4C822BF2-5DDF-459B-BE51-4B12F029B833}"/>
    <cellStyle name="Input 3 4" xfId="21236" xr:uid="{00000000-0005-0000-0000-00006B250000}"/>
    <cellStyle name="Input 3 4 2" xfId="22139" xr:uid="{150B546C-150E-425A-BBBB-D2106C498C8B}"/>
    <cellStyle name="Input 3 5" xfId="21590" xr:uid="{E13E2572-0C5D-4857-BA12-828FC159525D}"/>
    <cellStyle name="Input 4" xfId="9415" xr:uid="{00000000-0005-0000-0000-00006C250000}"/>
    <cellStyle name="Input 4 2" xfId="9416" xr:uid="{00000000-0005-0000-0000-00006D250000}"/>
    <cellStyle name="Input 4 2 2" xfId="21232" xr:uid="{00000000-0005-0000-0000-00006E250000}"/>
    <cellStyle name="Input 4 2 2 2" xfId="22135" xr:uid="{CDEF0FE4-ABCB-4BC7-A2AA-75107AEAC651}"/>
    <cellStyle name="Input 4 2 3" xfId="21594" xr:uid="{2327E62D-A105-48EC-A9DB-4C8C8A50CD48}"/>
    <cellStyle name="Input 4 3" xfId="9417" xr:uid="{00000000-0005-0000-0000-00006F250000}"/>
    <cellStyle name="Input 4 3 2" xfId="21231" xr:uid="{00000000-0005-0000-0000-000070250000}"/>
    <cellStyle name="Input 4 3 2 2" xfId="22134" xr:uid="{F8E33143-2FD3-4B50-A877-1AA7CEFCE53A}"/>
    <cellStyle name="Input 4 3 3" xfId="21595" xr:uid="{F7700F86-4D85-4D9B-9464-CFAC577DC611}"/>
    <cellStyle name="Input 4 4" xfId="21233" xr:uid="{00000000-0005-0000-0000-000071250000}"/>
    <cellStyle name="Input 4 4 2" xfId="22136" xr:uid="{BB61F114-4AB0-4645-BF6C-C8B14D280351}"/>
    <cellStyle name="Input 4 5" xfId="21593" xr:uid="{D20D2076-F20B-478E-AA14-5412955EB480}"/>
    <cellStyle name="Input 5" xfId="9418" xr:uid="{00000000-0005-0000-0000-000072250000}"/>
    <cellStyle name="Input 5 2" xfId="9419" xr:uid="{00000000-0005-0000-0000-000073250000}"/>
    <cellStyle name="Input 5 2 2" xfId="21229" xr:uid="{00000000-0005-0000-0000-000074250000}"/>
    <cellStyle name="Input 5 2 2 2" xfId="22132" xr:uid="{A56D6F61-C0AC-4CAB-B916-4687C433F791}"/>
    <cellStyle name="Input 5 2 3" xfId="21597" xr:uid="{1B676140-4F46-473D-85BB-E03C4FDA9D20}"/>
    <cellStyle name="Input 5 3" xfId="9420" xr:uid="{00000000-0005-0000-0000-000075250000}"/>
    <cellStyle name="Input 5 3 2" xfId="21228" xr:uid="{00000000-0005-0000-0000-000076250000}"/>
    <cellStyle name="Input 5 3 2 2" xfId="22131" xr:uid="{12BAC8A3-3810-4628-8D1E-D9E0CE972F76}"/>
    <cellStyle name="Input 5 3 3" xfId="21598" xr:uid="{D7660114-3D4A-4473-BC79-B45B960F6466}"/>
    <cellStyle name="Input 5 4" xfId="21230" xr:uid="{00000000-0005-0000-0000-000077250000}"/>
    <cellStyle name="Input 5 4 2" xfId="22133" xr:uid="{AB133F5C-F2B4-42B0-9B8B-85C6467A7EE1}"/>
    <cellStyle name="Input 5 5" xfId="21596" xr:uid="{9C630FF0-8D84-42BF-853C-B21535A6D331}"/>
    <cellStyle name="Input 6" xfId="9421" xr:uid="{00000000-0005-0000-0000-000078250000}"/>
    <cellStyle name="Input 6 2" xfId="9422" xr:uid="{00000000-0005-0000-0000-000079250000}"/>
    <cellStyle name="Input 6 2 2" xfId="21226" xr:uid="{00000000-0005-0000-0000-00007A250000}"/>
    <cellStyle name="Input 6 2 2 2" xfId="22129" xr:uid="{69998416-8607-4DB5-91B3-F9A776D464B6}"/>
    <cellStyle name="Input 6 2 3" xfId="21600" xr:uid="{D491673E-8448-41E4-957F-49CEE5651E8C}"/>
    <cellStyle name="Input 6 3" xfId="9423" xr:uid="{00000000-0005-0000-0000-00007B250000}"/>
    <cellStyle name="Input 6 3 2" xfId="21225" xr:uid="{00000000-0005-0000-0000-00007C250000}"/>
    <cellStyle name="Input 6 3 2 2" xfId="22128" xr:uid="{11A3F554-0B29-4C5F-B0FA-46070A6F1FF0}"/>
    <cellStyle name="Input 6 3 3" xfId="21601" xr:uid="{B50C0049-638B-440F-B94E-08FF072C65FE}"/>
    <cellStyle name="Input 6 4" xfId="21227" xr:uid="{00000000-0005-0000-0000-00007D250000}"/>
    <cellStyle name="Input 6 4 2" xfId="22130" xr:uid="{2020B9C3-312B-4FFB-A15C-D1A697741E6C}"/>
    <cellStyle name="Input 6 5" xfId="21599" xr:uid="{75BA2A29-7042-47D3-93CA-4CDFF007128C}"/>
    <cellStyle name="Input 7" xfId="9424" xr:uid="{00000000-0005-0000-0000-00007E250000}"/>
    <cellStyle name="Input 7 2" xfId="21224" xr:uid="{00000000-0005-0000-0000-00007F250000}"/>
    <cellStyle name="Input 7 2 2" xfId="22127" xr:uid="{869ED9C8-568F-4220-B696-A336AC18A679}"/>
    <cellStyle name="Input 7 3" xfId="21602" xr:uid="{0DCFB1C7-4D5E-41E8-9A8F-5957B2B015F1}"/>
    <cellStyle name="inputExposure" xfId="9425" xr:uid="{00000000-0005-0000-0000-000080250000}"/>
    <cellStyle name="inputExposure 2" xfId="21223" xr:uid="{00000000-0005-0000-0000-000081250000}"/>
    <cellStyle name="inputExposure 2 2" xfId="22126" xr:uid="{BC781225-3DEB-4711-AEED-1378E5E3501B}"/>
    <cellStyle name="inputExposure 3" xfId="21603" xr:uid="{29654842-5B97-44C3-B8DE-C95EEC1AB7D6}"/>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23 2" xfId="22313" xr:uid="{A5AFEB2A-BA5C-4017-A6D0-4C7831837386}"/>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2 2 2" xfId="22124" xr:uid="{114D1924-AD71-4B91-91EA-1D1908D44FEC}"/>
    <cellStyle name="Note 2 10 2 3" xfId="21605" xr:uid="{EB7604AA-49D5-4D53-8C61-A9802610A8C9}"/>
    <cellStyle name="Note 2 10 3" xfId="20386" xr:uid="{00000000-0005-0000-0000-000063500000}"/>
    <cellStyle name="Note 2 10 3 2" xfId="21220" xr:uid="{00000000-0005-0000-0000-000064500000}"/>
    <cellStyle name="Note 2 10 3 2 2" xfId="22123" xr:uid="{78E901B4-91EE-4039-826B-A8505506FCA7}"/>
    <cellStyle name="Note 2 10 3 3" xfId="21606" xr:uid="{FFBC6CFA-220E-4CFB-9EA9-5B4C714749D0}"/>
    <cellStyle name="Note 2 10 4" xfId="20387" xr:uid="{00000000-0005-0000-0000-000065500000}"/>
    <cellStyle name="Note 2 10 4 2" xfId="21219" xr:uid="{00000000-0005-0000-0000-000066500000}"/>
    <cellStyle name="Note 2 10 4 2 2" xfId="22122" xr:uid="{54C951A4-E95B-469B-B0E9-40A718CE2A01}"/>
    <cellStyle name="Note 2 10 4 3" xfId="21607" xr:uid="{0A4178CC-4AC7-47E0-BD3E-731E9F914151}"/>
    <cellStyle name="Note 2 10 5" xfId="20388" xr:uid="{00000000-0005-0000-0000-000067500000}"/>
    <cellStyle name="Note 2 10 5 2" xfId="21218" xr:uid="{00000000-0005-0000-0000-000068500000}"/>
    <cellStyle name="Note 2 10 5 2 2" xfId="22121" xr:uid="{927D1DDD-EC93-40A4-B40B-0EB073DCA72D}"/>
    <cellStyle name="Note 2 10 5 3" xfId="21608" xr:uid="{FC23E1F9-EF4B-4736-89AE-4C03C5EB7110}"/>
    <cellStyle name="Note 2 11" xfId="20389" xr:uid="{00000000-0005-0000-0000-000069500000}"/>
    <cellStyle name="Note 2 11 2" xfId="20390" xr:uid="{00000000-0005-0000-0000-00006A500000}"/>
    <cellStyle name="Note 2 11 2 2" xfId="21217" xr:uid="{00000000-0005-0000-0000-00006B500000}"/>
    <cellStyle name="Note 2 11 2 2 2" xfId="22120" xr:uid="{A90D5E71-996E-424D-8EA9-437A9C0C973F}"/>
    <cellStyle name="Note 2 11 2 3" xfId="21609" xr:uid="{3E82EA8C-9FF5-4207-B637-BBB594DF14C8}"/>
    <cellStyle name="Note 2 11 3" xfId="20391" xr:uid="{00000000-0005-0000-0000-00006C500000}"/>
    <cellStyle name="Note 2 11 3 2" xfId="21216" xr:uid="{00000000-0005-0000-0000-00006D500000}"/>
    <cellStyle name="Note 2 11 3 2 2" xfId="22119" xr:uid="{3F1CEB1E-D4DF-4965-B2D2-1ED9E100C1F1}"/>
    <cellStyle name="Note 2 11 3 3" xfId="21610" xr:uid="{F8019546-28B7-41FE-BB39-9204783BAD3E}"/>
    <cellStyle name="Note 2 11 4" xfId="20392" xr:uid="{00000000-0005-0000-0000-00006E500000}"/>
    <cellStyle name="Note 2 11 4 2" xfId="21215" xr:uid="{00000000-0005-0000-0000-00006F500000}"/>
    <cellStyle name="Note 2 11 4 2 2" xfId="22118" xr:uid="{3A639D74-821B-4765-86ED-A6F546252BC3}"/>
    <cellStyle name="Note 2 11 4 3" xfId="21611" xr:uid="{9023C2DC-D95D-44A7-8A8F-A49BEDB0061F}"/>
    <cellStyle name="Note 2 11 5" xfId="20393" xr:uid="{00000000-0005-0000-0000-000070500000}"/>
    <cellStyle name="Note 2 11 5 2" xfId="21214" xr:uid="{00000000-0005-0000-0000-000071500000}"/>
    <cellStyle name="Note 2 11 5 2 2" xfId="22117" xr:uid="{F1D9EA35-7F80-494D-A18A-F5D1289298D6}"/>
    <cellStyle name="Note 2 11 5 3" xfId="21612" xr:uid="{D2AD8CFB-64AD-441F-9C82-2D3D9721FE9D}"/>
    <cellStyle name="Note 2 12" xfId="20394" xr:uid="{00000000-0005-0000-0000-000072500000}"/>
    <cellStyle name="Note 2 12 2" xfId="20395" xr:uid="{00000000-0005-0000-0000-000073500000}"/>
    <cellStyle name="Note 2 12 2 2" xfId="21213" xr:uid="{00000000-0005-0000-0000-000074500000}"/>
    <cellStyle name="Note 2 12 2 2 2" xfId="22116" xr:uid="{7558DA9D-3103-4C7A-917C-6E31E66606DF}"/>
    <cellStyle name="Note 2 12 2 3" xfId="21613" xr:uid="{E6694C1F-F798-4AD1-AF81-1B772C5D5C78}"/>
    <cellStyle name="Note 2 12 3" xfId="20396" xr:uid="{00000000-0005-0000-0000-000075500000}"/>
    <cellStyle name="Note 2 12 3 2" xfId="21212" xr:uid="{00000000-0005-0000-0000-000076500000}"/>
    <cellStyle name="Note 2 12 3 2 2" xfId="22115" xr:uid="{4F3971DC-C69C-4AC2-8098-96132EE32A49}"/>
    <cellStyle name="Note 2 12 3 3" xfId="21614" xr:uid="{55BF90AF-7D7D-47BD-BF8F-5B0D13761790}"/>
    <cellStyle name="Note 2 12 4" xfId="20397" xr:uid="{00000000-0005-0000-0000-000077500000}"/>
    <cellStyle name="Note 2 12 4 2" xfId="21211" xr:uid="{00000000-0005-0000-0000-000078500000}"/>
    <cellStyle name="Note 2 12 4 2 2" xfId="22114" xr:uid="{B14A753D-6F5F-45C8-B0AC-00586F3B548A}"/>
    <cellStyle name="Note 2 12 4 3" xfId="21615" xr:uid="{864F15B7-D265-4055-B27F-60307C5E902E}"/>
    <cellStyle name="Note 2 12 5" xfId="20398" xr:uid="{00000000-0005-0000-0000-000079500000}"/>
    <cellStyle name="Note 2 12 5 2" xfId="21210" xr:uid="{00000000-0005-0000-0000-00007A500000}"/>
    <cellStyle name="Note 2 12 5 2 2" xfId="22113" xr:uid="{505600DA-830F-4EBA-8FCB-D772EA8BA150}"/>
    <cellStyle name="Note 2 12 5 3" xfId="21616" xr:uid="{AE0DCCEC-2147-4CDD-9481-2592885E272B}"/>
    <cellStyle name="Note 2 13" xfId="20399" xr:uid="{00000000-0005-0000-0000-00007B500000}"/>
    <cellStyle name="Note 2 13 2" xfId="20400" xr:uid="{00000000-0005-0000-0000-00007C500000}"/>
    <cellStyle name="Note 2 13 2 2" xfId="21209" xr:uid="{00000000-0005-0000-0000-00007D500000}"/>
    <cellStyle name="Note 2 13 2 2 2" xfId="22112" xr:uid="{9B68BC2C-2BA4-47EE-9F58-38DD59AC6318}"/>
    <cellStyle name="Note 2 13 2 3" xfId="21617" xr:uid="{E34A28E6-F40A-428C-8EBA-41427778C6C4}"/>
    <cellStyle name="Note 2 13 3" xfId="20401" xr:uid="{00000000-0005-0000-0000-00007E500000}"/>
    <cellStyle name="Note 2 13 3 2" xfId="21208" xr:uid="{00000000-0005-0000-0000-00007F500000}"/>
    <cellStyle name="Note 2 13 3 2 2" xfId="22111" xr:uid="{7DEFBD14-1998-438D-B7C4-5E54C370B117}"/>
    <cellStyle name="Note 2 13 3 3" xfId="21618" xr:uid="{12DB9D45-B26E-4C2E-8EF7-1DC5B8D0F13D}"/>
    <cellStyle name="Note 2 13 4" xfId="20402" xr:uid="{00000000-0005-0000-0000-000080500000}"/>
    <cellStyle name="Note 2 13 4 2" xfId="21207" xr:uid="{00000000-0005-0000-0000-000081500000}"/>
    <cellStyle name="Note 2 13 4 2 2" xfId="22110" xr:uid="{BAAE872F-4142-4421-B9DF-D1C897BFAA88}"/>
    <cellStyle name="Note 2 13 4 3" xfId="21619" xr:uid="{7ED4B1B4-B9A5-43D3-B61C-3BC260F67675}"/>
    <cellStyle name="Note 2 13 5" xfId="20403" xr:uid="{00000000-0005-0000-0000-000082500000}"/>
    <cellStyle name="Note 2 13 5 2" xfId="21206" xr:uid="{00000000-0005-0000-0000-000083500000}"/>
    <cellStyle name="Note 2 13 5 2 2" xfId="22109" xr:uid="{9B7EF86E-5B7D-433E-8E65-25B3AB4C6EDC}"/>
    <cellStyle name="Note 2 13 5 3" xfId="21620" xr:uid="{659DE69F-4211-4ED2-AB94-B872FD017C0B}"/>
    <cellStyle name="Note 2 14" xfId="20404" xr:uid="{00000000-0005-0000-0000-000084500000}"/>
    <cellStyle name="Note 2 14 2" xfId="20405" xr:uid="{00000000-0005-0000-0000-000085500000}"/>
    <cellStyle name="Note 2 14 2 2" xfId="21204" xr:uid="{00000000-0005-0000-0000-000086500000}"/>
    <cellStyle name="Note 2 14 2 2 2" xfId="22107" xr:uid="{09B36EA6-51C0-4249-B10C-27516E7B6164}"/>
    <cellStyle name="Note 2 14 2 3" xfId="21622" xr:uid="{8FE1AF7F-3B29-4874-AF1E-C5B6CD744FB8}"/>
    <cellStyle name="Note 2 14 3" xfId="21205" xr:uid="{00000000-0005-0000-0000-000087500000}"/>
    <cellStyle name="Note 2 14 3 2" xfId="22108" xr:uid="{6931EA62-00C7-4F16-9F03-5248E2545111}"/>
    <cellStyle name="Note 2 14 4" xfId="21621" xr:uid="{CCA67EEB-189F-414D-8055-E2E1B554CFBC}"/>
    <cellStyle name="Note 2 15" xfId="20406" xr:uid="{00000000-0005-0000-0000-000088500000}"/>
    <cellStyle name="Note 2 15 2" xfId="20407" xr:uid="{00000000-0005-0000-0000-000089500000}"/>
    <cellStyle name="Note 2 15 2 2" xfId="21203" xr:uid="{00000000-0005-0000-0000-00008A500000}"/>
    <cellStyle name="Note 2 15 2 2 2" xfId="22106" xr:uid="{82593CF6-2E3C-438F-815F-82A5258A75B9}"/>
    <cellStyle name="Note 2 15 2 3" xfId="21623" xr:uid="{95F15FDE-0E7E-4898-AE47-9FA3EC62D9E0}"/>
    <cellStyle name="Note 2 16" xfId="20408" xr:uid="{00000000-0005-0000-0000-00008B500000}"/>
    <cellStyle name="Note 2 16 2" xfId="21202" xr:uid="{00000000-0005-0000-0000-00008C500000}"/>
    <cellStyle name="Note 2 16 2 2" xfId="22105" xr:uid="{04B740C3-919B-4007-B60D-1D8180F00439}"/>
    <cellStyle name="Note 2 16 3" xfId="21624" xr:uid="{70BD03C1-71C3-45F1-8C1A-A701823B28EF}"/>
    <cellStyle name="Note 2 17" xfId="20409" xr:uid="{00000000-0005-0000-0000-00008D500000}"/>
    <cellStyle name="Note 2 17 2" xfId="21201" xr:uid="{00000000-0005-0000-0000-00008E500000}"/>
    <cellStyle name="Note 2 17 2 2" xfId="22104" xr:uid="{729EDCE2-02ED-4DFC-98E4-97A5AD820134}"/>
    <cellStyle name="Note 2 17 3" xfId="21625" xr:uid="{851177C2-1083-4A82-A20F-1130429EF8DA}"/>
    <cellStyle name="Note 2 18" xfId="21222" xr:uid="{00000000-0005-0000-0000-00008F500000}"/>
    <cellStyle name="Note 2 18 2" xfId="22125" xr:uid="{72F1BA4F-197D-497E-A547-878484FA5E4A}"/>
    <cellStyle name="Note 2 19" xfId="21604" xr:uid="{2EAA1F3C-5884-4B8C-A128-445CFA6A70E4}"/>
    <cellStyle name="Note 2 2" xfId="20410" xr:uid="{00000000-0005-0000-0000-000090500000}"/>
    <cellStyle name="Note 2 2 10" xfId="20411" xr:uid="{00000000-0005-0000-0000-000091500000}"/>
    <cellStyle name="Note 2 2 10 2" xfId="21199" xr:uid="{00000000-0005-0000-0000-000092500000}"/>
    <cellStyle name="Note 2 2 10 2 2" xfId="22102" xr:uid="{101F1E24-D8EE-443D-A4A6-E5DF75DEC954}"/>
    <cellStyle name="Note 2 2 10 3" xfId="21627" xr:uid="{4BCD1306-B315-4F45-A7F6-96D7A5E71BBC}"/>
    <cellStyle name="Note 2 2 11" xfId="21200" xr:uid="{00000000-0005-0000-0000-000093500000}"/>
    <cellStyle name="Note 2 2 11 2" xfId="22103" xr:uid="{0ABA1320-273F-4929-BFEC-B07BEEDDD4C0}"/>
    <cellStyle name="Note 2 2 12" xfId="21626" xr:uid="{307145AC-9A9C-4413-A775-A2D5BBD74AB8}"/>
    <cellStyle name="Note 2 2 2" xfId="20412" xr:uid="{00000000-0005-0000-0000-000094500000}"/>
    <cellStyle name="Note 2 2 2 2" xfId="20413" xr:uid="{00000000-0005-0000-0000-000095500000}"/>
    <cellStyle name="Note 2 2 2 2 2" xfId="21197" xr:uid="{00000000-0005-0000-0000-000096500000}"/>
    <cellStyle name="Note 2 2 2 2 2 2" xfId="22100" xr:uid="{A86A6C25-5A5B-412F-904C-443EDE90C741}"/>
    <cellStyle name="Note 2 2 2 2 3" xfId="21629" xr:uid="{1935206A-CE11-4D0C-B173-6CDB283DEA3A}"/>
    <cellStyle name="Note 2 2 2 3" xfId="20414" xr:uid="{00000000-0005-0000-0000-000097500000}"/>
    <cellStyle name="Note 2 2 2 3 2" xfId="21196" xr:uid="{00000000-0005-0000-0000-000098500000}"/>
    <cellStyle name="Note 2 2 2 3 2 2" xfId="22099" xr:uid="{91E3D878-CED3-48BB-882E-190F30A18D80}"/>
    <cellStyle name="Note 2 2 2 3 3" xfId="21630" xr:uid="{8B2DA055-C44C-442F-9C6A-0507EF712DE9}"/>
    <cellStyle name="Note 2 2 2 4" xfId="20415" xr:uid="{00000000-0005-0000-0000-000099500000}"/>
    <cellStyle name="Note 2 2 2 4 2" xfId="21195" xr:uid="{00000000-0005-0000-0000-00009A500000}"/>
    <cellStyle name="Note 2 2 2 4 2 2" xfId="22098" xr:uid="{1405D5FD-BDEA-4F01-B838-9248A1D613BF}"/>
    <cellStyle name="Note 2 2 2 4 3" xfId="21631" xr:uid="{C4146616-CF30-45F6-9F61-1A52689FC9F5}"/>
    <cellStyle name="Note 2 2 2 5" xfId="20416" xr:uid="{00000000-0005-0000-0000-00009B500000}"/>
    <cellStyle name="Note 2 2 2 5 2" xfId="21194" xr:uid="{00000000-0005-0000-0000-00009C500000}"/>
    <cellStyle name="Note 2 2 2 5 2 2" xfId="22097" xr:uid="{94C25AD1-0F62-4553-9785-F6B6CFC2AB69}"/>
    <cellStyle name="Note 2 2 2 5 3" xfId="21632" xr:uid="{D82E0119-4126-4FF0-996B-C88D03817CCD}"/>
    <cellStyle name="Note 2 2 2 6" xfId="21198" xr:uid="{00000000-0005-0000-0000-00009D500000}"/>
    <cellStyle name="Note 2 2 2 6 2" xfId="22101" xr:uid="{1235292E-AF17-4923-97AC-53D0E9B7AF79}"/>
    <cellStyle name="Note 2 2 2 7" xfId="21628" xr:uid="{78E36F6F-756D-4374-BC55-DD267F15A6B8}"/>
    <cellStyle name="Note 2 2 3" xfId="20417" xr:uid="{00000000-0005-0000-0000-00009E500000}"/>
    <cellStyle name="Note 2 2 3 2" xfId="20418" xr:uid="{00000000-0005-0000-0000-00009F500000}"/>
    <cellStyle name="Note 2 2 3 2 2" xfId="21193" xr:uid="{00000000-0005-0000-0000-0000A0500000}"/>
    <cellStyle name="Note 2 2 3 2 2 2" xfId="22096" xr:uid="{DEA58819-0538-444B-AD22-914B34A2935D}"/>
    <cellStyle name="Note 2 2 3 2 3" xfId="21633" xr:uid="{2F9EE3CB-FE80-4AEE-AD00-A1167B05BA20}"/>
    <cellStyle name="Note 2 2 3 3" xfId="20419" xr:uid="{00000000-0005-0000-0000-0000A1500000}"/>
    <cellStyle name="Note 2 2 3 3 2" xfId="21192" xr:uid="{00000000-0005-0000-0000-0000A2500000}"/>
    <cellStyle name="Note 2 2 3 3 2 2" xfId="22095" xr:uid="{71D79BCE-7FAB-4C9E-BBE2-B8F5EF669CB1}"/>
    <cellStyle name="Note 2 2 3 3 3" xfId="21634" xr:uid="{F6BFE4AD-1C71-4423-BA2D-8A2807477D56}"/>
    <cellStyle name="Note 2 2 3 4" xfId="20420" xr:uid="{00000000-0005-0000-0000-0000A3500000}"/>
    <cellStyle name="Note 2 2 3 4 2" xfId="21191" xr:uid="{00000000-0005-0000-0000-0000A4500000}"/>
    <cellStyle name="Note 2 2 3 4 2 2" xfId="22094" xr:uid="{662DD5DB-A52C-4497-A56C-F3E18A8FDAF3}"/>
    <cellStyle name="Note 2 2 3 4 3" xfId="21635" xr:uid="{10438226-99C3-477D-AD01-6599BA22D778}"/>
    <cellStyle name="Note 2 2 3 5" xfId="20421" xr:uid="{00000000-0005-0000-0000-0000A5500000}"/>
    <cellStyle name="Note 2 2 3 5 2" xfId="21190" xr:uid="{00000000-0005-0000-0000-0000A6500000}"/>
    <cellStyle name="Note 2 2 3 5 2 2" xfId="22093" xr:uid="{CA0EEA9F-E460-4E95-979A-87DA4BAD6F6D}"/>
    <cellStyle name="Note 2 2 3 5 3" xfId="21636" xr:uid="{DED210D6-EEE4-4823-9A9C-589DB9D44F42}"/>
    <cellStyle name="Note 2 2 4" xfId="20422" xr:uid="{00000000-0005-0000-0000-0000A7500000}"/>
    <cellStyle name="Note 2 2 4 2" xfId="20423" xr:uid="{00000000-0005-0000-0000-0000A8500000}"/>
    <cellStyle name="Note 2 2 4 2 2" xfId="21188" xr:uid="{00000000-0005-0000-0000-0000A9500000}"/>
    <cellStyle name="Note 2 2 4 2 2 2" xfId="22091" xr:uid="{A5048A76-638A-484F-92B0-058B44317271}"/>
    <cellStyle name="Note 2 2 4 2 3" xfId="21638" xr:uid="{03BA5768-9269-40D8-9993-276F7B553FB3}"/>
    <cellStyle name="Note 2 2 4 3" xfId="20424" xr:uid="{00000000-0005-0000-0000-0000AA500000}"/>
    <cellStyle name="Note 2 2 4 3 2" xfId="21187" xr:uid="{00000000-0005-0000-0000-0000AB500000}"/>
    <cellStyle name="Note 2 2 4 3 2 2" xfId="22090" xr:uid="{4446378B-80EE-4434-89E0-EDFE6D525BE1}"/>
    <cellStyle name="Note 2 2 4 3 3" xfId="21639" xr:uid="{9074C602-A909-48D5-84FF-5AD6DE74A0DF}"/>
    <cellStyle name="Note 2 2 4 4" xfId="20425" xr:uid="{00000000-0005-0000-0000-0000AC500000}"/>
    <cellStyle name="Note 2 2 4 4 2" xfId="21186" xr:uid="{00000000-0005-0000-0000-0000AD500000}"/>
    <cellStyle name="Note 2 2 4 4 2 2" xfId="22089" xr:uid="{2DC22F5B-4169-4442-8D05-283AA033D08F}"/>
    <cellStyle name="Note 2 2 4 4 3" xfId="21640" xr:uid="{CC5F8CCF-52A2-4284-AE9B-323D090ECE9B}"/>
    <cellStyle name="Note 2 2 4 5" xfId="21189" xr:uid="{00000000-0005-0000-0000-0000AE500000}"/>
    <cellStyle name="Note 2 2 4 5 2" xfId="22092" xr:uid="{87DB059D-D8B4-4242-9A6B-AF05BB50BEC0}"/>
    <cellStyle name="Note 2 2 4 6" xfId="21637" xr:uid="{FA716F22-0B17-444A-BB6B-8ACEEE241F67}"/>
    <cellStyle name="Note 2 2 5" xfId="20426" xr:uid="{00000000-0005-0000-0000-0000AF500000}"/>
    <cellStyle name="Note 2 2 5 2" xfId="20427" xr:uid="{00000000-0005-0000-0000-0000B0500000}"/>
    <cellStyle name="Note 2 2 5 2 2" xfId="21184" xr:uid="{00000000-0005-0000-0000-0000B1500000}"/>
    <cellStyle name="Note 2 2 5 2 2 2" xfId="22087" xr:uid="{51014D6F-0167-458A-A42B-1DF6B293AA27}"/>
    <cellStyle name="Note 2 2 5 2 3" xfId="21642" xr:uid="{E79E218B-8E3A-49C6-890A-08B7D6E25E34}"/>
    <cellStyle name="Note 2 2 5 3" xfId="20428" xr:uid="{00000000-0005-0000-0000-0000B2500000}"/>
    <cellStyle name="Note 2 2 5 3 2" xfId="21183" xr:uid="{00000000-0005-0000-0000-0000B3500000}"/>
    <cellStyle name="Note 2 2 5 3 2 2" xfId="22086" xr:uid="{56149AFF-862C-4F0C-9DD2-03A447204F2A}"/>
    <cellStyle name="Note 2 2 5 3 3" xfId="21643" xr:uid="{286D9AAC-ECEF-4BE5-B7BD-91F737B8AB12}"/>
    <cellStyle name="Note 2 2 5 4" xfId="20429" xr:uid="{00000000-0005-0000-0000-0000B4500000}"/>
    <cellStyle name="Note 2 2 5 4 2" xfId="21182" xr:uid="{00000000-0005-0000-0000-0000B5500000}"/>
    <cellStyle name="Note 2 2 5 4 2 2" xfId="22085" xr:uid="{9A35F12F-46FF-4BCE-BD83-14B83926525F}"/>
    <cellStyle name="Note 2 2 5 4 3" xfId="21644" xr:uid="{7535E8E6-9528-4E61-B854-E25451581B83}"/>
    <cellStyle name="Note 2 2 5 5" xfId="21185" xr:uid="{00000000-0005-0000-0000-0000B6500000}"/>
    <cellStyle name="Note 2 2 5 5 2" xfId="22088" xr:uid="{16F39F22-681C-4A88-919E-01083917C715}"/>
    <cellStyle name="Note 2 2 5 6" xfId="21641" xr:uid="{7A8CDC38-86C3-415C-B2A0-B86B49987EF0}"/>
    <cellStyle name="Note 2 2 6" xfId="20430" xr:uid="{00000000-0005-0000-0000-0000B7500000}"/>
    <cellStyle name="Note 2 2 6 2" xfId="21181" xr:uid="{00000000-0005-0000-0000-0000B8500000}"/>
    <cellStyle name="Note 2 2 6 2 2" xfId="22084" xr:uid="{7994665E-ED57-4292-828C-A16BF368C221}"/>
    <cellStyle name="Note 2 2 6 3" xfId="21645" xr:uid="{21DBE4BE-2EC7-425D-BF98-92E1A809A3B3}"/>
    <cellStyle name="Note 2 2 7" xfId="20431" xr:uid="{00000000-0005-0000-0000-0000B9500000}"/>
    <cellStyle name="Note 2 2 7 2" xfId="21180" xr:uid="{00000000-0005-0000-0000-0000BA500000}"/>
    <cellStyle name="Note 2 2 7 2 2" xfId="22083" xr:uid="{480CB172-D4EF-470D-A37F-072C220E0199}"/>
    <cellStyle name="Note 2 2 7 3" xfId="21646" xr:uid="{D1293E0D-273E-4D8C-9F6E-45966975FD76}"/>
    <cellStyle name="Note 2 2 8" xfId="20432" xr:uid="{00000000-0005-0000-0000-0000BB500000}"/>
    <cellStyle name="Note 2 2 8 2" xfId="21179" xr:uid="{00000000-0005-0000-0000-0000BC500000}"/>
    <cellStyle name="Note 2 2 8 2 2" xfId="22082" xr:uid="{9D8AE96A-1BEA-40A9-A61B-30B2034E3911}"/>
    <cellStyle name="Note 2 2 8 3" xfId="21647" xr:uid="{575DD345-AEB6-4A76-8655-D490F62C543B}"/>
    <cellStyle name="Note 2 2 9" xfId="20433" xr:uid="{00000000-0005-0000-0000-0000BD500000}"/>
    <cellStyle name="Note 2 2 9 2" xfId="21178" xr:uid="{00000000-0005-0000-0000-0000BE500000}"/>
    <cellStyle name="Note 2 2 9 2 2" xfId="22081" xr:uid="{7EF96CFB-563B-4FC8-B70B-54EB6299CBCE}"/>
    <cellStyle name="Note 2 2 9 3" xfId="21648" xr:uid="{423E0403-C8E8-47FE-85F7-378D0B282A00}"/>
    <cellStyle name="Note 2 3" xfId="20434" xr:uid="{00000000-0005-0000-0000-0000BF500000}"/>
    <cellStyle name="Note 2 3 2" xfId="20435" xr:uid="{00000000-0005-0000-0000-0000C0500000}"/>
    <cellStyle name="Note 2 3 2 2" xfId="21177" xr:uid="{00000000-0005-0000-0000-0000C1500000}"/>
    <cellStyle name="Note 2 3 2 2 2" xfId="22080" xr:uid="{2D2490F9-56A9-4689-BA35-3FB296CC283C}"/>
    <cellStyle name="Note 2 3 2 3" xfId="21649" xr:uid="{D91F1B78-ED0C-46F6-9865-47888319DB00}"/>
    <cellStyle name="Note 2 3 3" xfId="20436" xr:uid="{00000000-0005-0000-0000-0000C2500000}"/>
    <cellStyle name="Note 2 3 3 2" xfId="21176" xr:uid="{00000000-0005-0000-0000-0000C3500000}"/>
    <cellStyle name="Note 2 3 3 2 2" xfId="22079" xr:uid="{FFEF18DD-1CF7-486B-9454-E379949362B8}"/>
    <cellStyle name="Note 2 3 3 3" xfId="21650" xr:uid="{48E08568-7D6B-4557-8F45-101242BD5724}"/>
    <cellStyle name="Note 2 3 4" xfId="20437" xr:uid="{00000000-0005-0000-0000-0000C4500000}"/>
    <cellStyle name="Note 2 3 4 2" xfId="21175" xr:uid="{00000000-0005-0000-0000-0000C5500000}"/>
    <cellStyle name="Note 2 3 4 2 2" xfId="22078" xr:uid="{46CE8669-ED3A-4786-92FA-5BFF1141925B}"/>
    <cellStyle name="Note 2 3 4 3" xfId="21651" xr:uid="{C601AC50-E217-43D1-9D8D-3641E29280A6}"/>
    <cellStyle name="Note 2 3 5" xfId="20438" xr:uid="{00000000-0005-0000-0000-0000C6500000}"/>
    <cellStyle name="Note 2 3 5 2" xfId="21174" xr:uid="{00000000-0005-0000-0000-0000C7500000}"/>
    <cellStyle name="Note 2 3 5 2 2" xfId="22077" xr:uid="{81EC0EE6-42E8-4F76-ACA2-33B8243D76F1}"/>
    <cellStyle name="Note 2 3 5 3" xfId="21652" xr:uid="{954CADBD-EB6A-4C72-9A5B-4E40352B321D}"/>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2 2 2 2" xfId="22076" xr:uid="{DB7B4A35-8EFF-4669-B849-ACE5545D7FE5}"/>
    <cellStyle name="Note 2 4 2 2 3" xfId="21653" xr:uid="{55BCFAB0-CE35-4CF3-AA2A-EBB9D7E268E6}"/>
    <cellStyle name="Note 2 4 3" xfId="20442" xr:uid="{00000000-0005-0000-0000-0000CC500000}"/>
    <cellStyle name="Note 2 4 3 2" xfId="20443" xr:uid="{00000000-0005-0000-0000-0000CD500000}"/>
    <cellStyle name="Note 2 4 3 2 2" xfId="21172" xr:uid="{00000000-0005-0000-0000-0000CE500000}"/>
    <cellStyle name="Note 2 4 3 2 2 2" xfId="22075" xr:uid="{F86D9900-0255-4FD6-B9D6-A86A5A9EF2C4}"/>
    <cellStyle name="Note 2 4 3 2 3" xfId="21654" xr:uid="{43FAE81B-5242-4812-AF05-BABEE40BDCDE}"/>
    <cellStyle name="Note 2 4 4" xfId="20444" xr:uid="{00000000-0005-0000-0000-0000CF500000}"/>
    <cellStyle name="Note 2 4 4 2" xfId="20445" xr:uid="{00000000-0005-0000-0000-0000D0500000}"/>
    <cellStyle name="Note 2 4 4 2 2" xfId="21171" xr:uid="{00000000-0005-0000-0000-0000D1500000}"/>
    <cellStyle name="Note 2 4 4 2 2 2" xfId="22074" xr:uid="{6B34F9CE-B636-48BE-A927-D567D5905B2D}"/>
    <cellStyle name="Note 2 4 4 2 3" xfId="21655" xr:uid="{F337E230-F06B-4567-A095-F4F198140C65}"/>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4 7 2 2" xfId="22073" xr:uid="{1A522A77-0FF9-4138-8724-14BEAB119E25}"/>
    <cellStyle name="Note 2 4 7 3" xfId="21656" xr:uid="{E1CBD8C8-F44C-4C37-AF14-A941766380E7}"/>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2 2 2 2" xfId="22072" xr:uid="{91A2C264-1071-4C13-AF72-5E10CBD8822F}"/>
    <cellStyle name="Note 2 5 2 2 3" xfId="21657" xr:uid="{A3C14F5B-7968-475D-A820-20C10AB31055}"/>
    <cellStyle name="Note 2 5 3" xfId="20452" xr:uid="{00000000-0005-0000-0000-0000DA500000}"/>
    <cellStyle name="Note 2 5 3 2" xfId="20453" xr:uid="{00000000-0005-0000-0000-0000DB500000}"/>
    <cellStyle name="Note 2 5 3 2 2" xfId="21168" xr:uid="{00000000-0005-0000-0000-0000DC500000}"/>
    <cellStyle name="Note 2 5 3 2 2 2" xfId="22071" xr:uid="{BC40ACBB-4296-479F-8396-2A1638A2970C}"/>
    <cellStyle name="Note 2 5 3 2 3" xfId="21658" xr:uid="{8F0DFE06-90DD-4452-8773-FD9A46A9F36E}"/>
    <cellStyle name="Note 2 5 4" xfId="20454" xr:uid="{00000000-0005-0000-0000-0000DD500000}"/>
    <cellStyle name="Note 2 5 4 2" xfId="20455" xr:uid="{00000000-0005-0000-0000-0000DE500000}"/>
    <cellStyle name="Note 2 5 4 2 2" xfId="21167" xr:uid="{00000000-0005-0000-0000-0000DF500000}"/>
    <cellStyle name="Note 2 5 4 2 2 2" xfId="22070" xr:uid="{5FB54461-4277-44DB-8212-28575879CEDD}"/>
    <cellStyle name="Note 2 5 4 2 3" xfId="21659" xr:uid="{1EE6D6BC-331E-49F4-B30B-433DE2E12F4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5 7 2 2" xfId="22069" xr:uid="{0CE9D8B9-B0C0-4DAB-8B92-BEEC4DB47535}"/>
    <cellStyle name="Note 2 5 7 3" xfId="21660" xr:uid="{AC8A71BE-1F39-4042-9B97-9885FE10684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2 2 2 2" xfId="22068" xr:uid="{638B8CB5-41EC-4A76-9C69-02E087BF1C59}"/>
    <cellStyle name="Note 2 6 2 2 3" xfId="21661" xr:uid="{E4B33312-289B-43F6-81BE-F401D81A9F23}"/>
    <cellStyle name="Note 2 6 3" xfId="20462" xr:uid="{00000000-0005-0000-0000-0000E8500000}"/>
    <cellStyle name="Note 2 6 3 2" xfId="20463" xr:uid="{00000000-0005-0000-0000-0000E9500000}"/>
    <cellStyle name="Note 2 6 3 2 2" xfId="21164" xr:uid="{00000000-0005-0000-0000-0000EA500000}"/>
    <cellStyle name="Note 2 6 3 2 2 2" xfId="22067" xr:uid="{FDDB7F23-1051-4301-B823-251979FE7B2D}"/>
    <cellStyle name="Note 2 6 3 2 3" xfId="21662" xr:uid="{F93BD565-4255-451B-AA89-369917F6FCB3}"/>
    <cellStyle name="Note 2 6 4" xfId="20464" xr:uid="{00000000-0005-0000-0000-0000EB500000}"/>
    <cellStyle name="Note 2 6 4 2" xfId="20465" xr:uid="{00000000-0005-0000-0000-0000EC500000}"/>
    <cellStyle name="Note 2 6 4 2 2" xfId="21163" xr:uid="{00000000-0005-0000-0000-0000ED500000}"/>
    <cellStyle name="Note 2 6 4 2 2 2" xfId="22066" xr:uid="{8551B076-9427-49FF-8453-B883DCC1C016}"/>
    <cellStyle name="Note 2 6 4 2 3" xfId="21663" xr:uid="{191E078F-7662-48FD-8215-73D272009622}"/>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6 7 2 2" xfId="22065" xr:uid="{AA5B29AB-B631-4000-A275-FE4A3F2A3083}"/>
    <cellStyle name="Note 2 6 7 3" xfId="21664" xr:uid="{9F01FF09-67BB-4702-BA6B-543BD27E7884}"/>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2 2 2 2" xfId="22064" xr:uid="{7169C1C5-6945-4EE1-B7C6-0669B50B1642}"/>
    <cellStyle name="Note 2 7 2 2 3" xfId="21665" xr:uid="{CD898BC8-7D89-4E9E-AEF4-6B940E1EF38A}"/>
    <cellStyle name="Note 2 7 3" xfId="20472" xr:uid="{00000000-0005-0000-0000-0000F6500000}"/>
    <cellStyle name="Note 2 7 3 2" xfId="20473" xr:uid="{00000000-0005-0000-0000-0000F7500000}"/>
    <cellStyle name="Note 2 7 3 2 2" xfId="21160" xr:uid="{00000000-0005-0000-0000-0000F8500000}"/>
    <cellStyle name="Note 2 7 3 2 2 2" xfId="22063" xr:uid="{40F2C5B7-50C5-4CA2-B281-D91F585656E0}"/>
    <cellStyle name="Note 2 7 3 2 3" xfId="21666" xr:uid="{13A5211C-4E36-42E1-8C92-E3D022711C09}"/>
    <cellStyle name="Note 2 7 4" xfId="20474" xr:uid="{00000000-0005-0000-0000-0000F9500000}"/>
    <cellStyle name="Note 2 7 4 2" xfId="20475" xr:uid="{00000000-0005-0000-0000-0000FA500000}"/>
    <cellStyle name="Note 2 7 4 2 2" xfId="21159" xr:uid="{00000000-0005-0000-0000-0000FB500000}"/>
    <cellStyle name="Note 2 7 4 2 2 2" xfId="22062" xr:uid="{F2AFC54F-EAD5-4D5F-9CD0-180E0DBA8922}"/>
    <cellStyle name="Note 2 7 4 2 3" xfId="21667" xr:uid="{AD57A71D-A46C-414E-9FC1-604E0D9A8F53}"/>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7 7 2 2" xfId="22061" xr:uid="{A41C667D-B2BE-4E65-9144-9DB07AA553BD}"/>
    <cellStyle name="Note 2 7 7 3" xfId="21668" xr:uid="{5C69083B-EA8D-48D4-92EA-65ADB17CB704}"/>
    <cellStyle name="Note 2 8" xfId="20479" xr:uid="{00000000-0005-0000-0000-000000510000}"/>
    <cellStyle name="Note 2 8 2" xfId="20480" xr:uid="{00000000-0005-0000-0000-000001510000}"/>
    <cellStyle name="Note 2 8 2 2" xfId="21157" xr:uid="{00000000-0005-0000-0000-000002510000}"/>
    <cellStyle name="Note 2 8 2 2 2" xfId="22060" xr:uid="{A18FB7A1-6FD6-408F-BEE2-A95FC1B01C69}"/>
    <cellStyle name="Note 2 8 2 3" xfId="21669" xr:uid="{58973C4E-BABA-487B-A484-F1E1B6A4B294}"/>
    <cellStyle name="Note 2 8 3" xfId="20481" xr:uid="{00000000-0005-0000-0000-000003510000}"/>
    <cellStyle name="Note 2 8 3 2" xfId="21156" xr:uid="{00000000-0005-0000-0000-000004510000}"/>
    <cellStyle name="Note 2 8 3 2 2" xfId="22059" xr:uid="{C837D04A-CD4C-4822-91E9-0C101239B018}"/>
    <cellStyle name="Note 2 8 3 3" xfId="21670" xr:uid="{F0726D60-2F60-40C9-B3A4-5C94DDD61DEB}"/>
    <cellStyle name="Note 2 8 4" xfId="20482" xr:uid="{00000000-0005-0000-0000-000005510000}"/>
    <cellStyle name="Note 2 8 4 2" xfId="21155" xr:uid="{00000000-0005-0000-0000-000006510000}"/>
    <cellStyle name="Note 2 8 4 2 2" xfId="22058" xr:uid="{A42213BB-67A1-45FF-888F-839FBA3C99D0}"/>
    <cellStyle name="Note 2 8 4 3" xfId="21671" xr:uid="{5D5C317E-C3A5-49EB-8CD6-D0AF125CECB8}"/>
    <cellStyle name="Note 2 8 5" xfId="20483" xr:uid="{00000000-0005-0000-0000-000007510000}"/>
    <cellStyle name="Note 2 8 5 2" xfId="21154" xr:uid="{00000000-0005-0000-0000-000008510000}"/>
    <cellStyle name="Note 2 8 5 2 2" xfId="22057" xr:uid="{7DF6E661-4513-4F67-988E-95114A74D877}"/>
    <cellStyle name="Note 2 8 5 3" xfId="21672" xr:uid="{551957FD-F427-4403-B544-7BA98999612D}"/>
    <cellStyle name="Note 2 9" xfId="20484" xr:uid="{00000000-0005-0000-0000-000009510000}"/>
    <cellStyle name="Note 2 9 2" xfId="20485" xr:uid="{00000000-0005-0000-0000-00000A510000}"/>
    <cellStyle name="Note 2 9 2 2" xfId="21153" xr:uid="{00000000-0005-0000-0000-00000B510000}"/>
    <cellStyle name="Note 2 9 2 2 2" xfId="22056" xr:uid="{13007B2C-2AE8-4DB1-8161-7B1EC624A3E6}"/>
    <cellStyle name="Note 2 9 2 3" xfId="21673" xr:uid="{1C8EDDBF-2F7E-4892-9A7C-8EE3884AAA77}"/>
    <cellStyle name="Note 2 9 3" xfId="20486" xr:uid="{00000000-0005-0000-0000-00000C510000}"/>
    <cellStyle name="Note 2 9 3 2" xfId="21152" xr:uid="{00000000-0005-0000-0000-00000D510000}"/>
    <cellStyle name="Note 2 9 3 2 2" xfId="22055" xr:uid="{2CE571DC-FB35-4022-B1FA-95CA2BFE933E}"/>
    <cellStyle name="Note 2 9 3 3" xfId="21674" xr:uid="{7EF33C8D-6C67-40F4-8945-D151608EF009}"/>
    <cellStyle name="Note 2 9 4" xfId="20487" xr:uid="{00000000-0005-0000-0000-00000E510000}"/>
    <cellStyle name="Note 2 9 4 2" xfId="21151" xr:uid="{00000000-0005-0000-0000-00000F510000}"/>
    <cellStyle name="Note 2 9 4 2 2" xfId="22054" xr:uid="{6C1DCDA8-27EF-4318-9F57-CFD996BFA41D}"/>
    <cellStyle name="Note 2 9 4 3" xfId="21675" xr:uid="{D596AC11-BD74-4D61-ACE4-A1BBAD8CC5C5}"/>
    <cellStyle name="Note 2 9 5" xfId="20488" xr:uid="{00000000-0005-0000-0000-000010510000}"/>
    <cellStyle name="Note 2 9 5 2" xfId="21150" xr:uid="{00000000-0005-0000-0000-000011510000}"/>
    <cellStyle name="Note 2 9 5 2 2" xfId="22053" xr:uid="{4409E189-0B90-4AE2-9D6C-646AAC3315FB}"/>
    <cellStyle name="Note 2 9 5 3" xfId="21676" xr:uid="{B8DC9D59-391D-4D8B-8AE8-B8B68AC1E102}"/>
    <cellStyle name="Note 3 2" xfId="20489" xr:uid="{00000000-0005-0000-0000-000012510000}"/>
    <cellStyle name="Note 3 2 2" xfId="20490" xr:uid="{00000000-0005-0000-0000-000013510000}"/>
    <cellStyle name="Note 3 2 2 2" xfId="21148" xr:uid="{00000000-0005-0000-0000-000014510000}"/>
    <cellStyle name="Note 3 2 2 2 2" xfId="22051" xr:uid="{EB2F2F31-A1BE-4423-AA4C-916031C50684}"/>
    <cellStyle name="Note 3 2 2 3" xfId="21678" xr:uid="{E43F3D24-5589-4517-B792-D8ABF4EB85D8}"/>
    <cellStyle name="Note 3 2 3" xfId="20491" xr:uid="{00000000-0005-0000-0000-000015510000}"/>
    <cellStyle name="Note 3 2 4" xfId="21149" xr:uid="{00000000-0005-0000-0000-000016510000}"/>
    <cellStyle name="Note 3 2 4 2" xfId="22052" xr:uid="{53AF4926-108F-487A-9B4C-A1DEBD67B2CA}"/>
    <cellStyle name="Note 3 2 5" xfId="21677" xr:uid="{150821D3-41E7-4923-B850-1075ACB17069}"/>
    <cellStyle name="Note 3 3" xfId="20492" xr:uid="{00000000-0005-0000-0000-000017510000}"/>
    <cellStyle name="Note 3 3 2" xfId="20493" xr:uid="{00000000-0005-0000-0000-000018510000}"/>
    <cellStyle name="Note 3 3 3" xfId="21147" xr:uid="{00000000-0005-0000-0000-000019510000}"/>
    <cellStyle name="Note 3 3 3 2" xfId="22050" xr:uid="{0AACC1C3-2548-4B3F-A887-A1DA816BC9B2}"/>
    <cellStyle name="Note 3 3 4" xfId="21679" xr:uid="{C160F7E3-0896-497B-8356-398F64D0C9F2}"/>
    <cellStyle name="Note 3 4" xfId="20494" xr:uid="{00000000-0005-0000-0000-00001A510000}"/>
    <cellStyle name="Note 3 4 2" xfId="21146" xr:uid="{00000000-0005-0000-0000-00001B510000}"/>
    <cellStyle name="Note 3 4 2 2" xfId="22049" xr:uid="{B250302A-B80F-4A3A-A718-B7CDA9BC1601}"/>
    <cellStyle name="Note 3 4 3" xfId="21680" xr:uid="{6256ECA2-024E-48FA-8FD7-DBC0F56E9A5E}"/>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2 2 2" xfId="22047" xr:uid="{87D9433E-8110-4D17-999E-57BF2ACA613F}"/>
    <cellStyle name="Note 4 2 2 3" xfId="21682" xr:uid="{1272D697-C88B-40AE-A7E3-93651D17699E}"/>
    <cellStyle name="Note 4 2 3" xfId="20498" xr:uid="{00000000-0005-0000-0000-000020510000}"/>
    <cellStyle name="Note 4 2 4" xfId="21145" xr:uid="{00000000-0005-0000-0000-000021510000}"/>
    <cellStyle name="Note 4 2 4 2" xfId="22048" xr:uid="{84222955-DBEE-4A59-9074-240EC08154CE}"/>
    <cellStyle name="Note 4 2 5" xfId="21681" xr:uid="{741A40C8-572D-4C60-ABD5-993547A3E9A0}"/>
    <cellStyle name="Note 4 3" xfId="20499" xr:uid="{00000000-0005-0000-0000-000022510000}"/>
    <cellStyle name="Note 4 4" xfId="20500" xr:uid="{00000000-0005-0000-0000-000023510000}"/>
    <cellStyle name="Note 4 4 2" xfId="21143" xr:uid="{00000000-0005-0000-0000-000024510000}"/>
    <cellStyle name="Note 4 4 2 2" xfId="22046" xr:uid="{5A022BB2-6875-46BD-A98B-C9B73EA5AD23}"/>
    <cellStyle name="Note 4 4 3" xfId="21683" xr:uid="{9E6A953A-C05D-4D0D-82CA-E0ECE7B04469}"/>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2 3 2" xfId="22044" xr:uid="{3742A9E0-E4E0-4929-866E-BDF33C8643B3}"/>
    <cellStyle name="Note 5 2 4" xfId="21685" xr:uid="{E7914606-1AE0-48D0-A6B3-37AA7B31CC27}"/>
    <cellStyle name="Note 5 3" xfId="20505" xr:uid="{00000000-0005-0000-0000-00002A510000}"/>
    <cellStyle name="Note 5 3 2" xfId="20506" xr:uid="{00000000-0005-0000-0000-00002B510000}"/>
    <cellStyle name="Note 5 3 3" xfId="21140" xr:uid="{00000000-0005-0000-0000-00002C510000}"/>
    <cellStyle name="Note 5 3 3 2" xfId="22043" xr:uid="{FFC5975B-5F05-480D-AEDA-183CD4D0E784}"/>
    <cellStyle name="Note 5 3 4" xfId="21686" xr:uid="{F075B8B0-C5B7-4961-8F67-7E29B7C37DEF}"/>
    <cellStyle name="Note 5 4" xfId="20507" xr:uid="{00000000-0005-0000-0000-00002D510000}"/>
    <cellStyle name="Note 5 4 2" xfId="21139" xr:uid="{00000000-0005-0000-0000-00002E510000}"/>
    <cellStyle name="Note 5 4 2 2" xfId="22042" xr:uid="{2B635CF1-30BF-4FF6-BF48-76CE913C9904}"/>
    <cellStyle name="Note 5 4 3" xfId="21687" xr:uid="{30C2BB1E-8997-4A70-8F0D-191142425577}"/>
    <cellStyle name="Note 5 5" xfId="20508" xr:uid="{00000000-0005-0000-0000-00002F510000}"/>
    <cellStyle name="Note 5 6" xfId="21142" xr:uid="{00000000-0005-0000-0000-000030510000}"/>
    <cellStyle name="Note 5 6 2" xfId="22045" xr:uid="{D0F1F3D7-6004-4CAE-96F0-02D69007A42A}"/>
    <cellStyle name="Note 5 7" xfId="21684" xr:uid="{A180663A-38D1-4728-9616-B7357B926575}"/>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2 3 2" xfId="22040" xr:uid="{C96A4349-AA3F-48F2-AFC7-6E62C89AF3A3}"/>
    <cellStyle name="Note 6 2 4" xfId="21689" xr:uid="{13541BC3-D1E7-4977-AF9B-20E38A6039FE}"/>
    <cellStyle name="Note 6 3" xfId="20512" xr:uid="{00000000-0005-0000-0000-000035510000}"/>
    <cellStyle name="Note 6 4" xfId="20513" xr:uid="{00000000-0005-0000-0000-000036510000}"/>
    <cellStyle name="Note 6 5" xfId="21138" xr:uid="{00000000-0005-0000-0000-000037510000}"/>
    <cellStyle name="Note 6 5 2" xfId="22041" xr:uid="{83B2C002-72E0-4F29-BDA0-D56872D4075C}"/>
    <cellStyle name="Note 6 6" xfId="21688" xr:uid="{C9DE4155-7B15-4AFF-9CE6-1323626A35A2}"/>
    <cellStyle name="Note 7" xfId="20514" xr:uid="{00000000-0005-0000-0000-000038510000}"/>
    <cellStyle name="Note 7 2" xfId="21136" xr:uid="{00000000-0005-0000-0000-000039510000}"/>
    <cellStyle name="Note 7 2 2" xfId="22039" xr:uid="{00A2FBD3-E746-4317-AB3F-3AD409533BB3}"/>
    <cellStyle name="Note 7 3" xfId="21690" xr:uid="{DAF3EC96-184A-4F2F-9F1B-942D0217AA1B}"/>
    <cellStyle name="Note 8" xfId="20515" xr:uid="{00000000-0005-0000-0000-00003A510000}"/>
    <cellStyle name="Note 8 2" xfId="20516" xr:uid="{00000000-0005-0000-0000-00003B510000}"/>
    <cellStyle name="Note 8 2 2" xfId="21134" xr:uid="{00000000-0005-0000-0000-00003C510000}"/>
    <cellStyle name="Note 8 2 2 2" xfId="22037" xr:uid="{129B6CCC-4402-440D-8CD1-68B023A6E305}"/>
    <cellStyle name="Note 8 2 3" xfId="21692" xr:uid="{36BC9856-2F24-4157-897F-EAE5D9768A13}"/>
    <cellStyle name="Note 8 3" xfId="21135" xr:uid="{00000000-0005-0000-0000-00003D510000}"/>
    <cellStyle name="Note 8 3 2" xfId="22038" xr:uid="{11D1C29B-6731-408D-88AD-2E8C2CDEDB86}"/>
    <cellStyle name="Note 8 4" xfId="21691" xr:uid="{7B22E543-1601-4AF5-A2A6-706A4DA7D325}"/>
    <cellStyle name="Note 9" xfId="20517" xr:uid="{00000000-0005-0000-0000-00003E510000}"/>
    <cellStyle name="Note 9 2" xfId="21133" xr:uid="{00000000-0005-0000-0000-00003F510000}"/>
    <cellStyle name="Note 9 2 2" xfId="22036" xr:uid="{912BBBDB-B8FD-4656-BA4B-D54A5DE609BA}"/>
    <cellStyle name="Note 9 3" xfId="21693" xr:uid="{19BEBC3A-C2FE-4941-88B2-5CCC239E67B3}"/>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alExposure 2 2" xfId="22035" xr:uid="{AEFDCCAB-7B36-48E9-90C6-13F5053CFD7F}"/>
    <cellStyle name="optionalExposure 3" xfId="21694" xr:uid="{E5206192-35E4-4C8C-9C28-14B90737D2C5}"/>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2 2 2" xfId="22033" xr:uid="{27C7AAD3-0E86-4138-92E3-0467A9265A67}"/>
    <cellStyle name="Output 2 10 2 3" xfId="21696" xr:uid="{5A1DE1C4-D799-4DAE-8909-01F833604E74}"/>
    <cellStyle name="Output 2 10 3" xfId="20531" xr:uid="{00000000-0005-0000-0000-00004F510000}"/>
    <cellStyle name="Output 2 10 3 2" xfId="21129" xr:uid="{00000000-0005-0000-0000-000050510000}"/>
    <cellStyle name="Output 2 10 3 2 2" xfId="22032" xr:uid="{A8AAA873-F7AF-4F33-95D6-01E91AD1E62B}"/>
    <cellStyle name="Output 2 10 3 3" xfId="21697" xr:uid="{E79F9D19-A621-4C18-9FD9-3C3EC471CAB4}"/>
    <cellStyle name="Output 2 10 4" xfId="20532" xr:uid="{00000000-0005-0000-0000-000051510000}"/>
    <cellStyle name="Output 2 10 4 2" xfId="21128" xr:uid="{00000000-0005-0000-0000-000052510000}"/>
    <cellStyle name="Output 2 10 4 2 2" xfId="22031" xr:uid="{82F1CDA8-87A7-481B-8EEB-AE758416EDCD}"/>
    <cellStyle name="Output 2 10 4 3" xfId="21698" xr:uid="{0FE2068A-79BB-4CCB-ADE7-944CB95E04E6}"/>
    <cellStyle name="Output 2 10 5" xfId="20533" xr:uid="{00000000-0005-0000-0000-000053510000}"/>
    <cellStyle name="Output 2 10 5 2" xfId="21127" xr:uid="{00000000-0005-0000-0000-000054510000}"/>
    <cellStyle name="Output 2 10 5 2 2" xfId="22030" xr:uid="{3E9CEA16-EF99-4D8C-92FE-05E652D8E84A}"/>
    <cellStyle name="Output 2 10 5 3" xfId="21699" xr:uid="{B23EA574-4500-46BF-80A6-9BF018359EC3}"/>
    <cellStyle name="Output 2 11" xfId="20534" xr:uid="{00000000-0005-0000-0000-000055510000}"/>
    <cellStyle name="Output 2 11 2" xfId="20535" xr:uid="{00000000-0005-0000-0000-000056510000}"/>
    <cellStyle name="Output 2 11 2 2" xfId="21125" xr:uid="{00000000-0005-0000-0000-000057510000}"/>
    <cellStyle name="Output 2 11 2 2 2" xfId="22028" xr:uid="{3EB4E6E1-315E-4E01-9EB1-0D316B32C726}"/>
    <cellStyle name="Output 2 11 2 3" xfId="21701" xr:uid="{2A84408D-9B1E-431D-9439-9EB037A70291}"/>
    <cellStyle name="Output 2 11 3" xfId="20536" xr:uid="{00000000-0005-0000-0000-000058510000}"/>
    <cellStyle name="Output 2 11 3 2" xfId="21124" xr:uid="{00000000-0005-0000-0000-000059510000}"/>
    <cellStyle name="Output 2 11 3 2 2" xfId="22027" xr:uid="{A5C6881B-724E-4931-80B8-2EDECD2CA168}"/>
    <cellStyle name="Output 2 11 3 3" xfId="21702" xr:uid="{4D2AE68E-FBA4-40EE-9E52-CB7DF9986F23}"/>
    <cellStyle name="Output 2 11 4" xfId="20537" xr:uid="{00000000-0005-0000-0000-00005A510000}"/>
    <cellStyle name="Output 2 11 4 2" xfId="21123" xr:uid="{00000000-0005-0000-0000-00005B510000}"/>
    <cellStyle name="Output 2 11 4 2 2" xfId="22026" xr:uid="{2FF8F58B-6A2B-477B-8D9D-409FFC3D8E0C}"/>
    <cellStyle name="Output 2 11 4 3" xfId="21703" xr:uid="{FE91C916-4FB9-4B2D-B835-8F5945FF016D}"/>
    <cellStyle name="Output 2 11 5" xfId="20538" xr:uid="{00000000-0005-0000-0000-00005C510000}"/>
    <cellStyle name="Output 2 11 5 2" xfId="21122" xr:uid="{00000000-0005-0000-0000-00005D510000}"/>
    <cellStyle name="Output 2 11 5 2 2" xfId="22025" xr:uid="{4752E45D-660F-4972-9643-7EEB7F741F29}"/>
    <cellStyle name="Output 2 11 5 3" xfId="21704" xr:uid="{26EBC149-9F46-4875-A5B1-7EB635D6A8B5}"/>
    <cellStyle name="Output 2 11 6" xfId="21126" xr:uid="{00000000-0005-0000-0000-00005E510000}"/>
    <cellStyle name="Output 2 11 6 2" xfId="22029" xr:uid="{8223EBAE-1717-4184-BA30-6EE99F8B9632}"/>
    <cellStyle name="Output 2 11 7" xfId="21700" xr:uid="{F837186E-7FDD-4702-8CB2-F73B6A77A673}"/>
    <cellStyle name="Output 2 12" xfId="20539" xr:uid="{00000000-0005-0000-0000-00005F510000}"/>
    <cellStyle name="Output 2 12 2" xfId="20540" xr:uid="{00000000-0005-0000-0000-000060510000}"/>
    <cellStyle name="Output 2 12 2 2" xfId="21120" xr:uid="{00000000-0005-0000-0000-000061510000}"/>
    <cellStyle name="Output 2 12 2 2 2" xfId="22023" xr:uid="{F132A096-CBC7-4C2D-931A-A0E83B59F2A2}"/>
    <cellStyle name="Output 2 12 2 3" xfId="21706" xr:uid="{6C061428-7DFA-472D-B58D-93B45D1021BD}"/>
    <cellStyle name="Output 2 12 3" xfId="20541" xr:uid="{00000000-0005-0000-0000-000062510000}"/>
    <cellStyle name="Output 2 12 3 2" xfId="21119" xr:uid="{00000000-0005-0000-0000-000063510000}"/>
    <cellStyle name="Output 2 12 3 2 2" xfId="22022" xr:uid="{2699CC4A-4606-4390-B72D-89008CB0B5E7}"/>
    <cellStyle name="Output 2 12 3 3" xfId="21707" xr:uid="{BADA49DC-1CE5-43D8-97C3-2555752213FE}"/>
    <cellStyle name="Output 2 12 4" xfId="20542" xr:uid="{00000000-0005-0000-0000-000064510000}"/>
    <cellStyle name="Output 2 12 4 2" xfId="21118" xr:uid="{00000000-0005-0000-0000-000065510000}"/>
    <cellStyle name="Output 2 12 4 2 2" xfId="22021" xr:uid="{54910970-402B-4972-9D8D-DABFC66C88A0}"/>
    <cellStyle name="Output 2 12 4 3" xfId="21708" xr:uid="{D54088D3-11CE-4059-8EAA-31AA6E24EB1F}"/>
    <cellStyle name="Output 2 12 5" xfId="20543" xr:uid="{00000000-0005-0000-0000-000066510000}"/>
    <cellStyle name="Output 2 12 5 2" xfId="21117" xr:uid="{00000000-0005-0000-0000-000067510000}"/>
    <cellStyle name="Output 2 12 5 2 2" xfId="22020" xr:uid="{C3EF91E4-C9C6-4D56-A722-BDC19DBFEF17}"/>
    <cellStyle name="Output 2 12 5 3" xfId="21709" xr:uid="{2C0B78F6-3625-4AF2-824E-67C36E6B3CA6}"/>
    <cellStyle name="Output 2 12 6" xfId="21121" xr:uid="{00000000-0005-0000-0000-000068510000}"/>
    <cellStyle name="Output 2 12 6 2" xfId="22024" xr:uid="{7718CF3B-C35D-43FB-B62E-3A5060472256}"/>
    <cellStyle name="Output 2 12 7" xfId="21705" xr:uid="{1D795597-3569-4B89-9D7A-E35E438740BC}"/>
    <cellStyle name="Output 2 13" xfId="20544" xr:uid="{00000000-0005-0000-0000-000069510000}"/>
    <cellStyle name="Output 2 13 2" xfId="20545" xr:uid="{00000000-0005-0000-0000-00006A510000}"/>
    <cellStyle name="Output 2 13 2 2" xfId="21115" xr:uid="{00000000-0005-0000-0000-00006B510000}"/>
    <cellStyle name="Output 2 13 2 2 2" xfId="22018" xr:uid="{948053AE-67E1-49A7-B588-FCC39B0C1823}"/>
    <cellStyle name="Output 2 13 2 3" xfId="21711" xr:uid="{05A1DB64-042D-4BA3-83BA-CBDD02D29513}"/>
    <cellStyle name="Output 2 13 3" xfId="20546" xr:uid="{00000000-0005-0000-0000-00006C510000}"/>
    <cellStyle name="Output 2 13 3 2" xfId="21114" xr:uid="{00000000-0005-0000-0000-00006D510000}"/>
    <cellStyle name="Output 2 13 3 2 2" xfId="22017" xr:uid="{E22465BA-ACF0-4D9D-A377-828544D22473}"/>
    <cellStyle name="Output 2 13 3 3" xfId="21712" xr:uid="{A21D2C08-A835-42CD-A39C-E243A705FE44}"/>
    <cellStyle name="Output 2 13 4" xfId="20547" xr:uid="{00000000-0005-0000-0000-00006E510000}"/>
    <cellStyle name="Output 2 13 4 2" xfId="21113" xr:uid="{00000000-0005-0000-0000-00006F510000}"/>
    <cellStyle name="Output 2 13 4 2 2" xfId="22016" xr:uid="{228214EC-63BE-4BA1-A875-ED4AB0B4470C}"/>
    <cellStyle name="Output 2 13 4 3" xfId="21713" xr:uid="{24441290-CF87-47F8-9929-A1054C6E90C5}"/>
    <cellStyle name="Output 2 13 5" xfId="21116" xr:uid="{00000000-0005-0000-0000-000070510000}"/>
    <cellStyle name="Output 2 13 5 2" xfId="22019" xr:uid="{8F981023-CE2B-4D77-B334-6185E167C779}"/>
    <cellStyle name="Output 2 13 6" xfId="21710" xr:uid="{46CFBBD8-78C4-497D-9FFF-AEC86EA23CAD}"/>
    <cellStyle name="Output 2 14" xfId="20548" xr:uid="{00000000-0005-0000-0000-000071510000}"/>
    <cellStyle name="Output 2 14 2" xfId="21112" xr:uid="{00000000-0005-0000-0000-000072510000}"/>
    <cellStyle name="Output 2 14 2 2" xfId="22015" xr:uid="{2C0548C3-3618-41D0-9D0B-05A7B95A7E05}"/>
    <cellStyle name="Output 2 14 3" xfId="21714" xr:uid="{C15A2581-FBA0-4770-ABB2-5F02955665B7}"/>
    <cellStyle name="Output 2 15" xfId="20549" xr:uid="{00000000-0005-0000-0000-000073510000}"/>
    <cellStyle name="Output 2 15 2" xfId="21111" xr:uid="{00000000-0005-0000-0000-000074510000}"/>
    <cellStyle name="Output 2 15 2 2" xfId="22014" xr:uid="{BEFE0BDE-5359-45EE-BB77-8D29E81E5274}"/>
    <cellStyle name="Output 2 15 3" xfId="21715" xr:uid="{133EDAD5-B788-44F6-AA96-04211BBB45E5}"/>
    <cellStyle name="Output 2 16" xfId="20550" xr:uid="{00000000-0005-0000-0000-000075510000}"/>
    <cellStyle name="Output 2 16 2" xfId="21110" xr:uid="{00000000-0005-0000-0000-000076510000}"/>
    <cellStyle name="Output 2 16 2 2" xfId="22013" xr:uid="{DBABCF6F-E06D-4D22-A06F-9153A48C607A}"/>
    <cellStyle name="Output 2 16 3" xfId="21716" xr:uid="{78C8813E-9A73-4CF3-926D-715071059D08}"/>
    <cellStyle name="Output 2 17" xfId="21131" xr:uid="{00000000-0005-0000-0000-000077510000}"/>
    <cellStyle name="Output 2 17 2" xfId="22034" xr:uid="{96060095-CD08-42C5-9E5F-20C3E39FA36E}"/>
    <cellStyle name="Output 2 18" xfId="21695" xr:uid="{F1CC6A2A-251B-446C-9084-1E88C2A31EFB}"/>
    <cellStyle name="Output 2 2" xfId="20551" xr:uid="{00000000-0005-0000-0000-000078510000}"/>
    <cellStyle name="Output 2 2 10" xfId="21109" xr:uid="{00000000-0005-0000-0000-000079510000}"/>
    <cellStyle name="Output 2 2 10 2" xfId="22012" xr:uid="{1EA41105-E485-49DC-8879-4C452E947B7A}"/>
    <cellStyle name="Output 2 2 11" xfId="21717" xr:uid="{29B80C7F-BD19-478B-A9B8-A2D9900354C4}"/>
    <cellStyle name="Output 2 2 2" xfId="20552" xr:uid="{00000000-0005-0000-0000-00007A510000}"/>
    <cellStyle name="Output 2 2 2 2" xfId="20553" xr:uid="{00000000-0005-0000-0000-00007B510000}"/>
    <cellStyle name="Output 2 2 2 2 2" xfId="21107" xr:uid="{00000000-0005-0000-0000-00007C510000}"/>
    <cellStyle name="Output 2 2 2 2 2 2" xfId="22010" xr:uid="{F9D74697-E755-4A47-AD2F-1049D9918585}"/>
    <cellStyle name="Output 2 2 2 2 3" xfId="21719" xr:uid="{FDA15D45-9007-48AF-99F8-A66E81359FD6}"/>
    <cellStyle name="Output 2 2 2 3" xfId="20554" xr:uid="{00000000-0005-0000-0000-00007D510000}"/>
    <cellStyle name="Output 2 2 2 3 2" xfId="21106" xr:uid="{00000000-0005-0000-0000-00007E510000}"/>
    <cellStyle name="Output 2 2 2 3 2 2" xfId="22009" xr:uid="{1D6C11E7-264B-47E8-8956-46FCC70B8223}"/>
    <cellStyle name="Output 2 2 2 3 3" xfId="21720" xr:uid="{107CA878-1488-4447-ACDC-BB271A41C213}"/>
    <cellStyle name="Output 2 2 2 4" xfId="20555" xr:uid="{00000000-0005-0000-0000-00007F510000}"/>
    <cellStyle name="Output 2 2 2 4 2" xfId="21105" xr:uid="{00000000-0005-0000-0000-000080510000}"/>
    <cellStyle name="Output 2 2 2 4 2 2" xfId="22008" xr:uid="{9A342615-BCCF-4AE3-AA35-CAEFB31806EA}"/>
    <cellStyle name="Output 2 2 2 4 3" xfId="21721" xr:uid="{2C2A771C-3A86-46F8-9222-5161F088191B}"/>
    <cellStyle name="Output 2 2 2 5" xfId="21108" xr:uid="{00000000-0005-0000-0000-000081510000}"/>
    <cellStyle name="Output 2 2 2 5 2" xfId="22011" xr:uid="{1259BAB7-9DE2-43CC-92B9-0592CC21EF23}"/>
    <cellStyle name="Output 2 2 2 6" xfId="21718" xr:uid="{F621BF65-0AF7-4609-A5B4-92FE762ED252}"/>
    <cellStyle name="Output 2 2 3" xfId="20556" xr:uid="{00000000-0005-0000-0000-000082510000}"/>
    <cellStyle name="Output 2 2 3 2" xfId="20557" xr:uid="{00000000-0005-0000-0000-000083510000}"/>
    <cellStyle name="Output 2 2 3 2 2" xfId="21103" xr:uid="{00000000-0005-0000-0000-000084510000}"/>
    <cellStyle name="Output 2 2 3 2 2 2" xfId="22006" xr:uid="{6001A2ED-0F63-48B5-8D27-90C328981F5C}"/>
    <cellStyle name="Output 2 2 3 2 3" xfId="21723" xr:uid="{FE19B584-A437-439C-BA07-979AE36D4FD9}"/>
    <cellStyle name="Output 2 2 3 3" xfId="20558" xr:uid="{00000000-0005-0000-0000-000085510000}"/>
    <cellStyle name="Output 2 2 3 3 2" xfId="21102" xr:uid="{00000000-0005-0000-0000-000086510000}"/>
    <cellStyle name="Output 2 2 3 3 2 2" xfId="22005" xr:uid="{3B115D23-FA16-454E-B402-4C2501FE9DAD}"/>
    <cellStyle name="Output 2 2 3 3 3" xfId="21724" xr:uid="{935721EF-EE2D-4A7C-8C1B-EC0475831FD7}"/>
    <cellStyle name="Output 2 2 3 4" xfId="20559" xr:uid="{00000000-0005-0000-0000-000087510000}"/>
    <cellStyle name="Output 2 2 3 4 2" xfId="21101" xr:uid="{00000000-0005-0000-0000-000088510000}"/>
    <cellStyle name="Output 2 2 3 4 2 2" xfId="22004" xr:uid="{92354002-7842-4EDA-893B-7A6629CEE550}"/>
    <cellStyle name="Output 2 2 3 4 3" xfId="21725" xr:uid="{10F3E05C-C4BF-4195-AC71-6C8D6502A15D}"/>
    <cellStyle name="Output 2 2 3 5" xfId="21104" xr:uid="{00000000-0005-0000-0000-000089510000}"/>
    <cellStyle name="Output 2 2 3 5 2" xfId="22007" xr:uid="{D33CDF4D-821A-45C8-9AE7-1461D07AEF24}"/>
    <cellStyle name="Output 2 2 3 6" xfId="21722" xr:uid="{C929599E-9618-406C-9432-8421B6948528}"/>
    <cellStyle name="Output 2 2 4" xfId="20560" xr:uid="{00000000-0005-0000-0000-00008A510000}"/>
    <cellStyle name="Output 2 2 4 2" xfId="20561" xr:uid="{00000000-0005-0000-0000-00008B510000}"/>
    <cellStyle name="Output 2 2 4 2 2" xfId="21099" xr:uid="{00000000-0005-0000-0000-00008C510000}"/>
    <cellStyle name="Output 2 2 4 2 2 2" xfId="22002" xr:uid="{B3C6331B-3D88-4BB4-A44B-DE21101E2F6E}"/>
    <cellStyle name="Output 2 2 4 2 3" xfId="21727" xr:uid="{B3226EC0-2885-43EF-8B79-70B2418FCD31}"/>
    <cellStyle name="Output 2 2 4 3" xfId="20562" xr:uid="{00000000-0005-0000-0000-00008D510000}"/>
    <cellStyle name="Output 2 2 4 3 2" xfId="21098" xr:uid="{00000000-0005-0000-0000-00008E510000}"/>
    <cellStyle name="Output 2 2 4 3 2 2" xfId="22001" xr:uid="{63C57BD4-6A07-4A5D-8E02-B9EEF2477DEF}"/>
    <cellStyle name="Output 2 2 4 3 3" xfId="21728" xr:uid="{DD0E887C-E73E-43D5-BD58-42B17A16B68F}"/>
    <cellStyle name="Output 2 2 4 4" xfId="20563" xr:uid="{00000000-0005-0000-0000-00008F510000}"/>
    <cellStyle name="Output 2 2 4 4 2" xfId="21097" xr:uid="{00000000-0005-0000-0000-000090510000}"/>
    <cellStyle name="Output 2 2 4 4 2 2" xfId="22000" xr:uid="{7DAA6D60-A6FA-4528-B363-440270D03EA3}"/>
    <cellStyle name="Output 2 2 4 4 3" xfId="21729" xr:uid="{E560EDFC-E0A6-40C4-B63D-4A49D47A700E}"/>
    <cellStyle name="Output 2 2 4 5" xfId="21100" xr:uid="{00000000-0005-0000-0000-000091510000}"/>
    <cellStyle name="Output 2 2 4 5 2" xfId="22003" xr:uid="{14F3BD2E-0C1D-49A5-888A-531C6AAEEE8B}"/>
    <cellStyle name="Output 2 2 4 6" xfId="21726" xr:uid="{8909639B-58F3-4B4E-A7D3-D2C2DADA49D8}"/>
    <cellStyle name="Output 2 2 5" xfId="20564" xr:uid="{00000000-0005-0000-0000-000092510000}"/>
    <cellStyle name="Output 2 2 5 2" xfId="20565" xr:uid="{00000000-0005-0000-0000-000093510000}"/>
    <cellStyle name="Output 2 2 5 2 2" xfId="21095" xr:uid="{00000000-0005-0000-0000-000094510000}"/>
    <cellStyle name="Output 2 2 5 2 2 2" xfId="21998" xr:uid="{E98221C1-5735-4A20-AAF3-0B95F6AFC9C2}"/>
    <cellStyle name="Output 2 2 5 2 3" xfId="21731" xr:uid="{7E63BA76-1701-4BB4-A24C-27E1D691A9A1}"/>
    <cellStyle name="Output 2 2 5 3" xfId="20566" xr:uid="{00000000-0005-0000-0000-000095510000}"/>
    <cellStyle name="Output 2 2 5 3 2" xfId="21094" xr:uid="{00000000-0005-0000-0000-000096510000}"/>
    <cellStyle name="Output 2 2 5 3 2 2" xfId="21997" xr:uid="{A9C4A2E0-A8EF-46C6-B5A3-5149CA4A9C8E}"/>
    <cellStyle name="Output 2 2 5 3 3" xfId="21732" xr:uid="{3DA2217B-5201-4226-BDD2-65CDE32BFC49}"/>
    <cellStyle name="Output 2 2 5 4" xfId="20567" xr:uid="{00000000-0005-0000-0000-000097510000}"/>
    <cellStyle name="Output 2 2 5 4 2" xfId="21093" xr:uid="{00000000-0005-0000-0000-000098510000}"/>
    <cellStyle name="Output 2 2 5 4 2 2" xfId="21996" xr:uid="{F4A0D4F1-11E2-45EB-8FB3-A178CDDA0897}"/>
    <cellStyle name="Output 2 2 5 4 3" xfId="21733" xr:uid="{BA92DE63-8E19-42C7-9BDB-D2FAEC1F6358}"/>
    <cellStyle name="Output 2 2 5 5" xfId="21096" xr:uid="{00000000-0005-0000-0000-000099510000}"/>
    <cellStyle name="Output 2 2 5 5 2" xfId="21999" xr:uid="{3FEBBE7A-2DAD-493D-93F4-937E6C8C8BB4}"/>
    <cellStyle name="Output 2 2 5 6" xfId="21730" xr:uid="{D872249A-2F18-4966-AC61-F717666A390A}"/>
    <cellStyle name="Output 2 2 6" xfId="20568" xr:uid="{00000000-0005-0000-0000-00009A510000}"/>
    <cellStyle name="Output 2 2 6 2" xfId="21092" xr:uid="{00000000-0005-0000-0000-00009B510000}"/>
    <cellStyle name="Output 2 2 6 2 2" xfId="21995" xr:uid="{5AA9BCFB-929D-4957-88BB-4E3109DE0598}"/>
    <cellStyle name="Output 2 2 6 3" xfId="21734" xr:uid="{AB666323-A096-4458-848F-1D1DE4FE70D0}"/>
    <cellStyle name="Output 2 2 7" xfId="20569" xr:uid="{00000000-0005-0000-0000-00009C510000}"/>
    <cellStyle name="Output 2 2 7 2" xfId="21091" xr:uid="{00000000-0005-0000-0000-00009D510000}"/>
    <cellStyle name="Output 2 2 7 2 2" xfId="21994" xr:uid="{1DB475C8-90E1-4E75-93C8-CE6EE3FF4601}"/>
    <cellStyle name="Output 2 2 7 3" xfId="21735" xr:uid="{666E9560-741B-40D5-8777-402BF1D6E76F}"/>
    <cellStyle name="Output 2 2 8" xfId="20570" xr:uid="{00000000-0005-0000-0000-00009E510000}"/>
    <cellStyle name="Output 2 2 8 2" xfId="21090" xr:uid="{00000000-0005-0000-0000-00009F510000}"/>
    <cellStyle name="Output 2 2 8 2 2" xfId="21993" xr:uid="{4B580BB5-63C0-4F55-89BB-11ED2F09C400}"/>
    <cellStyle name="Output 2 2 8 3" xfId="21736" xr:uid="{7787BFA8-1D91-49A8-8367-5477806984A8}"/>
    <cellStyle name="Output 2 2 9" xfId="20571" xr:uid="{00000000-0005-0000-0000-0000A0510000}"/>
    <cellStyle name="Output 2 2 9 2" xfId="21089" xr:uid="{00000000-0005-0000-0000-0000A1510000}"/>
    <cellStyle name="Output 2 2 9 2 2" xfId="21992" xr:uid="{DC34F92B-CB3B-4600-BF7B-0532A37C0E63}"/>
    <cellStyle name="Output 2 2 9 3" xfId="21737" xr:uid="{A6F78A71-0C11-4DF7-87EC-2FCCB06A5704}"/>
    <cellStyle name="Output 2 3" xfId="20572" xr:uid="{00000000-0005-0000-0000-0000A2510000}"/>
    <cellStyle name="Output 2 3 2" xfId="20573" xr:uid="{00000000-0005-0000-0000-0000A3510000}"/>
    <cellStyle name="Output 2 3 2 2" xfId="21088" xr:uid="{00000000-0005-0000-0000-0000A4510000}"/>
    <cellStyle name="Output 2 3 2 2 2" xfId="21991" xr:uid="{C4A339E9-E1FE-4BF2-98B3-D0FBF51ADA7E}"/>
    <cellStyle name="Output 2 3 2 3" xfId="21738" xr:uid="{457ACA3F-5F91-4F78-8462-1CB9B6AD46DC}"/>
    <cellStyle name="Output 2 3 3" xfId="20574" xr:uid="{00000000-0005-0000-0000-0000A5510000}"/>
    <cellStyle name="Output 2 3 3 2" xfId="21087" xr:uid="{00000000-0005-0000-0000-0000A6510000}"/>
    <cellStyle name="Output 2 3 3 2 2" xfId="21990" xr:uid="{966B5EBF-17F0-4971-8E8E-0435AC6001DB}"/>
    <cellStyle name="Output 2 3 3 3" xfId="21739" xr:uid="{4E40318B-4E3A-4486-9BFD-91A717CB7B8F}"/>
    <cellStyle name="Output 2 3 4" xfId="20575" xr:uid="{00000000-0005-0000-0000-0000A7510000}"/>
    <cellStyle name="Output 2 3 4 2" xfId="21086" xr:uid="{00000000-0005-0000-0000-0000A8510000}"/>
    <cellStyle name="Output 2 3 4 2 2" xfId="21989" xr:uid="{6FB6389A-1F2C-409B-929E-2A3D79820B6D}"/>
    <cellStyle name="Output 2 3 4 3" xfId="21740" xr:uid="{FC490D6D-B56F-4402-BABF-D18B6B92E5DB}"/>
    <cellStyle name="Output 2 3 5" xfId="20576" xr:uid="{00000000-0005-0000-0000-0000A9510000}"/>
    <cellStyle name="Output 2 3 5 2" xfId="21085" xr:uid="{00000000-0005-0000-0000-0000AA510000}"/>
    <cellStyle name="Output 2 3 5 2 2" xfId="21988" xr:uid="{C98C6418-08D3-4BF4-BC07-C4F8277A062A}"/>
    <cellStyle name="Output 2 3 5 3" xfId="21741" xr:uid="{5D6DF671-D938-4ABB-A353-D996A77EE4C7}"/>
    <cellStyle name="Output 2 4" xfId="20577" xr:uid="{00000000-0005-0000-0000-0000AB510000}"/>
    <cellStyle name="Output 2 4 2" xfId="20578" xr:uid="{00000000-0005-0000-0000-0000AC510000}"/>
    <cellStyle name="Output 2 4 2 2" xfId="21084" xr:uid="{00000000-0005-0000-0000-0000AD510000}"/>
    <cellStyle name="Output 2 4 2 2 2" xfId="21987" xr:uid="{4DEDFDA9-17F1-4D51-8A1E-2FBCD4940BE7}"/>
    <cellStyle name="Output 2 4 2 3" xfId="21742" xr:uid="{22857A84-C296-47A2-9C62-0F9CEFE8B785}"/>
    <cellStyle name="Output 2 4 3" xfId="20579" xr:uid="{00000000-0005-0000-0000-0000AE510000}"/>
    <cellStyle name="Output 2 4 3 2" xfId="21083" xr:uid="{00000000-0005-0000-0000-0000AF510000}"/>
    <cellStyle name="Output 2 4 3 2 2" xfId="21986" xr:uid="{DE1263D7-18F8-4E94-9619-8F386473FF22}"/>
    <cellStyle name="Output 2 4 3 3" xfId="21743" xr:uid="{39EB6CDC-BBA1-4E54-8436-79C03A30D88B}"/>
    <cellStyle name="Output 2 4 4" xfId="20580" xr:uid="{00000000-0005-0000-0000-0000B0510000}"/>
    <cellStyle name="Output 2 4 4 2" xfId="21082" xr:uid="{00000000-0005-0000-0000-0000B1510000}"/>
    <cellStyle name="Output 2 4 4 2 2" xfId="21985" xr:uid="{8C12A64F-0572-4F14-AF0F-D7767BD466E9}"/>
    <cellStyle name="Output 2 4 4 3" xfId="21744" xr:uid="{3351C520-DE56-4079-A85F-42838F153D0B}"/>
    <cellStyle name="Output 2 4 5" xfId="20581" xr:uid="{00000000-0005-0000-0000-0000B2510000}"/>
    <cellStyle name="Output 2 4 5 2" xfId="21081" xr:uid="{00000000-0005-0000-0000-0000B3510000}"/>
    <cellStyle name="Output 2 4 5 2 2" xfId="21984" xr:uid="{DF0B6CB1-69AB-43BD-9863-659045995306}"/>
    <cellStyle name="Output 2 4 5 3" xfId="21745" xr:uid="{9EC44485-C63E-4140-A729-91D35CE5F66E}"/>
    <cellStyle name="Output 2 5" xfId="20582" xr:uid="{00000000-0005-0000-0000-0000B4510000}"/>
    <cellStyle name="Output 2 5 2" xfId="20583" xr:uid="{00000000-0005-0000-0000-0000B5510000}"/>
    <cellStyle name="Output 2 5 2 2" xfId="21080" xr:uid="{00000000-0005-0000-0000-0000B6510000}"/>
    <cellStyle name="Output 2 5 2 2 2" xfId="21983" xr:uid="{CDE0E085-A9D5-4C08-A72C-E2276458F463}"/>
    <cellStyle name="Output 2 5 2 3" xfId="21746" xr:uid="{1C5319C5-FBE4-4AC4-A512-5BA547D7B6EC}"/>
    <cellStyle name="Output 2 5 3" xfId="20584" xr:uid="{00000000-0005-0000-0000-0000B7510000}"/>
    <cellStyle name="Output 2 5 3 2" xfId="21079" xr:uid="{00000000-0005-0000-0000-0000B8510000}"/>
    <cellStyle name="Output 2 5 3 2 2" xfId="21982" xr:uid="{EAAE8AEF-203F-4141-BD4A-49A93AE55A4D}"/>
    <cellStyle name="Output 2 5 3 3" xfId="21747" xr:uid="{BF8353BF-F756-4707-ADF6-A7BD0E1818F1}"/>
    <cellStyle name="Output 2 5 4" xfId="20585" xr:uid="{00000000-0005-0000-0000-0000B9510000}"/>
    <cellStyle name="Output 2 5 4 2" xfId="21078" xr:uid="{00000000-0005-0000-0000-0000BA510000}"/>
    <cellStyle name="Output 2 5 4 2 2" xfId="21981" xr:uid="{EABD9A8B-7B6F-4BA3-8AB3-7D37376E8F63}"/>
    <cellStyle name="Output 2 5 4 3" xfId="21748" xr:uid="{43E85E58-9E08-40FC-9775-5BE8D3E69FB4}"/>
    <cellStyle name="Output 2 5 5" xfId="20586" xr:uid="{00000000-0005-0000-0000-0000BB510000}"/>
    <cellStyle name="Output 2 5 5 2" xfId="21077" xr:uid="{00000000-0005-0000-0000-0000BC510000}"/>
    <cellStyle name="Output 2 5 5 2 2" xfId="21980" xr:uid="{79E14D08-D8B9-445B-92A3-1308D9E8DA06}"/>
    <cellStyle name="Output 2 5 5 3" xfId="21749" xr:uid="{5290DB96-02B2-4D98-8A28-24B209F890C1}"/>
    <cellStyle name="Output 2 6" xfId="20587" xr:uid="{00000000-0005-0000-0000-0000BD510000}"/>
    <cellStyle name="Output 2 6 2" xfId="20588" xr:uid="{00000000-0005-0000-0000-0000BE510000}"/>
    <cellStyle name="Output 2 6 2 2" xfId="21076" xr:uid="{00000000-0005-0000-0000-0000BF510000}"/>
    <cellStyle name="Output 2 6 2 2 2" xfId="21979" xr:uid="{7E8B8676-FC9E-44AC-BD46-4626B31F634C}"/>
    <cellStyle name="Output 2 6 2 3" xfId="21750" xr:uid="{EA0FCDE6-506F-44AF-A868-BBEE38F72CB9}"/>
    <cellStyle name="Output 2 6 3" xfId="20589" xr:uid="{00000000-0005-0000-0000-0000C0510000}"/>
    <cellStyle name="Output 2 6 3 2" xfId="21075" xr:uid="{00000000-0005-0000-0000-0000C1510000}"/>
    <cellStyle name="Output 2 6 3 2 2" xfId="21978" xr:uid="{D6301114-2DCC-46A5-B1C7-355E6AD77D12}"/>
    <cellStyle name="Output 2 6 3 3" xfId="21751" xr:uid="{283B5BA0-F152-4E93-AFD4-4C4248EC5E4D}"/>
    <cellStyle name="Output 2 6 4" xfId="20590" xr:uid="{00000000-0005-0000-0000-0000C2510000}"/>
    <cellStyle name="Output 2 6 4 2" xfId="21074" xr:uid="{00000000-0005-0000-0000-0000C3510000}"/>
    <cellStyle name="Output 2 6 4 2 2" xfId="21977" xr:uid="{746E032D-CF44-4740-B6F1-1C1AF2C863D3}"/>
    <cellStyle name="Output 2 6 4 3" xfId="21752" xr:uid="{CCA65959-458A-4F39-8312-E27E389D137C}"/>
    <cellStyle name="Output 2 6 5" xfId="20591" xr:uid="{00000000-0005-0000-0000-0000C4510000}"/>
    <cellStyle name="Output 2 6 5 2" xfId="21073" xr:uid="{00000000-0005-0000-0000-0000C5510000}"/>
    <cellStyle name="Output 2 6 5 2 2" xfId="21976" xr:uid="{756E6704-14A0-44F8-B8E5-A44D88A33C06}"/>
    <cellStyle name="Output 2 6 5 3" xfId="21753" xr:uid="{32E152E5-1E59-4938-83F2-66E670B925A8}"/>
    <cellStyle name="Output 2 7" xfId="20592" xr:uid="{00000000-0005-0000-0000-0000C6510000}"/>
    <cellStyle name="Output 2 7 2" xfId="20593" xr:uid="{00000000-0005-0000-0000-0000C7510000}"/>
    <cellStyle name="Output 2 7 2 2" xfId="21072" xr:uid="{00000000-0005-0000-0000-0000C8510000}"/>
    <cellStyle name="Output 2 7 2 2 2" xfId="21975" xr:uid="{0A680F91-D9B7-4204-92FB-2051002D9389}"/>
    <cellStyle name="Output 2 7 2 3" xfId="21754" xr:uid="{AD1C4817-540F-41BD-A4A9-E85B15140EF6}"/>
    <cellStyle name="Output 2 7 3" xfId="20594" xr:uid="{00000000-0005-0000-0000-0000C9510000}"/>
    <cellStyle name="Output 2 7 3 2" xfId="21071" xr:uid="{00000000-0005-0000-0000-0000CA510000}"/>
    <cellStyle name="Output 2 7 3 2 2" xfId="21974" xr:uid="{1A433C48-5EEA-4BB4-8D25-04F8178FFF39}"/>
    <cellStyle name="Output 2 7 3 3" xfId="21755" xr:uid="{97FDE291-0D32-4E38-A1D5-D1CB42985D84}"/>
    <cellStyle name="Output 2 7 4" xfId="20595" xr:uid="{00000000-0005-0000-0000-0000CB510000}"/>
    <cellStyle name="Output 2 7 4 2" xfId="21070" xr:uid="{00000000-0005-0000-0000-0000CC510000}"/>
    <cellStyle name="Output 2 7 4 2 2" xfId="21973" xr:uid="{7D028B57-F3D5-4203-9D17-C38CAC61E41E}"/>
    <cellStyle name="Output 2 7 4 3" xfId="21756" xr:uid="{A7428F92-2645-42E2-886E-9DA3AD5BBB49}"/>
    <cellStyle name="Output 2 7 5" xfId="20596" xr:uid="{00000000-0005-0000-0000-0000CD510000}"/>
    <cellStyle name="Output 2 7 5 2" xfId="21069" xr:uid="{00000000-0005-0000-0000-0000CE510000}"/>
    <cellStyle name="Output 2 7 5 2 2" xfId="21972" xr:uid="{811CDF05-F78A-4ED4-BF5F-A312ADD75C79}"/>
    <cellStyle name="Output 2 7 5 3" xfId="21757" xr:uid="{0A7943FB-804D-4730-89A0-5A82B6ADCF93}"/>
    <cellStyle name="Output 2 8" xfId="20597" xr:uid="{00000000-0005-0000-0000-0000CF510000}"/>
    <cellStyle name="Output 2 8 2" xfId="20598" xr:uid="{00000000-0005-0000-0000-0000D0510000}"/>
    <cellStyle name="Output 2 8 2 2" xfId="21068" xr:uid="{00000000-0005-0000-0000-0000D1510000}"/>
    <cellStyle name="Output 2 8 2 2 2" xfId="21971" xr:uid="{74287638-4D17-4360-A681-2B947A15A7E2}"/>
    <cellStyle name="Output 2 8 2 3" xfId="21758" xr:uid="{46A499F0-04FB-4144-A17F-6284BEE1EDDC}"/>
    <cellStyle name="Output 2 8 3" xfId="20599" xr:uid="{00000000-0005-0000-0000-0000D2510000}"/>
    <cellStyle name="Output 2 8 3 2" xfId="21067" xr:uid="{00000000-0005-0000-0000-0000D3510000}"/>
    <cellStyle name="Output 2 8 3 2 2" xfId="21970" xr:uid="{BAF7885F-DE48-4755-9CC8-037C4732903C}"/>
    <cellStyle name="Output 2 8 3 3" xfId="21759" xr:uid="{822A5A26-A2BC-48E0-804A-B8E5E4EACEDE}"/>
    <cellStyle name="Output 2 8 4" xfId="20600" xr:uid="{00000000-0005-0000-0000-0000D4510000}"/>
    <cellStyle name="Output 2 8 4 2" xfId="21066" xr:uid="{00000000-0005-0000-0000-0000D5510000}"/>
    <cellStyle name="Output 2 8 4 2 2" xfId="21969" xr:uid="{0232B630-CF6E-4690-A737-D33D17C6F9A5}"/>
    <cellStyle name="Output 2 8 4 3" xfId="21760" xr:uid="{5732E31C-99F1-4715-9980-E81DC8643CA1}"/>
    <cellStyle name="Output 2 8 5" xfId="20601" xr:uid="{00000000-0005-0000-0000-0000D6510000}"/>
    <cellStyle name="Output 2 8 5 2" xfId="21065" xr:uid="{00000000-0005-0000-0000-0000D7510000}"/>
    <cellStyle name="Output 2 8 5 2 2" xfId="21968" xr:uid="{6754FE6C-BDDE-4818-8984-3B6D7F3A5992}"/>
    <cellStyle name="Output 2 8 5 3" xfId="21761" xr:uid="{3EDEC7E0-D302-480D-99DF-BF18904C1E1D}"/>
    <cellStyle name="Output 2 9" xfId="20602" xr:uid="{00000000-0005-0000-0000-0000D8510000}"/>
    <cellStyle name="Output 2 9 2" xfId="20603" xr:uid="{00000000-0005-0000-0000-0000D9510000}"/>
    <cellStyle name="Output 2 9 2 2" xfId="21064" xr:uid="{00000000-0005-0000-0000-0000DA510000}"/>
    <cellStyle name="Output 2 9 2 2 2" xfId="21967" xr:uid="{D172C357-75C6-4742-8CDA-F12FFEAE6CAA}"/>
    <cellStyle name="Output 2 9 2 3" xfId="21762" xr:uid="{CF37637F-6AA2-4696-A377-54B4897865D7}"/>
    <cellStyle name="Output 2 9 3" xfId="20604" xr:uid="{00000000-0005-0000-0000-0000DB510000}"/>
    <cellStyle name="Output 2 9 3 2" xfId="21063" xr:uid="{00000000-0005-0000-0000-0000DC510000}"/>
    <cellStyle name="Output 2 9 3 2 2" xfId="21966" xr:uid="{9EE27EB3-6EF0-4D88-8B86-63C33436513F}"/>
    <cellStyle name="Output 2 9 3 3" xfId="21763" xr:uid="{EFCB86BD-746A-4047-ADD5-091326955661}"/>
    <cellStyle name="Output 2 9 4" xfId="20605" xr:uid="{00000000-0005-0000-0000-0000DD510000}"/>
    <cellStyle name="Output 2 9 4 2" xfId="21062" xr:uid="{00000000-0005-0000-0000-0000DE510000}"/>
    <cellStyle name="Output 2 9 4 2 2" xfId="21965" xr:uid="{197CB12A-AF62-4409-A1C2-1CA74BB7AB2E}"/>
    <cellStyle name="Output 2 9 4 3" xfId="21764" xr:uid="{F4686152-43AC-4767-8A71-E6522D65B39C}"/>
    <cellStyle name="Output 2 9 5" xfId="20606" xr:uid="{00000000-0005-0000-0000-0000DF510000}"/>
    <cellStyle name="Output 2 9 5 2" xfId="21061" xr:uid="{00000000-0005-0000-0000-0000E0510000}"/>
    <cellStyle name="Output 2 9 5 2 2" xfId="21964" xr:uid="{5525A908-1424-4537-8033-19545A29B6B2}"/>
    <cellStyle name="Output 2 9 5 3" xfId="21765" xr:uid="{11C02759-2920-4F32-807E-FC1B62D132D3}"/>
    <cellStyle name="Output 3" xfId="20607" xr:uid="{00000000-0005-0000-0000-0000E1510000}"/>
    <cellStyle name="Output 3 2" xfId="20608" xr:uid="{00000000-0005-0000-0000-0000E2510000}"/>
    <cellStyle name="Output 3 2 2" xfId="21059" xr:uid="{00000000-0005-0000-0000-0000E3510000}"/>
    <cellStyle name="Output 3 2 2 2" xfId="21962" xr:uid="{95C0E020-BAD2-4815-8988-6780EBD7ACD3}"/>
    <cellStyle name="Output 3 2 3" xfId="21767" xr:uid="{4446BFE0-A165-4246-BEB6-5B2C31EF4AE1}"/>
    <cellStyle name="Output 3 3" xfId="20609" xr:uid="{00000000-0005-0000-0000-0000E4510000}"/>
    <cellStyle name="Output 3 3 2" xfId="21058" xr:uid="{00000000-0005-0000-0000-0000E5510000}"/>
    <cellStyle name="Output 3 3 2 2" xfId="21961" xr:uid="{93677904-102D-42BC-B54D-CE4564546F05}"/>
    <cellStyle name="Output 3 3 3" xfId="21768" xr:uid="{370B50FD-64EB-448F-9A43-92DFF1FDF40E}"/>
    <cellStyle name="Output 3 4" xfId="21060" xr:uid="{00000000-0005-0000-0000-0000E6510000}"/>
    <cellStyle name="Output 3 4 2" xfId="21963" xr:uid="{5151EED6-2A1E-44E6-88AA-EA6653611969}"/>
    <cellStyle name="Output 3 5" xfId="21766" xr:uid="{DDDB78C7-D21D-4B69-BA8B-AF65559FF5E2}"/>
    <cellStyle name="Output 4" xfId="20610" xr:uid="{00000000-0005-0000-0000-0000E7510000}"/>
    <cellStyle name="Output 4 2" xfId="20611" xr:uid="{00000000-0005-0000-0000-0000E8510000}"/>
    <cellStyle name="Output 4 2 2" xfId="21056" xr:uid="{00000000-0005-0000-0000-0000E9510000}"/>
    <cellStyle name="Output 4 2 2 2" xfId="21959" xr:uid="{B2AFB46B-66FB-463E-A4F3-4AB594ED2C77}"/>
    <cellStyle name="Output 4 2 3" xfId="21770" xr:uid="{10AC8E0C-5BA6-472D-B244-398BDC52E712}"/>
    <cellStyle name="Output 4 3" xfId="20612" xr:uid="{00000000-0005-0000-0000-0000EA510000}"/>
    <cellStyle name="Output 4 3 2" xfId="21055" xr:uid="{00000000-0005-0000-0000-0000EB510000}"/>
    <cellStyle name="Output 4 3 2 2" xfId="21958" xr:uid="{7478F324-5E20-4714-9DC6-C13959C28851}"/>
    <cellStyle name="Output 4 3 3" xfId="21771" xr:uid="{05658D16-7F33-48B1-B0EF-8ABF3157F049}"/>
    <cellStyle name="Output 4 4" xfId="21057" xr:uid="{00000000-0005-0000-0000-0000EC510000}"/>
    <cellStyle name="Output 4 4 2" xfId="21960" xr:uid="{6DC69B72-B956-4C06-B99D-11D5946D47A0}"/>
    <cellStyle name="Output 4 5" xfId="21769" xr:uid="{2B0246BC-B286-4E33-A5D4-E8A5134DBFC8}"/>
    <cellStyle name="Output 5" xfId="20613" xr:uid="{00000000-0005-0000-0000-0000ED510000}"/>
    <cellStyle name="Output 5 2" xfId="20614" xr:uid="{00000000-0005-0000-0000-0000EE510000}"/>
    <cellStyle name="Output 5 2 2" xfId="21053" xr:uid="{00000000-0005-0000-0000-0000EF510000}"/>
    <cellStyle name="Output 5 2 2 2" xfId="21956" xr:uid="{C668BA25-772E-4051-90F8-0DEEE641DFBC}"/>
    <cellStyle name="Output 5 2 3" xfId="21773" xr:uid="{95D9AA31-B92E-4F02-BC10-98A065B2C397}"/>
    <cellStyle name="Output 5 3" xfId="20615" xr:uid="{00000000-0005-0000-0000-0000F0510000}"/>
    <cellStyle name="Output 5 3 2" xfId="21052" xr:uid="{00000000-0005-0000-0000-0000F1510000}"/>
    <cellStyle name="Output 5 3 2 2" xfId="21955" xr:uid="{88B811F4-7146-420E-B69E-5D5567FCE9D4}"/>
    <cellStyle name="Output 5 3 3" xfId="21774" xr:uid="{7A350C9A-96AA-4974-B4F7-5F84FA51D4FC}"/>
    <cellStyle name="Output 5 4" xfId="21054" xr:uid="{00000000-0005-0000-0000-0000F2510000}"/>
    <cellStyle name="Output 5 4 2" xfId="21957" xr:uid="{7C13FBF9-2C2F-4B14-8D88-2E39AEFC4503}"/>
    <cellStyle name="Output 5 5" xfId="21772" xr:uid="{3AEE666F-9E64-4E67-9AED-D2F880534845}"/>
    <cellStyle name="Output 6" xfId="20616" xr:uid="{00000000-0005-0000-0000-0000F3510000}"/>
    <cellStyle name="Output 6 2" xfId="20617" xr:uid="{00000000-0005-0000-0000-0000F4510000}"/>
    <cellStyle name="Output 6 2 2" xfId="21050" xr:uid="{00000000-0005-0000-0000-0000F5510000}"/>
    <cellStyle name="Output 6 2 2 2" xfId="21953" xr:uid="{954ED6A8-5267-43CB-B646-9FACC0EEC934}"/>
    <cellStyle name="Output 6 2 3" xfId="21776" xr:uid="{A9E90EE7-CE92-4FA0-BD93-3E79DAF4AFAB}"/>
    <cellStyle name="Output 6 3" xfId="20618" xr:uid="{00000000-0005-0000-0000-0000F6510000}"/>
    <cellStyle name="Output 6 3 2" xfId="21049" xr:uid="{00000000-0005-0000-0000-0000F7510000}"/>
    <cellStyle name="Output 6 3 2 2" xfId="21952" xr:uid="{B0E6FBF1-DF5D-4AA1-B6DC-BD9B98C21C2C}"/>
    <cellStyle name="Output 6 3 3" xfId="21777" xr:uid="{30217EB3-0EC6-4706-A1C8-7DBFA552052A}"/>
    <cellStyle name="Output 6 4" xfId="21051" xr:uid="{00000000-0005-0000-0000-0000F8510000}"/>
    <cellStyle name="Output 6 4 2" xfId="21954" xr:uid="{7E104535-04BB-48BF-8A9E-76C1B8A455FC}"/>
    <cellStyle name="Output 6 5" xfId="21775" xr:uid="{82513222-95D4-4AF0-94D9-577A4385313E}"/>
    <cellStyle name="Output 7" xfId="20619" xr:uid="{00000000-0005-0000-0000-0000F9510000}"/>
    <cellStyle name="Output 7 2" xfId="21048" xr:uid="{00000000-0005-0000-0000-0000FA510000}"/>
    <cellStyle name="Output 7 2 2" xfId="21951" xr:uid="{7B842C71-2158-49FD-ADBE-2BA46A9E75AD}"/>
    <cellStyle name="Output 7 3" xfId="21778" xr:uid="{46C54C95-267A-4CE0-8A72-AE74FE5797B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Exposure 2 2" xfId="21950" xr:uid="{217397C9-E0F3-44D3-BF95-34ECE8E32099}"/>
    <cellStyle name="showExposure 3" xfId="21779" xr:uid="{50C852C5-813A-4FB7-B7D6-187FA28FE679}"/>
    <cellStyle name="showParameterE" xfId="20787" xr:uid="{00000000-0005-0000-0000-0000A6520000}"/>
    <cellStyle name="showParameterE 2" xfId="21046" xr:uid="{00000000-0005-0000-0000-0000A7520000}"/>
    <cellStyle name="showParameterE 2 2" xfId="21949" xr:uid="{8D125633-E3B2-4E1A-BB80-3CCD04FB877C}"/>
    <cellStyle name="showParameterE 3" xfId="21780" xr:uid="{637A3966-259F-4CBE-869E-888D95170D31}"/>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2 2 2" xfId="21947" xr:uid="{6D99C511-4D5A-4B81-9C25-608007CF8917}"/>
    <cellStyle name="Total 2 10 2 3" xfId="21782" xr:uid="{F734A468-6CE0-449E-BC82-DC5A8CA7E7FB}"/>
    <cellStyle name="Total 2 10 3" xfId="20826" xr:uid="{00000000-0005-0000-0000-0000D0520000}"/>
    <cellStyle name="Total 2 10 3 2" xfId="21043" xr:uid="{00000000-0005-0000-0000-0000D1520000}"/>
    <cellStyle name="Total 2 10 3 2 2" xfId="21946" xr:uid="{381E25BA-BEFB-49BF-B5A0-A29081DBF8CC}"/>
    <cellStyle name="Total 2 10 3 3" xfId="21783" xr:uid="{7A5FCD08-C1B3-4C27-9892-83958540C79F}"/>
    <cellStyle name="Total 2 10 4" xfId="20827" xr:uid="{00000000-0005-0000-0000-0000D2520000}"/>
    <cellStyle name="Total 2 10 4 2" xfId="21042" xr:uid="{00000000-0005-0000-0000-0000D3520000}"/>
    <cellStyle name="Total 2 10 4 2 2" xfId="21945" xr:uid="{F448D389-0A7E-4AE0-AC08-578B11B58CA5}"/>
    <cellStyle name="Total 2 10 4 3" xfId="21784" xr:uid="{B8EBEE4F-49BD-434A-B4B5-4DD72962C8A1}"/>
    <cellStyle name="Total 2 10 5" xfId="20828" xr:uid="{00000000-0005-0000-0000-0000D4520000}"/>
    <cellStyle name="Total 2 10 5 2" xfId="21041" xr:uid="{00000000-0005-0000-0000-0000D5520000}"/>
    <cellStyle name="Total 2 10 5 2 2" xfId="21944" xr:uid="{38E18DC2-2324-40FA-8C56-D808AD50E06D}"/>
    <cellStyle name="Total 2 10 5 3" xfId="21785" xr:uid="{F0ACA30D-714C-419C-BB14-D8C9D92BFAED}"/>
    <cellStyle name="Total 2 11" xfId="20829" xr:uid="{00000000-0005-0000-0000-0000D6520000}"/>
    <cellStyle name="Total 2 11 2" xfId="20830" xr:uid="{00000000-0005-0000-0000-0000D7520000}"/>
    <cellStyle name="Total 2 11 2 2" xfId="21039" xr:uid="{00000000-0005-0000-0000-0000D8520000}"/>
    <cellStyle name="Total 2 11 2 2 2" xfId="21942" xr:uid="{C4389FB2-CCE9-4B88-9B9A-A0C2F84D4BBA}"/>
    <cellStyle name="Total 2 11 2 3" xfId="21787" xr:uid="{A1C15E61-A5C2-47F6-9492-33B786F4C549}"/>
    <cellStyle name="Total 2 11 3" xfId="20831" xr:uid="{00000000-0005-0000-0000-0000D9520000}"/>
    <cellStyle name="Total 2 11 3 2" xfId="21038" xr:uid="{00000000-0005-0000-0000-0000DA520000}"/>
    <cellStyle name="Total 2 11 3 2 2" xfId="21941" xr:uid="{3DCB396B-4E9A-46DB-BAB6-600B1377FFA4}"/>
    <cellStyle name="Total 2 11 3 3" xfId="21788" xr:uid="{F27A0FE5-E6CB-45BC-AAB2-4B3C835735EB}"/>
    <cellStyle name="Total 2 11 4" xfId="20832" xr:uid="{00000000-0005-0000-0000-0000DB520000}"/>
    <cellStyle name="Total 2 11 4 2" xfId="21037" xr:uid="{00000000-0005-0000-0000-0000DC520000}"/>
    <cellStyle name="Total 2 11 4 2 2" xfId="21940" xr:uid="{661D367A-C6BC-47A4-844E-344C678ECDBB}"/>
    <cellStyle name="Total 2 11 4 3" xfId="21789" xr:uid="{CCE69D8C-1FEE-43E9-88D0-14E33B7F6FB2}"/>
    <cellStyle name="Total 2 11 5" xfId="20833" xr:uid="{00000000-0005-0000-0000-0000DD520000}"/>
    <cellStyle name="Total 2 11 5 2" xfId="21036" xr:uid="{00000000-0005-0000-0000-0000DE520000}"/>
    <cellStyle name="Total 2 11 5 2 2" xfId="21939" xr:uid="{FC248341-942B-4597-AE80-134024832007}"/>
    <cellStyle name="Total 2 11 5 3" xfId="21790" xr:uid="{80217C53-7D61-4497-AD03-6A34D69ABE66}"/>
    <cellStyle name="Total 2 11 6" xfId="21040" xr:uid="{00000000-0005-0000-0000-0000DF520000}"/>
    <cellStyle name="Total 2 11 6 2" xfId="21943" xr:uid="{4B7C8AAB-CB20-4329-BC92-53ABA60783C2}"/>
    <cellStyle name="Total 2 11 7" xfId="21786" xr:uid="{15DD185F-8172-48B4-810C-D8078FB149AA}"/>
    <cellStyle name="Total 2 12" xfId="20834" xr:uid="{00000000-0005-0000-0000-0000E0520000}"/>
    <cellStyle name="Total 2 12 2" xfId="20835" xr:uid="{00000000-0005-0000-0000-0000E1520000}"/>
    <cellStyle name="Total 2 12 2 2" xfId="21034" xr:uid="{00000000-0005-0000-0000-0000E2520000}"/>
    <cellStyle name="Total 2 12 2 2 2" xfId="21937" xr:uid="{6407F0C1-7A78-4C1E-B975-68AA4DBE3979}"/>
    <cellStyle name="Total 2 12 2 3" xfId="21792" xr:uid="{53216B7D-3A45-4E61-BEFD-265A373F373A}"/>
    <cellStyle name="Total 2 12 3" xfId="20836" xr:uid="{00000000-0005-0000-0000-0000E3520000}"/>
    <cellStyle name="Total 2 12 3 2" xfId="21033" xr:uid="{00000000-0005-0000-0000-0000E4520000}"/>
    <cellStyle name="Total 2 12 3 2 2" xfId="21936" xr:uid="{D00EB41D-19A8-49C7-8579-87B8EA140D31}"/>
    <cellStyle name="Total 2 12 3 3" xfId="21793" xr:uid="{2DDB2B38-FC58-4724-B91B-99F31C5C5CC8}"/>
    <cellStyle name="Total 2 12 4" xfId="20837" xr:uid="{00000000-0005-0000-0000-0000E5520000}"/>
    <cellStyle name="Total 2 12 4 2" xfId="21032" xr:uid="{00000000-0005-0000-0000-0000E6520000}"/>
    <cellStyle name="Total 2 12 4 2 2" xfId="21935" xr:uid="{A974F751-9549-4DEF-80DF-B1A85708B99F}"/>
    <cellStyle name="Total 2 12 4 3" xfId="21794" xr:uid="{139A422C-D1FD-456E-8970-720B04BCDC24}"/>
    <cellStyle name="Total 2 12 5" xfId="20838" xr:uid="{00000000-0005-0000-0000-0000E7520000}"/>
    <cellStyle name="Total 2 12 5 2" xfId="21031" xr:uid="{00000000-0005-0000-0000-0000E8520000}"/>
    <cellStyle name="Total 2 12 5 2 2" xfId="21934" xr:uid="{2F5C5073-51BC-43DA-8A2F-66D0EC775D82}"/>
    <cellStyle name="Total 2 12 5 3" xfId="21795" xr:uid="{897E0479-9A07-4B61-A8B5-01C67D657ACC}"/>
    <cellStyle name="Total 2 12 6" xfId="21035" xr:uid="{00000000-0005-0000-0000-0000E9520000}"/>
    <cellStyle name="Total 2 12 6 2" xfId="21938" xr:uid="{5227BCBA-0306-4522-8DCD-F57B351D99BB}"/>
    <cellStyle name="Total 2 12 7" xfId="21791" xr:uid="{512BFC0C-FFF4-4927-8BEE-0E45C2CA3FF5}"/>
    <cellStyle name="Total 2 13" xfId="20839" xr:uid="{00000000-0005-0000-0000-0000EA520000}"/>
    <cellStyle name="Total 2 13 2" xfId="20840" xr:uid="{00000000-0005-0000-0000-0000EB520000}"/>
    <cellStyle name="Total 2 13 2 2" xfId="21029" xr:uid="{00000000-0005-0000-0000-0000EC520000}"/>
    <cellStyle name="Total 2 13 2 2 2" xfId="21932" xr:uid="{0ED4C11C-DEF3-4C94-AE6F-E5ECB31C1205}"/>
    <cellStyle name="Total 2 13 2 3" xfId="21797" xr:uid="{05ED675D-FADF-413E-A3CA-15D59380272D}"/>
    <cellStyle name="Total 2 13 3" xfId="20841" xr:uid="{00000000-0005-0000-0000-0000ED520000}"/>
    <cellStyle name="Total 2 13 3 2" xfId="21028" xr:uid="{00000000-0005-0000-0000-0000EE520000}"/>
    <cellStyle name="Total 2 13 3 2 2" xfId="21931" xr:uid="{B476C808-0C22-43F2-9EE7-729F4C7D29F6}"/>
    <cellStyle name="Total 2 13 3 3" xfId="21798" xr:uid="{4D6911DC-80C8-49EA-90C4-F38D99DF7CCD}"/>
    <cellStyle name="Total 2 13 4" xfId="20842" xr:uid="{00000000-0005-0000-0000-0000EF520000}"/>
    <cellStyle name="Total 2 13 4 2" xfId="21027" xr:uid="{00000000-0005-0000-0000-0000F0520000}"/>
    <cellStyle name="Total 2 13 4 2 2" xfId="21930" xr:uid="{D69281DD-28B4-4FB8-BEF8-1AEF7EEF3B31}"/>
    <cellStyle name="Total 2 13 4 3" xfId="21799" xr:uid="{67906949-2890-49DC-9FE6-176A50DF0516}"/>
    <cellStyle name="Total 2 13 5" xfId="21030" xr:uid="{00000000-0005-0000-0000-0000F1520000}"/>
    <cellStyle name="Total 2 13 5 2" xfId="21933" xr:uid="{2C528B33-D9D4-4B2D-9635-A1B34EE6E24A}"/>
    <cellStyle name="Total 2 13 6" xfId="21796" xr:uid="{756F6DD1-99A2-4266-8808-B8F642BF7ABE}"/>
    <cellStyle name="Total 2 14" xfId="20843" xr:uid="{00000000-0005-0000-0000-0000F2520000}"/>
    <cellStyle name="Total 2 14 2" xfId="21026" xr:uid="{00000000-0005-0000-0000-0000F3520000}"/>
    <cellStyle name="Total 2 14 2 2" xfId="21929" xr:uid="{D22A6ED1-7A24-412E-A189-E21702FEAAAF}"/>
    <cellStyle name="Total 2 14 3" xfId="21800" xr:uid="{C8740A83-0ACF-4A6E-BC06-EC987DC4E9AD}"/>
    <cellStyle name="Total 2 15" xfId="20844" xr:uid="{00000000-0005-0000-0000-0000F4520000}"/>
    <cellStyle name="Total 2 15 2" xfId="21025" xr:uid="{00000000-0005-0000-0000-0000F5520000}"/>
    <cellStyle name="Total 2 15 2 2" xfId="21928" xr:uid="{9EF4476C-D0B7-4F6B-BD88-ACD875F040E4}"/>
    <cellStyle name="Total 2 15 3" xfId="21801" xr:uid="{5570A80B-7B13-4670-AC73-275389900857}"/>
    <cellStyle name="Total 2 16" xfId="20845" xr:uid="{00000000-0005-0000-0000-0000F6520000}"/>
    <cellStyle name="Total 2 16 2" xfId="21024" xr:uid="{00000000-0005-0000-0000-0000F7520000}"/>
    <cellStyle name="Total 2 16 2 2" xfId="21927" xr:uid="{ED85EE03-E1E1-4480-BFBC-45FF1653B7BE}"/>
    <cellStyle name="Total 2 16 3" xfId="21802" xr:uid="{ECDE235B-333F-4965-BCA0-366109353277}"/>
    <cellStyle name="Total 2 17" xfId="21045" xr:uid="{00000000-0005-0000-0000-0000F8520000}"/>
    <cellStyle name="Total 2 17 2" xfId="21948" xr:uid="{134C8EF2-7528-43E6-AFA8-83E82BC3E7DB}"/>
    <cellStyle name="Total 2 18" xfId="21781" xr:uid="{B576F693-79A6-4181-B291-1DD2A806EB0C}"/>
    <cellStyle name="Total 2 2" xfId="20846" xr:uid="{00000000-0005-0000-0000-0000F9520000}"/>
    <cellStyle name="Total 2 2 10" xfId="21023" xr:uid="{00000000-0005-0000-0000-0000FA520000}"/>
    <cellStyle name="Total 2 2 10 2" xfId="21926" xr:uid="{89CDBF96-B54E-4C2A-9183-30748DF33394}"/>
    <cellStyle name="Total 2 2 11" xfId="21803" xr:uid="{52E5CA0C-37A3-418C-BFFC-8FF5F69377DB}"/>
    <cellStyle name="Total 2 2 2" xfId="20847" xr:uid="{00000000-0005-0000-0000-0000FB520000}"/>
    <cellStyle name="Total 2 2 2 2" xfId="20848" xr:uid="{00000000-0005-0000-0000-0000FC520000}"/>
    <cellStyle name="Total 2 2 2 2 2" xfId="21021" xr:uid="{00000000-0005-0000-0000-0000FD520000}"/>
    <cellStyle name="Total 2 2 2 2 2 2" xfId="21924" xr:uid="{A930F1D6-B42A-4C4E-BE33-FF4C05FA3210}"/>
    <cellStyle name="Total 2 2 2 2 3" xfId="21805" xr:uid="{F7B6AEED-283C-43A6-B422-7575B7E6CD54}"/>
    <cellStyle name="Total 2 2 2 3" xfId="20849" xr:uid="{00000000-0005-0000-0000-0000FE520000}"/>
    <cellStyle name="Total 2 2 2 3 2" xfId="21020" xr:uid="{00000000-0005-0000-0000-0000FF520000}"/>
    <cellStyle name="Total 2 2 2 3 2 2" xfId="21923" xr:uid="{7021E3E1-5AA4-4BBB-9D0D-F319E042F649}"/>
    <cellStyle name="Total 2 2 2 3 3" xfId="21806" xr:uid="{71DDD900-8562-4925-87E9-79EDEE4E9A2C}"/>
    <cellStyle name="Total 2 2 2 4" xfId="20850" xr:uid="{00000000-0005-0000-0000-000000530000}"/>
    <cellStyle name="Total 2 2 2 4 2" xfId="21019" xr:uid="{00000000-0005-0000-0000-000001530000}"/>
    <cellStyle name="Total 2 2 2 4 2 2" xfId="21922" xr:uid="{3DEA605F-2EA8-45D8-BD19-78FF5EEC604B}"/>
    <cellStyle name="Total 2 2 2 4 3" xfId="21807" xr:uid="{7603C72D-DEA1-423C-BCA6-D58E3884C35D}"/>
    <cellStyle name="Total 2 2 2 5" xfId="21022" xr:uid="{00000000-0005-0000-0000-000002530000}"/>
    <cellStyle name="Total 2 2 2 5 2" xfId="21925" xr:uid="{7901210C-618D-42F1-ACF9-E04E70B72B95}"/>
    <cellStyle name="Total 2 2 2 6" xfId="21804" xr:uid="{FD7755AE-6BEF-4781-AAAE-5401381183B7}"/>
    <cellStyle name="Total 2 2 3" xfId="20851" xr:uid="{00000000-0005-0000-0000-000003530000}"/>
    <cellStyle name="Total 2 2 3 2" xfId="20852" xr:uid="{00000000-0005-0000-0000-000004530000}"/>
    <cellStyle name="Total 2 2 3 2 2" xfId="21017" xr:uid="{00000000-0005-0000-0000-000005530000}"/>
    <cellStyle name="Total 2 2 3 2 2 2" xfId="21920" xr:uid="{8D172B50-B233-42EF-8A4E-7E0EE2D0CBC2}"/>
    <cellStyle name="Total 2 2 3 2 3" xfId="21809" xr:uid="{194029D0-8515-47DC-BC23-329848B4C224}"/>
    <cellStyle name="Total 2 2 3 3" xfId="20853" xr:uid="{00000000-0005-0000-0000-000006530000}"/>
    <cellStyle name="Total 2 2 3 3 2" xfId="21016" xr:uid="{00000000-0005-0000-0000-000007530000}"/>
    <cellStyle name="Total 2 2 3 3 2 2" xfId="21919" xr:uid="{63AE6516-360E-42BD-94C9-9A832E72F22E}"/>
    <cellStyle name="Total 2 2 3 3 3" xfId="21810" xr:uid="{3C373565-3DA9-4EAC-81EB-4E2EA2B2E6D5}"/>
    <cellStyle name="Total 2 2 3 4" xfId="20854" xr:uid="{00000000-0005-0000-0000-000008530000}"/>
    <cellStyle name="Total 2 2 3 4 2" xfId="21015" xr:uid="{00000000-0005-0000-0000-000009530000}"/>
    <cellStyle name="Total 2 2 3 4 2 2" xfId="21918" xr:uid="{3861758E-C1FA-4EF6-9084-E1D7006045BB}"/>
    <cellStyle name="Total 2 2 3 4 3" xfId="21811" xr:uid="{6EBAD359-B064-42DF-82C9-84724E8702ED}"/>
    <cellStyle name="Total 2 2 3 5" xfId="21018" xr:uid="{00000000-0005-0000-0000-00000A530000}"/>
    <cellStyle name="Total 2 2 3 5 2" xfId="21921" xr:uid="{3CA4B8C5-68CD-4420-801F-E43764993779}"/>
    <cellStyle name="Total 2 2 3 6" xfId="21808" xr:uid="{AB014C3B-F996-4D79-8DB4-46F1090F2E1E}"/>
    <cellStyle name="Total 2 2 4" xfId="20855" xr:uid="{00000000-0005-0000-0000-00000B530000}"/>
    <cellStyle name="Total 2 2 4 2" xfId="20856" xr:uid="{00000000-0005-0000-0000-00000C530000}"/>
    <cellStyle name="Total 2 2 4 2 2" xfId="21013" xr:uid="{00000000-0005-0000-0000-00000D530000}"/>
    <cellStyle name="Total 2 2 4 2 2 2" xfId="21916" xr:uid="{179C2390-014F-4C52-A84F-A48AA085DAAD}"/>
    <cellStyle name="Total 2 2 4 2 3" xfId="21813" xr:uid="{8F901057-557E-4043-9F85-FA47DA2509D6}"/>
    <cellStyle name="Total 2 2 4 3" xfId="20857" xr:uid="{00000000-0005-0000-0000-00000E530000}"/>
    <cellStyle name="Total 2 2 4 3 2" xfId="21012" xr:uid="{00000000-0005-0000-0000-00000F530000}"/>
    <cellStyle name="Total 2 2 4 3 2 2" xfId="21915" xr:uid="{ECD49BF4-CCA9-438B-8D40-21638AE981B4}"/>
    <cellStyle name="Total 2 2 4 3 3" xfId="21814" xr:uid="{4FE04752-269E-4B32-BD72-3CEA5A45A24C}"/>
    <cellStyle name="Total 2 2 4 4" xfId="20858" xr:uid="{00000000-0005-0000-0000-000010530000}"/>
    <cellStyle name="Total 2 2 4 4 2" xfId="21011" xr:uid="{00000000-0005-0000-0000-000011530000}"/>
    <cellStyle name="Total 2 2 4 4 2 2" xfId="21914" xr:uid="{8E42D774-284A-4E2F-A590-B38361BADF5E}"/>
    <cellStyle name="Total 2 2 4 4 3" xfId="21815" xr:uid="{37E312AD-1661-473A-ABED-98F431C4B507}"/>
    <cellStyle name="Total 2 2 4 5" xfId="21014" xr:uid="{00000000-0005-0000-0000-000012530000}"/>
    <cellStyle name="Total 2 2 4 5 2" xfId="21917" xr:uid="{3B9971CB-ECDA-438B-B446-5F0125496AEE}"/>
    <cellStyle name="Total 2 2 4 6" xfId="21812" xr:uid="{4A4045C9-7E54-4B1F-9B07-AA14DD727C7F}"/>
    <cellStyle name="Total 2 2 5" xfId="20859" xr:uid="{00000000-0005-0000-0000-000013530000}"/>
    <cellStyle name="Total 2 2 5 2" xfId="20860" xr:uid="{00000000-0005-0000-0000-000014530000}"/>
    <cellStyle name="Total 2 2 5 2 2" xfId="21009" xr:uid="{00000000-0005-0000-0000-000015530000}"/>
    <cellStyle name="Total 2 2 5 2 2 2" xfId="21912" xr:uid="{4AF4B761-01AD-43B8-ABE2-933D0314209C}"/>
    <cellStyle name="Total 2 2 5 2 3" xfId="21817" xr:uid="{A5DDA818-38FE-4275-8EB7-D12AC2FFE077}"/>
    <cellStyle name="Total 2 2 5 3" xfId="20861" xr:uid="{00000000-0005-0000-0000-000016530000}"/>
    <cellStyle name="Total 2 2 5 3 2" xfId="21008" xr:uid="{00000000-0005-0000-0000-000017530000}"/>
    <cellStyle name="Total 2 2 5 3 2 2" xfId="21911" xr:uid="{1BF7B697-BA7A-4B8F-8BC6-F8F7298674C4}"/>
    <cellStyle name="Total 2 2 5 3 3" xfId="21818" xr:uid="{60571BDB-14A9-4BD5-BE1F-776EEFB3FBB6}"/>
    <cellStyle name="Total 2 2 5 4" xfId="20862" xr:uid="{00000000-0005-0000-0000-000018530000}"/>
    <cellStyle name="Total 2 2 5 4 2" xfId="21007" xr:uid="{00000000-0005-0000-0000-000019530000}"/>
    <cellStyle name="Total 2 2 5 4 2 2" xfId="21910" xr:uid="{19BFF54F-0CFB-4BB8-AF53-65A914A5C01C}"/>
    <cellStyle name="Total 2 2 5 4 3" xfId="21819" xr:uid="{36B71364-52F3-48E9-AA1A-3A8C0E6A405F}"/>
    <cellStyle name="Total 2 2 5 5" xfId="21010" xr:uid="{00000000-0005-0000-0000-00001A530000}"/>
    <cellStyle name="Total 2 2 5 5 2" xfId="21913" xr:uid="{A7017892-6A1A-43D3-9F33-0BBF5CAB0A74}"/>
    <cellStyle name="Total 2 2 5 6" xfId="21816" xr:uid="{12C22998-FE17-4A7B-83BA-D6401D124421}"/>
    <cellStyle name="Total 2 2 6" xfId="20863" xr:uid="{00000000-0005-0000-0000-00001B530000}"/>
    <cellStyle name="Total 2 2 6 2" xfId="21006" xr:uid="{00000000-0005-0000-0000-00001C530000}"/>
    <cellStyle name="Total 2 2 6 2 2" xfId="21909" xr:uid="{A8C1B579-D56D-40F1-BE44-338E73B7688F}"/>
    <cellStyle name="Total 2 2 6 3" xfId="21820" xr:uid="{65A9C00D-24C7-42D6-93EB-B505BD0B0822}"/>
    <cellStyle name="Total 2 2 7" xfId="20864" xr:uid="{00000000-0005-0000-0000-00001D530000}"/>
    <cellStyle name="Total 2 2 7 2" xfId="21005" xr:uid="{00000000-0005-0000-0000-00001E530000}"/>
    <cellStyle name="Total 2 2 7 2 2" xfId="21908" xr:uid="{6A67FC13-F626-4131-AA55-2B4C823127E1}"/>
    <cellStyle name="Total 2 2 7 3" xfId="21821" xr:uid="{22D972C7-994D-4833-9DF9-48631CDAF275}"/>
    <cellStyle name="Total 2 2 8" xfId="20865" xr:uid="{00000000-0005-0000-0000-00001F530000}"/>
    <cellStyle name="Total 2 2 8 2" xfId="21004" xr:uid="{00000000-0005-0000-0000-000020530000}"/>
    <cellStyle name="Total 2 2 8 2 2" xfId="21907" xr:uid="{B3DECFA8-752B-4047-A717-D1ECAAEA6DF3}"/>
    <cellStyle name="Total 2 2 8 3" xfId="21822" xr:uid="{169921AC-B173-40A7-A736-EAA38721ED70}"/>
    <cellStyle name="Total 2 2 9" xfId="20866" xr:uid="{00000000-0005-0000-0000-000021530000}"/>
    <cellStyle name="Total 2 2 9 2" xfId="21003" xr:uid="{00000000-0005-0000-0000-000022530000}"/>
    <cellStyle name="Total 2 2 9 2 2" xfId="21906" xr:uid="{2DF41888-18BE-4BD8-B16B-C1E020001BD1}"/>
    <cellStyle name="Total 2 2 9 3" xfId="21823" xr:uid="{460013D4-C696-4F02-851D-2BDD0BA3602A}"/>
    <cellStyle name="Total 2 3" xfId="20867" xr:uid="{00000000-0005-0000-0000-000023530000}"/>
    <cellStyle name="Total 2 3 2" xfId="20868" xr:uid="{00000000-0005-0000-0000-000024530000}"/>
    <cellStyle name="Total 2 3 2 2" xfId="21002" xr:uid="{00000000-0005-0000-0000-000025530000}"/>
    <cellStyle name="Total 2 3 2 2 2" xfId="21905" xr:uid="{47114919-31E2-4C19-8DDE-22A3BECD3197}"/>
    <cellStyle name="Total 2 3 2 3" xfId="21824" xr:uid="{8E316463-3B26-4470-8B49-F701916E65B6}"/>
    <cellStyle name="Total 2 3 3" xfId="20869" xr:uid="{00000000-0005-0000-0000-000026530000}"/>
    <cellStyle name="Total 2 3 3 2" xfId="21001" xr:uid="{00000000-0005-0000-0000-000027530000}"/>
    <cellStyle name="Total 2 3 3 2 2" xfId="21904" xr:uid="{F922A5C2-C98F-445E-9033-ED406F68CDC6}"/>
    <cellStyle name="Total 2 3 3 3" xfId="21825" xr:uid="{57599FD5-C5DD-4D77-B8A7-2AE93A58F798}"/>
    <cellStyle name="Total 2 3 4" xfId="20870" xr:uid="{00000000-0005-0000-0000-000028530000}"/>
    <cellStyle name="Total 2 3 4 2" xfId="21000" xr:uid="{00000000-0005-0000-0000-000029530000}"/>
    <cellStyle name="Total 2 3 4 2 2" xfId="21903" xr:uid="{AA278E4E-3EE8-44B1-A835-732253D168FE}"/>
    <cellStyle name="Total 2 3 4 3" xfId="21826" xr:uid="{A107A7AB-FE16-4BAC-BB74-5C930B95F3D4}"/>
    <cellStyle name="Total 2 3 5" xfId="20871" xr:uid="{00000000-0005-0000-0000-00002A530000}"/>
    <cellStyle name="Total 2 3 5 2" xfId="20999" xr:uid="{00000000-0005-0000-0000-00002B530000}"/>
    <cellStyle name="Total 2 3 5 2 2" xfId="21902" xr:uid="{0810EF89-D2B8-444C-97D7-6FE4B3F6E3B1}"/>
    <cellStyle name="Total 2 3 5 3" xfId="21827" xr:uid="{121EA456-DE21-473C-849E-8B72DEA1E0F9}"/>
    <cellStyle name="Total 2 4" xfId="20872" xr:uid="{00000000-0005-0000-0000-00002C530000}"/>
    <cellStyle name="Total 2 4 2" xfId="20873" xr:uid="{00000000-0005-0000-0000-00002D530000}"/>
    <cellStyle name="Total 2 4 2 2" xfId="20998" xr:uid="{00000000-0005-0000-0000-00002E530000}"/>
    <cellStyle name="Total 2 4 2 2 2" xfId="21901" xr:uid="{D60CDC7B-D0C2-4950-B8AD-B6F55F88C836}"/>
    <cellStyle name="Total 2 4 2 3" xfId="21828" xr:uid="{6780CCC8-CB62-4498-A4F8-B899C90FF330}"/>
    <cellStyle name="Total 2 4 3" xfId="20874" xr:uid="{00000000-0005-0000-0000-00002F530000}"/>
    <cellStyle name="Total 2 4 3 2" xfId="20997" xr:uid="{00000000-0005-0000-0000-000030530000}"/>
    <cellStyle name="Total 2 4 3 2 2" xfId="21900" xr:uid="{5470EA5F-7B2A-45C5-A6E2-71087D89B391}"/>
    <cellStyle name="Total 2 4 3 3" xfId="21829" xr:uid="{7BFB4818-135C-4454-BFB5-C81E6BB49746}"/>
    <cellStyle name="Total 2 4 4" xfId="20875" xr:uid="{00000000-0005-0000-0000-000031530000}"/>
    <cellStyle name="Total 2 4 4 2" xfId="20996" xr:uid="{00000000-0005-0000-0000-000032530000}"/>
    <cellStyle name="Total 2 4 4 2 2" xfId="21899" xr:uid="{AE05428C-C88A-40F6-A19A-1BAE145EDB55}"/>
    <cellStyle name="Total 2 4 4 3" xfId="21830" xr:uid="{14E589B7-24F2-4C4A-8257-FE2757610496}"/>
    <cellStyle name="Total 2 4 5" xfId="20876" xr:uid="{00000000-0005-0000-0000-000033530000}"/>
    <cellStyle name="Total 2 4 5 2" xfId="20995" xr:uid="{00000000-0005-0000-0000-000034530000}"/>
    <cellStyle name="Total 2 4 5 2 2" xfId="21898" xr:uid="{29D951DF-11F4-4C55-9552-2CB8BB36247F}"/>
    <cellStyle name="Total 2 4 5 3" xfId="21831" xr:uid="{D01B40D8-A4BC-43E0-BB90-57BD865717EF}"/>
    <cellStyle name="Total 2 5" xfId="20877" xr:uid="{00000000-0005-0000-0000-000035530000}"/>
    <cellStyle name="Total 2 5 2" xfId="20878" xr:uid="{00000000-0005-0000-0000-000036530000}"/>
    <cellStyle name="Total 2 5 2 2" xfId="20994" xr:uid="{00000000-0005-0000-0000-000037530000}"/>
    <cellStyle name="Total 2 5 2 2 2" xfId="21897" xr:uid="{4495EA9F-CDBB-45DC-8E23-030A2E79A90F}"/>
    <cellStyle name="Total 2 5 2 3" xfId="21832" xr:uid="{D985F15C-4A4D-452C-80DC-D4B1BE74F6AB}"/>
    <cellStyle name="Total 2 5 3" xfId="20879" xr:uid="{00000000-0005-0000-0000-000038530000}"/>
    <cellStyle name="Total 2 5 3 2" xfId="20993" xr:uid="{00000000-0005-0000-0000-000039530000}"/>
    <cellStyle name="Total 2 5 3 2 2" xfId="21896" xr:uid="{12E449FE-17F9-4BFC-A752-E3B894517B7D}"/>
    <cellStyle name="Total 2 5 3 3" xfId="21833" xr:uid="{5771D223-4775-443B-BB93-2DF92FA6ABE8}"/>
    <cellStyle name="Total 2 5 4" xfId="20880" xr:uid="{00000000-0005-0000-0000-00003A530000}"/>
    <cellStyle name="Total 2 5 4 2" xfId="20992" xr:uid="{00000000-0005-0000-0000-00003B530000}"/>
    <cellStyle name="Total 2 5 4 2 2" xfId="21895" xr:uid="{5F9F4744-518B-4225-8FDD-5393F9D7EBAE}"/>
    <cellStyle name="Total 2 5 4 3" xfId="21834" xr:uid="{A1ABFA12-AA49-4CF7-A95B-DC86E95ED5EE}"/>
    <cellStyle name="Total 2 5 5" xfId="20881" xr:uid="{00000000-0005-0000-0000-00003C530000}"/>
    <cellStyle name="Total 2 5 5 2" xfId="20991" xr:uid="{00000000-0005-0000-0000-00003D530000}"/>
    <cellStyle name="Total 2 5 5 2 2" xfId="21894" xr:uid="{2C8E60F9-76D3-4D57-B198-07258E689ED8}"/>
    <cellStyle name="Total 2 5 5 3" xfId="21835" xr:uid="{B129F00C-F395-4884-B5A0-9F96ACB9C27F}"/>
    <cellStyle name="Total 2 6" xfId="20882" xr:uid="{00000000-0005-0000-0000-00003E530000}"/>
    <cellStyle name="Total 2 6 2" xfId="20883" xr:uid="{00000000-0005-0000-0000-00003F530000}"/>
    <cellStyle name="Total 2 6 2 2" xfId="20990" xr:uid="{00000000-0005-0000-0000-000040530000}"/>
    <cellStyle name="Total 2 6 2 2 2" xfId="21893" xr:uid="{08D48CE0-2821-4ECB-A4AA-32C2991C9241}"/>
    <cellStyle name="Total 2 6 2 3" xfId="21836" xr:uid="{70BDD264-2232-4750-9A68-B2A7C0395408}"/>
    <cellStyle name="Total 2 6 3" xfId="20884" xr:uid="{00000000-0005-0000-0000-000041530000}"/>
    <cellStyle name="Total 2 6 3 2" xfId="20989" xr:uid="{00000000-0005-0000-0000-000042530000}"/>
    <cellStyle name="Total 2 6 3 2 2" xfId="21892" xr:uid="{D1749E76-461D-4AEE-985F-3B29B94643C4}"/>
    <cellStyle name="Total 2 6 3 3" xfId="21837" xr:uid="{0B7726D1-921D-4D3A-884C-FAC9B4C3629A}"/>
    <cellStyle name="Total 2 6 4" xfId="20885" xr:uid="{00000000-0005-0000-0000-000043530000}"/>
    <cellStyle name="Total 2 6 4 2" xfId="20988" xr:uid="{00000000-0005-0000-0000-000044530000}"/>
    <cellStyle name="Total 2 6 4 2 2" xfId="21891" xr:uid="{7E4FD993-366E-47E0-96E2-67AEFDD8F4AB}"/>
    <cellStyle name="Total 2 6 4 3" xfId="21838" xr:uid="{DFD66E26-4BC8-467D-9560-446ECC4E4501}"/>
    <cellStyle name="Total 2 6 5" xfId="20886" xr:uid="{00000000-0005-0000-0000-000045530000}"/>
    <cellStyle name="Total 2 6 5 2" xfId="20987" xr:uid="{00000000-0005-0000-0000-000046530000}"/>
    <cellStyle name="Total 2 6 5 2 2" xfId="21890" xr:uid="{F749149D-2535-4F2F-9849-4CAB8A992B86}"/>
    <cellStyle name="Total 2 6 5 3" xfId="21839" xr:uid="{59516A4C-0F36-4904-93BB-D05983321521}"/>
    <cellStyle name="Total 2 7" xfId="20887" xr:uid="{00000000-0005-0000-0000-000047530000}"/>
    <cellStyle name="Total 2 7 2" xfId="20888" xr:uid="{00000000-0005-0000-0000-000048530000}"/>
    <cellStyle name="Total 2 7 2 2" xfId="20986" xr:uid="{00000000-0005-0000-0000-000049530000}"/>
    <cellStyle name="Total 2 7 2 2 2" xfId="21889" xr:uid="{6790DE42-F19B-44C6-A397-8D0C50393519}"/>
    <cellStyle name="Total 2 7 2 3" xfId="21840" xr:uid="{19ECF947-585A-47E4-A6FD-E2AAA2EB5454}"/>
    <cellStyle name="Total 2 7 3" xfId="20889" xr:uid="{00000000-0005-0000-0000-00004A530000}"/>
    <cellStyle name="Total 2 7 3 2" xfId="20985" xr:uid="{00000000-0005-0000-0000-00004B530000}"/>
    <cellStyle name="Total 2 7 3 2 2" xfId="21888" xr:uid="{087423C2-E290-42F5-89F2-4347C7333E87}"/>
    <cellStyle name="Total 2 7 3 3" xfId="21841" xr:uid="{7BE3BD83-BCFF-4F4B-900C-0D7E8A6F34AB}"/>
    <cellStyle name="Total 2 7 4" xfId="20890" xr:uid="{00000000-0005-0000-0000-00004C530000}"/>
    <cellStyle name="Total 2 7 4 2" xfId="20984" xr:uid="{00000000-0005-0000-0000-00004D530000}"/>
    <cellStyle name="Total 2 7 4 2 2" xfId="21887" xr:uid="{271D473C-04D7-46FB-8ABB-FDEF6F4B4FE0}"/>
    <cellStyle name="Total 2 7 4 3" xfId="21842" xr:uid="{BC309AC5-412E-4CEF-9E85-66F538F7A39E}"/>
    <cellStyle name="Total 2 7 5" xfId="20891" xr:uid="{00000000-0005-0000-0000-00004E530000}"/>
    <cellStyle name="Total 2 7 5 2" xfId="20983" xr:uid="{00000000-0005-0000-0000-00004F530000}"/>
    <cellStyle name="Total 2 7 5 2 2" xfId="21886" xr:uid="{A01BCF29-6541-43E5-9F04-0DB717518A39}"/>
    <cellStyle name="Total 2 7 5 3" xfId="21843" xr:uid="{3F5C2B3E-1CD6-4E98-AE9A-34A7C06D2E99}"/>
    <cellStyle name="Total 2 8" xfId="20892" xr:uid="{00000000-0005-0000-0000-000050530000}"/>
    <cellStyle name="Total 2 8 2" xfId="20893" xr:uid="{00000000-0005-0000-0000-000051530000}"/>
    <cellStyle name="Total 2 8 2 2" xfId="20982" xr:uid="{00000000-0005-0000-0000-000052530000}"/>
    <cellStyle name="Total 2 8 2 2 2" xfId="21885" xr:uid="{37188EEA-15D5-477F-9369-CBFE6B4F70DB}"/>
    <cellStyle name="Total 2 8 2 3" xfId="21844" xr:uid="{40648F5D-5ACD-43B3-9897-E702097433A4}"/>
    <cellStyle name="Total 2 8 3" xfId="20894" xr:uid="{00000000-0005-0000-0000-000053530000}"/>
    <cellStyle name="Total 2 8 3 2" xfId="20981" xr:uid="{00000000-0005-0000-0000-000054530000}"/>
    <cellStyle name="Total 2 8 3 2 2" xfId="21884" xr:uid="{8F49A99E-1AE0-4A1A-B2E8-8CE42D4A44DC}"/>
    <cellStyle name="Total 2 8 3 3" xfId="21845" xr:uid="{2C0D3BF0-EB82-4DD7-A3E7-7D5DBB9A7A17}"/>
    <cellStyle name="Total 2 8 4" xfId="20895" xr:uid="{00000000-0005-0000-0000-000055530000}"/>
    <cellStyle name="Total 2 8 4 2" xfId="20980" xr:uid="{00000000-0005-0000-0000-000056530000}"/>
    <cellStyle name="Total 2 8 4 2 2" xfId="21883" xr:uid="{6441AB8E-F76E-44F4-879D-CD3BDF4AF79C}"/>
    <cellStyle name="Total 2 8 4 3" xfId="21846" xr:uid="{88197CFD-08A3-4FE5-9EF6-67419BEEE49D}"/>
    <cellStyle name="Total 2 8 5" xfId="20896" xr:uid="{00000000-0005-0000-0000-000057530000}"/>
    <cellStyle name="Total 2 8 5 2" xfId="20979" xr:uid="{00000000-0005-0000-0000-000058530000}"/>
    <cellStyle name="Total 2 8 5 2 2" xfId="21882" xr:uid="{A264498F-A316-4081-A479-539AB89CCFD6}"/>
    <cellStyle name="Total 2 8 5 3" xfId="21847" xr:uid="{0264512F-0BC1-4B14-A634-35C5AD5AFE8F}"/>
    <cellStyle name="Total 2 9" xfId="20897" xr:uid="{00000000-0005-0000-0000-000059530000}"/>
    <cellStyle name="Total 2 9 2" xfId="20898" xr:uid="{00000000-0005-0000-0000-00005A530000}"/>
    <cellStyle name="Total 2 9 2 2" xfId="20978" xr:uid="{00000000-0005-0000-0000-00005B530000}"/>
    <cellStyle name="Total 2 9 2 2 2" xfId="21881" xr:uid="{83A03D3A-3E9C-4F5B-90C3-A9D75632AC86}"/>
    <cellStyle name="Total 2 9 2 3" xfId="21848" xr:uid="{92CA428A-D0C7-4C19-9CDC-F63EECF1E0D0}"/>
    <cellStyle name="Total 2 9 3" xfId="20899" xr:uid="{00000000-0005-0000-0000-00005C530000}"/>
    <cellStyle name="Total 2 9 3 2" xfId="20977" xr:uid="{00000000-0005-0000-0000-00005D530000}"/>
    <cellStyle name="Total 2 9 3 2 2" xfId="21880" xr:uid="{FFB34146-76C2-465D-92F3-3972A02D1FCF}"/>
    <cellStyle name="Total 2 9 3 3" xfId="21849" xr:uid="{2B138A3B-0220-4BB5-B085-0B60B804D45B}"/>
    <cellStyle name="Total 2 9 4" xfId="20900" xr:uid="{00000000-0005-0000-0000-00005E530000}"/>
    <cellStyle name="Total 2 9 4 2" xfId="20976" xr:uid="{00000000-0005-0000-0000-00005F530000}"/>
    <cellStyle name="Total 2 9 4 2 2" xfId="21879" xr:uid="{77AFCFCC-F16C-4D90-8094-CB0D03DF3F52}"/>
    <cellStyle name="Total 2 9 4 3" xfId="21850" xr:uid="{59E2E0DB-C325-42D9-94D5-36BF842D48FF}"/>
    <cellStyle name="Total 2 9 5" xfId="20901" xr:uid="{00000000-0005-0000-0000-000060530000}"/>
    <cellStyle name="Total 2 9 5 2" xfId="20975" xr:uid="{00000000-0005-0000-0000-000061530000}"/>
    <cellStyle name="Total 2 9 5 2 2" xfId="21878" xr:uid="{F5D78C6B-AFA8-45B2-98C3-CFDE5A5395F4}"/>
    <cellStyle name="Total 2 9 5 3" xfId="21851" xr:uid="{2D999C9B-0EEF-4936-95B3-1FBFD1722E98}"/>
    <cellStyle name="Total 3" xfId="20902" xr:uid="{00000000-0005-0000-0000-000062530000}"/>
    <cellStyle name="Total 3 2" xfId="20903" xr:uid="{00000000-0005-0000-0000-000063530000}"/>
    <cellStyle name="Total 3 2 2" xfId="20973" xr:uid="{00000000-0005-0000-0000-000064530000}"/>
    <cellStyle name="Total 3 2 2 2" xfId="21876" xr:uid="{D4273134-DFAE-41C0-879A-F4177F30EEF8}"/>
    <cellStyle name="Total 3 2 3" xfId="21853" xr:uid="{143D2748-4400-43D8-A18A-86D7AF03F732}"/>
    <cellStyle name="Total 3 3" xfId="20904" xr:uid="{00000000-0005-0000-0000-000065530000}"/>
    <cellStyle name="Total 3 3 2" xfId="20972" xr:uid="{00000000-0005-0000-0000-000066530000}"/>
    <cellStyle name="Total 3 3 2 2" xfId="21875" xr:uid="{7419CAC5-0E90-4F72-9E6A-346BEB31E89E}"/>
    <cellStyle name="Total 3 3 3" xfId="21854" xr:uid="{891FEE3A-6940-4C77-8942-34ACEE198218}"/>
    <cellStyle name="Total 3 4" xfId="20974" xr:uid="{00000000-0005-0000-0000-000067530000}"/>
    <cellStyle name="Total 3 4 2" xfId="21877" xr:uid="{4D90814D-F091-42DA-A4CF-6FA4ED5F75B1}"/>
    <cellStyle name="Total 3 5" xfId="21852" xr:uid="{C30D2A20-72C8-4114-A494-B49F799D4D9B}"/>
    <cellStyle name="Total 4" xfId="20905" xr:uid="{00000000-0005-0000-0000-000068530000}"/>
    <cellStyle name="Total 4 2" xfId="20906" xr:uid="{00000000-0005-0000-0000-000069530000}"/>
    <cellStyle name="Total 4 2 2" xfId="20970" xr:uid="{00000000-0005-0000-0000-00006A530000}"/>
    <cellStyle name="Total 4 2 2 2" xfId="21873" xr:uid="{07BEA441-47EE-4621-8741-2142F73C1662}"/>
    <cellStyle name="Total 4 2 3" xfId="21856" xr:uid="{7B248B34-103D-4E1A-A653-CAB20F7D48AC}"/>
    <cellStyle name="Total 4 3" xfId="20907" xr:uid="{00000000-0005-0000-0000-00006B530000}"/>
    <cellStyle name="Total 4 3 2" xfId="20969" xr:uid="{00000000-0005-0000-0000-00006C530000}"/>
    <cellStyle name="Total 4 3 2 2" xfId="21872" xr:uid="{9DCAEEDA-496C-4152-8F75-E9867A7834FE}"/>
    <cellStyle name="Total 4 3 3" xfId="21857" xr:uid="{BE639B94-C660-4C65-8A92-DF8109B67F6D}"/>
    <cellStyle name="Total 4 4" xfId="20971" xr:uid="{00000000-0005-0000-0000-00006D530000}"/>
    <cellStyle name="Total 4 4 2" xfId="21874" xr:uid="{6A4EE427-0D29-411F-A9FC-83AF5359D10B}"/>
    <cellStyle name="Total 4 5" xfId="21855" xr:uid="{F0C5D3D9-D229-4672-A495-2A38092B49F8}"/>
    <cellStyle name="Total 5" xfId="20908" xr:uid="{00000000-0005-0000-0000-00006E530000}"/>
    <cellStyle name="Total 5 2" xfId="20909" xr:uid="{00000000-0005-0000-0000-00006F530000}"/>
    <cellStyle name="Total 5 2 2" xfId="20967" xr:uid="{00000000-0005-0000-0000-000070530000}"/>
    <cellStyle name="Total 5 2 2 2" xfId="21870" xr:uid="{5CF53AFE-7CBE-40AF-9978-E63BF4139D12}"/>
    <cellStyle name="Total 5 2 3" xfId="21859" xr:uid="{BA0047FC-6F45-4DCA-BBB7-CFAD8D11F7EC}"/>
    <cellStyle name="Total 5 3" xfId="20910" xr:uid="{00000000-0005-0000-0000-000071530000}"/>
    <cellStyle name="Total 5 3 2" xfId="20966" xr:uid="{00000000-0005-0000-0000-000072530000}"/>
    <cellStyle name="Total 5 3 2 2" xfId="21869" xr:uid="{7F7A3DAA-C066-4295-950A-E50780095A99}"/>
    <cellStyle name="Total 5 3 3" xfId="21860" xr:uid="{1871DBF2-2D14-4142-B41F-6E1636B885B4}"/>
    <cellStyle name="Total 5 4" xfId="20968" xr:uid="{00000000-0005-0000-0000-000073530000}"/>
    <cellStyle name="Total 5 4 2" xfId="21871" xr:uid="{4157F4A9-29D1-42DD-A8D2-45E4A36B607B}"/>
    <cellStyle name="Total 5 5" xfId="21858" xr:uid="{138342F8-B881-44CE-B8C6-D4077BB21BF2}"/>
    <cellStyle name="Total 6" xfId="20911" xr:uid="{00000000-0005-0000-0000-000074530000}"/>
    <cellStyle name="Total 6 2" xfId="20912" xr:uid="{00000000-0005-0000-0000-000075530000}"/>
    <cellStyle name="Total 6 2 2" xfId="20964" xr:uid="{00000000-0005-0000-0000-000076530000}"/>
    <cellStyle name="Total 6 2 2 2" xfId="21867" xr:uid="{93004E26-33D6-4061-A592-1F7056F8EE3F}"/>
    <cellStyle name="Total 6 2 3" xfId="21862" xr:uid="{9AB547E9-6A58-4735-B343-35B990B28381}"/>
    <cellStyle name="Total 6 3" xfId="20913" xr:uid="{00000000-0005-0000-0000-000077530000}"/>
    <cellStyle name="Total 6 3 2" xfId="20963" xr:uid="{00000000-0005-0000-0000-000078530000}"/>
    <cellStyle name="Total 6 3 2 2" xfId="21866" xr:uid="{943B4622-56BE-4534-A057-FED56032DB0F}"/>
    <cellStyle name="Total 6 3 3" xfId="21863" xr:uid="{B5D1450E-6B48-499B-99D8-3E3DCBAAC388}"/>
    <cellStyle name="Total 6 4" xfId="20965" xr:uid="{00000000-0005-0000-0000-000079530000}"/>
    <cellStyle name="Total 6 4 2" xfId="21868" xr:uid="{3D6E82B7-41E7-4780-88EA-6976ECAA8697}"/>
    <cellStyle name="Total 6 5" xfId="21861" xr:uid="{655C69FE-9997-4FCB-9624-FFA9659719DF}"/>
    <cellStyle name="Total 7" xfId="20914" xr:uid="{00000000-0005-0000-0000-00007A530000}"/>
    <cellStyle name="Total 7 2" xfId="20962" xr:uid="{00000000-0005-0000-0000-00007B530000}"/>
    <cellStyle name="Total 7 2 2" xfId="21865" xr:uid="{7006BF50-527D-4561-A48A-07FE27979D55}"/>
    <cellStyle name="Total 7 3" xfId="21864" xr:uid="{56F04156-4CCB-4504-A36D-F3806AE697D5}"/>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avebank.com/en"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tabSelected="1" zoomScale="85" zoomScaleNormal="85" workbookViewId="0">
      <pane xSplit="1" ySplit="7" topLeftCell="B8" activePane="bottomRight" state="frozen"/>
      <selection activeCell="B11" sqref="B11"/>
      <selection pane="topRight" activeCell="B11" sqref="B11"/>
      <selection pane="bottomLeft" activeCell="B11" sqref="B11"/>
      <selection pane="bottomRight" activeCell="B21" sqref="B21"/>
    </sheetView>
  </sheetViews>
  <sheetFormatPr defaultRowHeight="14.4"/>
  <cols>
    <col min="1" max="1" width="10.109375" style="1" customWidth="1"/>
    <col min="2" max="2" width="153" bestFit="1" customWidth="1"/>
    <col min="3" max="3" width="39.44140625" customWidth="1"/>
    <col min="7" max="7" width="25" customWidth="1"/>
  </cols>
  <sheetData>
    <row r="1" spans="1:3">
      <c r="A1" s="3"/>
      <c r="B1" s="89" t="s">
        <v>147</v>
      </c>
      <c r="C1" s="43"/>
    </row>
    <row r="2" spans="1:3" s="86" customFormat="1">
      <c r="A2" s="129">
        <v>1</v>
      </c>
      <c r="B2" s="87" t="s">
        <v>148</v>
      </c>
      <c r="C2" s="579" t="s">
        <v>1012</v>
      </c>
    </row>
    <row r="3" spans="1:3" s="86" customFormat="1">
      <c r="A3" s="129">
        <v>2</v>
      </c>
      <c r="B3" s="88" t="s">
        <v>149</v>
      </c>
      <c r="C3" s="579" t="s">
        <v>1002</v>
      </c>
    </row>
    <row r="4" spans="1:3" s="86" customFormat="1">
      <c r="A4" s="129">
        <v>3</v>
      </c>
      <c r="B4" s="88" t="s">
        <v>150</v>
      </c>
      <c r="C4" s="579" t="s">
        <v>1005</v>
      </c>
    </row>
    <row r="5" spans="1:3" s="86" customFormat="1">
      <c r="A5" s="130">
        <v>4</v>
      </c>
      <c r="B5" s="91" t="s">
        <v>151</v>
      </c>
      <c r="C5" s="580" t="s">
        <v>1013</v>
      </c>
    </row>
    <row r="6" spans="1:3" s="90" customFormat="1" ht="65.25" customHeight="1">
      <c r="A6" s="679" t="s">
        <v>308</v>
      </c>
      <c r="B6" s="680"/>
      <c r="C6" s="680"/>
    </row>
    <row r="7" spans="1:3">
      <c r="A7" s="209" t="s">
        <v>239</v>
      </c>
      <c r="B7" s="210" t="s">
        <v>152</v>
      </c>
    </row>
    <row r="8" spans="1:3">
      <c r="A8" s="211">
        <v>1</v>
      </c>
      <c r="B8" s="207" t="s">
        <v>127</v>
      </c>
    </row>
    <row r="9" spans="1:3">
      <c r="A9" s="211">
        <v>2</v>
      </c>
      <c r="B9" s="207" t="s">
        <v>153</v>
      </c>
    </row>
    <row r="10" spans="1:3">
      <c r="A10" s="211">
        <v>3</v>
      </c>
      <c r="B10" s="207" t="s">
        <v>154</v>
      </c>
    </row>
    <row r="11" spans="1:3">
      <c r="A11" s="211">
        <v>4</v>
      </c>
      <c r="B11" s="207" t="s">
        <v>155</v>
      </c>
    </row>
    <row r="12" spans="1:3">
      <c r="A12" s="211">
        <v>5</v>
      </c>
      <c r="B12" s="207" t="s">
        <v>95</v>
      </c>
    </row>
    <row r="13" spans="1:3">
      <c r="A13" s="211">
        <v>6</v>
      </c>
      <c r="B13" s="212" t="s">
        <v>80</v>
      </c>
    </row>
    <row r="14" spans="1:3">
      <c r="A14" s="211">
        <v>7</v>
      </c>
      <c r="B14" s="207" t="s">
        <v>156</v>
      </c>
    </row>
    <row r="15" spans="1:3">
      <c r="A15" s="211">
        <v>8</v>
      </c>
      <c r="B15" s="207" t="s">
        <v>159</v>
      </c>
    </row>
    <row r="16" spans="1:3">
      <c r="A16" s="211">
        <v>9</v>
      </c>
      <c r="B16" s="207" t="s">
        <v>74</v>
      </c>
    </row>
    <row r="17" spans="1:2">
      <c r="A17" s="213" t="s">
        <v>365</v>
      </c>
      <c r="B17" s="207" t="s">
        <v>345</v>
      </c>
    </row>
    <row r="18" spans="1:2">
      <c r="A18" s="211">
        <v>9.1999999999999993</v>
      </c>
      <c r="B18" s="519" t="s">
        <v>945</v>
      </c>
    </row>
    <row r="19" spans="1:2">
      <c r="A19" s="211">
        <v>9.3000000000000007</v>
      </c>
      <c r="B19" s="519" t="s">
        <v>946</v>
      </c>
    </row>
    <row r="20" spans="1:2">
      <c r="A20" s="211">
        <v>10</v>
      </c>
      <c r="B20" s="207" t="s">
        <v>160</v>
      </c>
    </row>
    <row r="21" spans="1:2">
      <c r="A21" s="211">
        <v>11</v>
      </c>
      <c r="B21" s="212" t="s">
        <v>143</v>
      </c>
    </row>
    <row r="22" spans="1:2">
      <c r="A22" s="211">
        <v>12</v>
      </c>
      <c r="B22" s="212" t="s">
        <v>140</v>
      </c>
    </row>
    <row r="23" spans="1:2">
      <c r="A23" s="211">
        <v>13</v>
      </c>
      <c r="B23" s="214" t="s">
        <v>284</v>
      </c>
    </row>
    <row r="24" spans="1:2">
      <c r="A24" s="211">
        <v>14</v>
      </c>
      <c r="B24" s="207" t="s">
        <v>338</v>
      </c>
    </row>
    <row r="25" spans="1:2">
      <c r="A25" s="211">
        <v>15</v>
      </c>
      <c r="B25" s="207" t="s">
        <v>73</v>
      </c>
    </row>
    <row r="26" spans="1:2">
      <c r="A26" s="211">
        <v>15.1</v>
      </c>
      <c r="B26" s="207" t="s">
        <v>374</v>
      </c>
    </row>
    <row r="27" spans="1:2">
      <c r="A27" s="518">
        <v>15.2</v>
      </c>
      <c r="B27" s="519" t="s">
        <v>969</v>
      </c>
    </row>
    <row r="28" spans="1:2">
      <c r="A28" s="211">
        <v>16</v>
      </c>
      <c r="B28" s="207" t="s">
        <v>421</v>
      </c>
    </row>
    <row r="29" spans="1:2">
      <c r="A29" s="211">
        <v>17</v>
      </c>
      <c r="B29" s="207" t="s">
        <v>645</v>
      </c>
    </row>
    <row r="30" spans="1:2">
      <c r="A30" s="211">
        <v>18</v>
      </c>
      <c r="B30" s="207" t="s">
        <v>905</v>
      </c>
    </row>
    <row r="31" spans="1:2">
      <c r="A31" s="211">
        <v>19</v>
      </c>
      <c r="B31" s="207" t="s">
        <v>906</v>
      </c>
    </row>
    <row r="32" spans="1:2">
      <c r="A32" s="211">
        <v>20</v>
      </c>
      <c r="B32" s="207" t="s">
        <v>907</v>
      </c>
    </row>
    <row r="33" spans="1:2">
      <c r="A33" s="211">
        <v>21</v>
      </c>
      <c r="B33" s="207" t="s">
        <v>514</v>
      </c>
    </row>
    <row r="34" spans="1:2">
      <c r="A34" s="211">
        <v>22</v>
      </c>
      <c r="B34" s="207" t="s">
        <v>908</v>
      </c>
    </row>
    <row r="35" spans="1:2" ht="26.4">
      <c r="A35" s="211">
        <v>23</v>
      </c>
      <c r="B35" s="475" t="s">
        <v>904</v>
      </c>
    </row>
    <row r="36" spans="1:2">
      <c r="A36" s="211">
        <v>24</v>
      </c>
      <c r="B36" s="207" t="s">
        <v>909</v>
      </c>
    </row>
    <row r="37" spans="1:2">
      <c r="A37" s="211">
        <v>25</v>
      </c>
      <c r="B37" s="207" t="s">
        <v>910</v>
      </c>
    </row>
    <row r="38" spans="1:2">
      <c r="A38" s="211">
        <v>26</v>
      </c>
      <c r="B38" s="207" t="s">
        <v>690</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 ref="C5" r:id="rId1" xr:uid="{1AC3380B-DD4E-404F-87E9-240E6E67D5CF}"/>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D56"/>
  <sheetViews>
    <sheetView zoomScale="80" zoomScaleNormal="80" workbookViewId="0">
      <pane xSplit="1" ySplit="5" topLeftCell="B6" activePane="bottomRight" state="frozen"/>
      <selection pane="topRight" activeCell="B1" sqref="B1"/>
      <selection pane="bottomLeft" activeCell="A5" sqref="A5"/>
      <selection pane="bottomRight" activeCell="E10" sqref="E10"/>
    </sheetView>
  </sheetViews>
  <sheetFormatPr defaultRowHeight="14.4"/>
  <cols>
    <col min="1" max="1" width="9.44140625" style="1" bestFit="1" customWidth="1"/>
    <col min="2" max="2" width="132.44140625" style="1" customWidth="1"/>
    <col min="3" max="3" width="18.44140625" style="1" customWidth="1"/>
  </cols>
  <sheetData>
    <row r="1" spans="1:4">
      <c r="A1" s="10" t="s">
        <v>96</v>
      </c>
      <c r="B1" s="9" t="str">
        <f>Info!C2</f>
        <v>სს პეივ ბანკ ჯორჯია</v>
      </c>
      <c r="D1" s="1"/>
    </row>
    <row r="2" spans="1:4" s="10" customFormat="1" ht="15.75" customHeight="1">
      <c r="A2" s="10" t="s">
        <v>97</v>
      </c>
      <c r="B2" s="245">
        <f>'1. key ratios'!B2</f>
        <v>45930</v>
      </c>
    </row>
    <row r="3" spans="1:4" s="10" customFormat="1" ht="15.75" customHeight="1"/>
    <row r="4" spans="1:4" ht="15" thickBot="1">
      <c r="A4" s="1" t="s">
        <v>245</v>
      </c>
      <c r="B4" s="19" t="s">
        <v>74</v>
      </c>
    </row>
    <row r="5" spans="1:4">
      <c r="A5" s="61" t="s">
        <v>25</v>
      </c>
      <c r="B5" s="62"/>
      <c r="C5" s="63" t="s">
        <v>26</v>
      </c>
    </row>
    <row r="6" spans="1:4">
      <c r="A6" s="64">
        <v>1</v>
      </c>
      <c r="B6" s="39" t="s">
        <v>27</v>
      </c>
      <c r="C6" s="137">
        <f>SUM(C7:C11)</f>
        <v>8227883.3400000026</v>
      </c>
    </row>
    <row r="7" spans="1:4">
      <c r="A7" s="64">
        <v>2</v>
      </c>
      <c r="B7" s="36" t="s">
        <v>28</v>
      </c>
      <c r="C7" s="138">
        <v>8052000</v>
      </c>
    </row>
    <row r="8" spans="1:4">
      <c r="A8" s="64">
        <v>3</v>
      </c>
      <c r="B8" s="31" t="s">
        <v>29</v>
      </c>
      <c r="C8" s="138">
        <v>0</v>
      </c>
    </row>
    <row r="9" spans="1:4">
      <c r="A9" s="64">
        <v>4</v>
      </c>
      <c r="B9" s="31" t="s">
        <v>30</v>
      </c>
      <c r="C9" s="138">
        <v>0</v>
      </c>
    </row>
    <row r="10" spans="1:4">
      <c r="A10" s="64">
        <v>5</v>
      </c>
      <c r="B10" s="31" t="s">
        <v>31</v>
      </c>
      <c r="C10" s="138">
        <v>0</v>
      </c>
    </row>
    <row r="11" spans="1:4">
      <c r="A11" s="64">
        <v>6</v>
      </c>
      <c r="B11" s="37" t="s">
        <v>32</v>
      </c>
      <c r="C11" s="138">
        <v>175883.34000000276</v>
      </c>
    </row>
    <row r="12" spans="1:4" s="2" customFormat="1">
      <c r="A12" s="64">
        <v>7</v>
      </c>
      <c r="B12" s="39" t="s">
        <v>33</v>
      </c>
      <c r="C12" s="139">
        <f>SUM(C13:C28)</f>
        <v>252640.53</v>
      </c>
    </row>
    <row r="13" spans="1:4" s="2" customFormat="1">
      <c r="A13" s="64">
        <v>8</v>
      </c>
      <c r="B13" s="38" t="s">
        <v>34</v>
      </c>
      <c r="C13" s="140">
        <v>0</v>
      </c>
    </row>
    <row r="14" spans="1:4" s="2" customFormat="1" ht="27.6">
      <c r="A14" s="64">
        <v>9</v>
      </c>
      <c r="B14" s="32" t="s">
        <v>35</v>
      </c>
      <c r="C14" s="140">
        <v>0</v>
      </c>
    </row>
    <row r="15" spans="1:4" s="2" customFormat="1">
      <c r="A15" s="64">
        <v>10</v>
      </c>
      <c r="B15" s="33" t="s">
        <v>36</v>
      </c>
      <c r="C15" s="140">
        <v>252640.53</v>
      </c>
    </row>
    <row r="16" spans="1:4" s="2" customFormat="1">
      <c r="A16" s="64">
        <v>11</v>
      </c>
      <c r="B16" s="34" t="s">
        <v>37</v>
      </c>
      <c r="C16" s="140">
        <v>0</v>
      </c>
    </row>
    <row r="17" spans="1:3" s="2" customFormat="1">
      <c r="A17" s="64">
        <v>12</v>
      </c>
      <c r="B17" s="33" t="s">
        <v>38</v>
      </c>
      <c r="C17" s="140">
        <v>0</v>
      </c>
    </row>
    <row r="18" spans="1:3" s="2" customFormat="1">
      <c r="A18" s="64">
        <v>13</v>
      </c>
      <c r="B18" s="33" t="s">
        <v>39</v>
      </c>
      <c r="C18" s="140">
        <v>0</v>
      </c>
    </row>
    <row r="19" spans="1:3" s="2" customFormat="1">
      <c r="A19" s="64">
        <v>14</v>
      </c>
      <c r="B19" s="33" t="s">
        <v>40</v>
      </c>
      <c r="C19" s="140">
        <v>0</v>
      </c>
    </row>
    <row r="20" spans="1:3" s="2" customFormat="1" ht="27.6">
      <c r="A20" s="64">
        <v>15</v>
      </c>
      <c r="B20" s="33" t="s">
        <v>41</v>
      </c>
      <c r="C20" s="140">
        <v>0</v>
      </c>
    </row>
    <row r="21" spans="1:3" s="2" customFormat="1" ht="27.6">
      <c r="A21" s="64">
        <v>16</v>
      </c>
      <c r="B21" s="32" t="s">
        <v>42</v>
      </c>
      <c r="C21" s="140">
        <v>0</v>
      </c>
    </row>
    <row r="22" spans="1:3" s="2" customFormat="1">
      <c r="A22" s="64">
        <v>17</v>
      </c>
      <c r="B22" s="65" t="s">
        <v>43</v>
      </c>
      <c r="C22" s="140">
        <v>0</v>
      </c>
    </row>
    <row r="23" spans="1:3" s="2" customFormat="1">
      <c r="A23" s="64">
        <v>18</v>
      </c>
      <c r="B23" s="510" t="s">
        <v>693</v>
      </c>
      <c r="C23" s="302">
        <v>0</v>
      </c>
    </row>
    <row r="24" spans="1:3" s="2" customFormat="1" ht="27.6">
      <c r="A24" s="64">
        <v>19</v>
      </c>
      <c r="B24" s="32" t="s">
        <v>44</v>
      </c>
      <c r="C24" s="140">
        <v>0</v>
      </c>
    </row>
    <row r="25" spans="1:3" s="2" customFormat="1" ht="27.6">
      <c r="A25" s="64">
        <v>20</v>
      </c>
      <c r="B25" s="32" t="s">
        <v>45</v>
      </c>
      <c r="C25" s="140">
        <v>0</v>
      </c>
    </row>
    <row r="26" spans="1:3" s="2" customFormat="1" ht="27.6">
      <c r="A26" s="64">
        <v>21</v>
      </c>
      <c r="B26" s="34" t="s">
        <v>46</v>
      </c>
      <c r="C26" s="140">
        <v>0</v>
      </c>
    </row>
    <row r="27" spans="1:3" s="2" customFormat="1">
      <c r="A27" s="64">
        <v>22</v>
      </c>
      <c r="B27" s="34" t="s">
        <v>47</v>
      </c>
      <c r="C27" s="140">
        <v>0</v>
      </c>
    </row>
    <row r="28" spans="1:3" s="2" customFormat="1" ht="27.6">
      <c r="A28" s="64">
        <v>23</v>
      </c>
      <c r="B28" s="34" t="s">
        <v>48</v>
      </c>
      <c r="C28" s="140">
        <v>0</v>
      </c>
    </row>
    <row r="29" spans="1:3" s="2" customFormat="1">
      <c r="A29" s="64">
        <v>24</v>
      </c>
      <c r="B29" s="40" t="s">
        <v>22</v>
      </c>
      <c r="C29" s="139">
        <f>C6-C12</f>
        <v>7975242.8100000024</v>
      </c>
    </row>
    <row r="30" spans="1:3" s="2" customFormat="1">
      <c r="A30" s="66"/>
      <c r="B30" s="35"/>
      <c r="C30" s="140"/>
    </row>
    <row r="31" spans="1:3" s="2" customFormat="1">
      <c r="A31" s="66">
        <v>25</v>
      </c>
      <c r="B31" s="40" t="s">
        <v>49</v>
      </c>
      <c r="C31" s="139">
        <f>C32+C35</f>
        <v>0</v>
      </c>
    </row>
    <row r="32" spans="1:3" s="2" customFormat="1">
      <c r="A32" s="66">
        <v>26</v>
      </c>
      <c r="B32" s="31" t="s">
        <v>50</v>
      </c>
      <c r="C32" s="141">
        <f>C33+C34</f>
        <v>0</v>
      </c>
    </row>
    <row r="33" spans="1:3" s="2" customFormat="1">
      <c r="A33" s="66">
        <v>27</v>
      </c>
      <c r="B33" s="84" t="s">
        <v>51</v>
      </c>
      <c r="C33" s="140">
        <v>0</v>
      </c>
    </row>
    <row r="34" spans="1:3" s="2" customFormat="1">
      <c r="A34" s="66">
        <v>28</v>
      </c>
      <c r="B34" s="84" t="s">
        <v>52</v>
      </c>
      <c r="C34" s="140">
        <v>0</v>
      </c>
    </row>
    <row r="35" spans="1:3" s="2" customFormat="1">
      <c r="A35" s="66">
        <v>29</v>
      </c>
      <c r="B35" s="31" t="s">
        <v>53</v>
      </c>
      <c r="C35" s="140">
        <v>0</v>
      </c>
    </row>
    <row r="36" spans="1:3" s="2" customFormat="1">
      <c r="A36" s="66">
        <v>30</v>
      </c>
      <c r="B36" s="40" t="s">
        <v>54</v>
      </c>
      <c r="C36" s="139">
        <f>SUM(C37:C41)</f>
        <v>0</v>
      </c>
    </row>
    <row r="37" spans="1:3" s="2" customFormat="1">
      <c r="A37" s="66">
        <v>31</v>
      </c>
      <c r="B37" s="32" t="s">
        <v>55</v>
      </c>
      <c r="C37" s="140">
        <v>0</v>
      </c>
    </row>
    <row r="38" spans="1:3" s="2" customFormat="1">
      <c r="A38" s="66">
        <v>32</v>
      </c>
      <c r="B38" s="33" t="s">
        <v>56</v>
      </c>
      <c r="C38" s="140">
        <v>0</v>
      </c>
    </row>
    <row r="39" spans="1:3" s="2" customFormat="1" ht="27.6">
      <c r="A39" s="66">
        <v>33</v>
      </c>
      <c r="B39" s="32" t="s">
        <v>57</v>
      </c>
      <c r="C39" s="140">
        <v>0</v>
      </c>
    </row>
    <row r="40" spans="1:3" s="2" customFormat="1" ht="27.6">
      <c r="A40" s="66">
        <v>34</v>
      </c>
      <c r="B40" s="32" t="s">
        <v>45</v>
      </c>
      <c r="C40" s="140">
        <v>0</v>
      </c>
    </row>
    <row r="41" spans="1:3" s="2" customFormat="1" ht="27.6">
      <c r="A41" s="66">
        <v>35</v>
      </c>
      <c r="B41" s="34" t="s">
        <v>58</v>
      </c>
      <c r="C41" s="140">
        <v>0</v>
      </c>
    </row>
    <row r="42" spans="1:3" s="2" customFormat="1">
      <c r="A42" s="66">
        <v>36</v>
      </c>
      <c r="B42" s="40" t="s">
        <v>23</v>
      </c>
      <c r="C42" s="139">
        <f>C31-C36</f>
        <v>0</v>
      </c>
    </row>
    <row r="43" spans="1:3" s="2" customFormat="1">
      <c r="A43" s="66"/>
      <c r="B43" s="35"/>
      <c r="C43" s="140"/>
    </row>
    <row r="44" spans="1:3" s="2" customFormat="1">
      <c r="A44" s="66">
        <v>37</v>
      </c>
      <c r="B44" s="41" t="s">
        <v>59</v>
      </c>
      <c r="C44" s="139">
        <f>SUM(C45:C47)</f>
        <v>0</v>
      </c>
    </row>
    <row r="45" spans="1:3" s="2" customFormat="1">
      <c r="A45" s="66">
        <v>38</v>
      </c>
      <c r="B45" s="31" t="s">
        <v>60</v>
      </c>
      <c r="C45" s="140">
        <v>0</v>
      </c>
    </row>
    <row r="46" spans="1:3" s="2" customFormat="1">
      <c r="A46" s="66">
        <v>39</v>
      </c>
      <c r="B46" s="31" t="s">
        <v>61</v>
      </c>
      <c r="C46" s="140">
        <v>0</v>
      </c>
    </row>
    <row r="47" spans="1:3" s="2" customFormat="1">
      <c r="A47" s="66">
        <v>40</v>
      </c>
      <c r="B47" s="511" t="s">
        <v>692</v>
      </c>
      <c r="C47" s="140">
        <v>0</v>
      </c>
    </row>
    <row r="48" spans="1:3" s="2" customFormat="1">
      <c r="A48" s="66">
        <v>41</v>
      </c>
      <c r="B48" s="41" t="s">
        <v>62</v>
      </c>
      <c r="C48" s="139">
        <f>SUM(C49:C52)</f>
        <v>0</v>
      </c>
    </row>
    <row r="49" spans="1:3" s="2" customFormat="1">
      <c r="A49" s="66">
        <v>42</v>
      </c>
      <c r="B49" s="32" t="s">
        <v>63</v>
      </c>
      <c r="C49" s="140">
        <v>0</v>
      </c>
    </row>
    <row r="50" spans="1:3" s="2" customFormat="1">
      <c r="A50" s="66">
        <v>43</v>
      </c>
      <c r="B50" s="33" t="s">
        <v>64</v>
      </c>
      <c r="C50" s="140">
        <v>0</v>
      </c>
    </row>
    <row r="51" spans="1:3" s="2" customFormat="1" ht="27.6">
      <c r="A51" s="66">
        <v>44</v>
      </c>
      <c r="B51" s="32" t="s">
        <v>65</v>
      </c>
      <c r="C51" s="140">
        <v>0</v>
      </c>
    </row>
    <row r="52" spans="1:3" s="2" customFormat="1" ht="27.6">
      <c r="A52" s="66">
        <v>45</v>
      </c>
      <c r="B52" s="32" t="s">
        <v>45</v>
      </c>
      <c r="C52" s="140">
        <v>0</v>
      </c>
    </row>
    <row r="53" spans="1:3" s="2" customFormat="1" ht="15" thickBot="1">
      <c r="A53" s="66">
        <v>46</v>
      </c>
      <c r="B53" s="67" t="s">
        <v>24</v>
      </c>
      <c r="C53" s="142">
        <f>C44-C48</f>
        <v>0</v>
      </c>
    </row>
    <row r="56" spans="1:3">
      <c r="B56" s="1" t="s">
        <v>129</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D23"/>
  <sheetViews>
    <sheetView zoomScale="80" zoomScaleNormal="80" workbookViewId="0">
      <selection activeCell="L39" sqref="L39"/>
    </sheetView>
  </sheetViews>
  <sheetFormatPr defaultColWidth="9.109375" defaultRowHeight="13.8"/>
  <cols>
    <col min="1" max="1" width="10.88671875" style="1" bestFit="1" customWidth="1"/>
    <col min="2" max="2" width="59" style="1" customWidth="1"/>
    <col min="3" max="3" width="16.88671875" style="1" bestFit="1" customWidth="1"/>
    <col min="4" max="4" width="22.109375" style="1" customWidth="1"/>
    <col min="5" max="16384" width="9.109375" style="1"/>
  </cols>
  <sheetData>
    <row r="1" spans="1:4">
      <c r="A1" s="10" t="s">
        <v>96</v>
      </c>
      <c r="B1" s="9" t="str">
        <f>Info!C2</f>
        <v>სს პეივ ბანკ ჯორჯია</v>
      </c>
    </row>
    <row r="2" spans="1:4" s="10" customFormat="1" ht="15.75" customHeight="1">
      <c r="A2" s="10" t="s">
        <v>97</v>
      </c>
      <c r="B2" s="245">
        <f>'1. key ratios'!B2</f>
        <v>45930</v>
      </c>
    </row>
    <row r="3" spans="1:4" s="10" customFormat="1" ht="15.75" customHeight="1"/>
    <row r="4" spans="1:4" ht="14.4" thickBot="1">
      <c r="A4" s="1" t="s">
        <v>344</v>
      </c>
      <c r="B4" s="197" t="s">
        <v>345</v>
      </c>
    </row>
    <row r="5" spans="1:4" s="27" customFormat="1">
      <c r="A5" s="698" t="s">
        <v>346</v>
      </c>
      <c r="B5" s="699"/>
      <c r="C5" s="187" t="s">
        <v>347</v>
      </c>
      <c r="D5" s="188" t="s">
        <v>348</v>
      </c>
    </row>
    <row r="6" spans="1:4" s="198" customFormat="1">
      <c r="A6" s="189">
        <v>1</v>
      </c>
      <c r="B6" s="190" t="s">
        <v>349</v>
      </c>
      <c r="C6" s="190"/>
      <c r="D6" s="191"/>
    </row>
    <row r="7" spans="1:4" s="198" customFormat="1">
      <c r="A7" s="192" t="s">
        <v>350</v>
      </c>
      <c r="B7" s="193" t="s">
        <v>351</v>
      </c>
      <c r="C7" s="217">
        <v>4.4999999999999998E-2</v>
      </c>
      <c r="D7" s="612">
        <f>C7*'5. RWA'!$C$13</f>
        <v>1782605.6131874393</v>
      </c>
    </row>
    <row r="8" spans="1:4" s="198" customFormat="1">
      <c r="A8" s="192" t="s">
        <v>352</v>
      </c>
      <c r="B8" s="193" t="s">
        <v>353</v>
      </c>
      <c r="C8" s="218">
        <v>0.06</v>
      </c>
      <c r="D8" s="612">
        <f>C8*'5. RWA'!$C$13</f>
        <v>2376807.4842499192</v>
      </c>
    </row>
    <row r="9" spans="1:4" s="198" customFormat="1">
      <c r="A9" s="192" t="s">
        <v>354</v>
      </c>
      <c r="B9" s="193" t="s">
        <v>355</v>
      </c>
      <c r="C9" s="218">
        <v>0.08</v>
      </c>
      <c r="D9" s="612">
        <f>C9*'5. RWA'!$C$13</f>
        <v>3169076.6456665588</v>
      </c>
    </row>
    <row r="10" spans="1:4" s="198" customFormat="1">
      <c r="A10" s="189" t="s">
        <v>356</v>
      </c>
      <c r="B10" s="190" t="s">
        <v>357</v>
      </c>
      <c r="C10" s="219"/>
      <c r="D10" s="215"/>
    </row>
    <row r="11" spans="1:4" s="199" customFormat="1">
      <c r="A11" s="194" t="s">
        <v>358</v>
      </c>
      <c r="B11" s="195" t="s">
        <v>996</v>
      </c>
      <c r="C11" s="220">
        <v>2.5000000000000001E-2</v>
      </c>
      <c r="D11" s="613">
        <f>C11*'5. RWA'!$C$13</f>
        <v>990336.4517707997</v>
      </c>
    </row>
    <row r="12" spans="1:4" s="199" customFormat="1">
      <c r="A12" s="194" t="s">
        <v>359</v>
      </c>
      <c r="B12" s="195" t="s">
        <v>360</v>
      </c>
      <c r="C12" s="220">
        <v>5.0000000000000001E-3</v>
      </c>
      <c r="D12" s="613">
        <f>C12*'5. RWA'!$C$13</f>
        <v>198067.29035415992</v>
      </c>
    </row>
    <row r="13" spans="1:4" s="199" customFormat="1">
      <c r="A13" s="194" t="s">
        <v>361</v>
      </c>
      <c r="B13" s="195" t="s">
        <v>362</v>
      </c>
      <c r="C13" s="220">
        <v>0</v>
      </c>
      <c r="D13" s="613">
        <f>C13*'5. RWA'!$C$13</f>
        <v>0</v>
      </c>
    </row>
    <row r="14" spans="1:4" s="198" customFormat="1">
      <c r="A14" s="189" t="s">
        <v>363</v>
      </c>
      <c r="B14" s="190" t="s">
        <v>408</v>
      </c>
      <c r="C14" s="221"/>
      <c r="D14" s="215"/>
    </row>
    <row r="15" spans="1:4" s="198" customFormat="1">
      <c r="A15" s="208" t="s">
        <v>366</v>
      </c>
      <c r="B15" s="195" t="s">
        <v>409</v>
      </c>
      <c r="C15" s="220">
        <v>4.2232283225781594E-3</v>
      </c>
      <c r="D15" s="613">
        <f>C15*'5. RWA'!$C$13</f>
        <v>167296.67808000001</v>
      </c>
    </row>
    <row r="16" spans="1:4" s="198" customFormat="1">
      <c r="A16" s="208" t="s">
        <v>367</v>
      </c>
      <c r="B16" s="195" t="s">
        <v>369</v>
      </c>
      <c r="C16" s="220">
        <v>5.656109360595748E-3</v>
      </c>
      <c r="D16" s="613">
        <f>C16*'5. RWA'!$C$13</f>
        <v>224058.05099999998</v>
      </c>
    </row>
    <row r="17" spans="1:4" s="198" customFormat="1">
      <c r="A17" s="208" t="s">
        <v>368</v>
      </c>
      <c r="B17" s="195" t="s">
        <v>406</v>
      </c>
      <c r="C17" s="220">
        <v>7.5414791474609976E-3</v>
      </c>
      <c r="D17" s="613">
        <f>C17*'5. RWA'!$C$13</f>
        <v>298744.06799999997</v>
      </c>
    </row>
    <row r="18" spans="1:4" s="27" customFormat="1">
      <c r="A18" s="700" t="s">
        <v>407</v>
      </c>
      <c r="B18" s="701"/>
      <c r="C18" s="222" t="s">
        <v>347</v>
      </c>
      <c r="D18" s="216" t="s">
        <v>348</v>
      </c>
    </row>
    <row r="19" spans="1:4" s="198" customFormat="1">
      <c r="A19" s="196">
        <v>4</v>
      </c>
      <c r="B19" s="195" t="s">
        <v>22</v>
      </c>
      <c r="C19" s="220">
        <f>C7+C11+C12+C13+C15</f>
        <v>7.9223228322578165E-2</v>
      </c>
      <c r="D19" s="612">
        <f>C19*'5. RWA'!$C$13</f>
        <v>3138306.0333923991</v>
      </c>
    </row>
    <row r="20" spans="1:4" s="198" customFormat="1">
      <c r="A20" s="196">
        <v>5</v>
      </c>
      <c r="B20" s="195" t="s">
        <v>75</v>
      </c>
      <c r="C20" s="220">
        <f>C8+C11+C12+C13+C16</f>
        <v>9.5656109360595751E-2</v>
      </c>
      <c r="D20" s="612">
        <f>C20*'5. RWA'!$C$13</f>
        <v>3789269.2773748785</v>
      </c>
    </row>
    <row r="21" spans="1:4" s="198" customFormat="1" ht="14.4" thickBot="1">
      <c r="A21" s="200" t="s">
        <v>364</v>
      </c>
      <c r="B21" s="201" t="s">
        <v>74</v>
      </c>
      <c r="C21" s="223">
        <f>C9+C11+C12+C13+C17</f>
        <v>0.11754147914746101</v>
      </c>
      <c r="D21" s="611">
        <f>C21*'5. RWA'!$C$13</f>
        <v>4656224.455791519</v>
      </c>
    </row>
    <row r="23" spans="1:4">
      <c r="B23" s="14"/>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Normal="100" workbookViewId="0">
      <selection activeCell="C3" sqref="C3"/>
    </sheetView>
  </sheetViews>
  <sheetFormatPr defaultRowHeight="14.4"/>
  <cols>
    <col min="1" max="1" width="107.109375" bestFit="1" customWidth="1"/>
    <col min="2" max="2" width="50.88671875" bestFit="1" customWidth="1"/>
    <col min="3" max="3" width="28.109375" bestFit="1" customWidth="1"/>
    <col min="4" max="7" width="28.109375" customWidth="1"/>
  </cols>
  <sheetData>
    <row r="1" spans="1:2">
      <c r="A1" s="481" t="s">
        <v>96</v>
      </c>
      <c r="B1" s="9" t="str">
        <f>Info!C2</f>
        <v>სს პეივ ბანკ ჯორჯია</v>
      </c>
    </row>
    <row r="2" spans="1:2">
      <c r="A2" s="481" t="s">
        <v>97</v>
      </c>
      <c r="B2" s="245">
        <f>'1. key ratios'!B2</f>
        <v>45930</v>
      </c>
    </row>
    <row r="3" spans="1:2">
      <c r="A3" s="482" t="s">
        <v>947</v>
      </c>
      <c r="B3" s="477" t="s">
        <v>918</v>
      </c>
    </row>
    <row r="4" spans="1:2" ht="15" thickBot="1"/>
    <row r="5" spans="1:2">
      <c r="A5" s="487"/>
      <c r="B5" s="488" t="s">
        <v>919</v>
      </c>
    </row>
    <row r="6" spans="1:2">
      <c r="A6" s="483" t="s">
        <v>920</v>
      </c>
      <c r="B6" s="489">
        <f>SUM(B7,B11)</f>
        <v>0</v>
      </c>
    </row>
    <row r="7" spans="1:2" ht="15.6">
      <c r="A7" s="483" t="s">
        <v>953</v>
      </c>
      <c r="B7" s="489">
        <f>SUM(B8:B10)</f>
        <v>0</v>
      </c>
    </row>
    <row r="8" spans="1:2">
      <c r="A8" s="484" t="s">
        <v>921</v>
      </c>
      <c r="B8" s="490"/>
    </row>
    <row r="9" spans="1:2">
      <c r="A9" s="484" t="s">
        <v>922</v>
      </c>
      <c r="B9" s="490"/>
    </row>
    <row r="10" spans="1:2">
      <c r="A10" s="484" t="s">
        <v>923</v>
      </c>
      <c r="B10" s="490"/>
    </row>
    <row r="11" spans="1:2">
      <c r="A11" s="483" t="s">
        <v>924</v>
      </c>
      <c r="B11" s="489">
        <f>SUM(B12:B13)</f>
        <v>0</v>
      </c>
    </row>
    <row r="12" spans="1:2" ht="15.6">
      <c r="A12" s="484" t="s">
        <v>954</v>
      </c>
      <c r="B12" s="490"/>
    </row>
    <row r="13" spans="1:2" ht="15.6">
      <c r="A13" s="484" t="s">
        <v>955</v>
      </c>
      <c r="B13" s="490"/>
    </row>
    <row r="14" spans="1:2">
      <c r="A14" s="483" t="s">
        <v>925</v>
      </c>
      <c r="B14" s="489">
        <f>SUM(B15:B16)</f>
        <v>0</v>
      </c>
    </row>
    <row r="15" spans="1:2">
      <c r="A15" s="485" t="s">
        <v>926</v>
      </c>
      <c r="B15" s="490"/>
    </row>
    <row r="16" spans="1:2">
      <c r="A16" s="485" t="s">
        <v>74</v>
      </c>
      <c r="B16" s="490"/>
    </row>
    <row r="17" spans="1:5">
      <c r="A17" s="483" t="s">
        <v>927</v>
      </c>
      <c r="B17" s="489"/>
    </row>
    <row r="18" spans="1:5">
      <c r="A18" s="485" t="s">
        <v>928</v>
      </c>
      <c r="B18" s="490"/>
    </row>
    <row r="19" spans="1:5">
      <c r="A19" s="485" t="s">
        <v>929</v>
      </c>
      <c r="B19" s="490"/>
    </row>
    <row r="20" spans="1:5">
      <c r="A20" s="483" t="s">
        <v>930</v>
      </c>
      <c r="B20" s="489"/>
    </row>
    <row r="21" spans="1:5">
      <c r="A21" s="486" t="s">
        <v>931</v>
      </c>
      <c r="B21" s="491"/>
    </row>
    <row r="22" spans="1:5">
      <c r="A22" s="486" t="s">
        <v>932</v>
      </c>
      <c r="B22" s="491"/>
    </row>
    <row r="23" spans="1:5" ht="15" thickBot="1">
      <c r="A23" s="492" t="s">
        <v>933</v>
      </c>
      <c r="B23" s="493">
        <f>IFERROR(B6/B14,0)</f>
        <v>0</v>
      </c>
    </row>
    <row r="24" spans="1:5" ht="16.5" customHeight="1">
      <c r="A24" s="480" t="s">
        <v>956</v>
      </c>
      <c r="B24" s="478"/>
      <c r="C24" s="478"/>
      <c r="D24" s="478"/>
      <c r="E24" s="478"/>
    </row>
    <row r="25" spans="1:5" ht="25.5" customHeight="1">
      <c r="A25" s="480" t="s">
        <v>957</v>
      </c>
    </row>
    <row r="26" spans="1:5" ht="57" customHeight="1">
      <c r="A26" s="480" t="s">
        <v>958</v>
      </c>
    </row>
    <row r="27" spans="1:5">
      <c r="A27" s="479"/>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Normal="100" workbookViewId="0">
      <selection activeCell="A2" sqref="A2"/>
    </sheetView>
  </sheetViews>
  <sheetFormatPr defaultRowHeight="14.4"/>
  <cols>
    <col min="1" max="1" width="82" customWidth="1"/>
    <col min="2" max="2" width="28.109375" bestFit="1" customWidth="1"/>
    <col min="3" max="6" width="28.109375" customWidth="1"/>
  </cols>
  <sheetData>
    <row r="1" spans="1:6">
      <c r="A1" s="481" t="s">
        <v>96</v>
      </c>
      <c r="B1" s="9" t="str">
        <f>Info!C2</f>
        <v>სს პეივ ბანკ ჯორჯია</v>
      </c>
      <c r="C1" s="1"/>
    </row>
    <row r="2" spans="1:6">
      <c r="A2" s="481" t="s">
        <v>97</v>
      </c>
      <c r="B2" s="245">
        <f>'1. key ratios'!B2</f>
        <v>45930</v>
      </c>
      <c r="C2" s="1"/>
    </row>
    <row r="3" spans="1:6">
      <c r="A3" s="482" t="s">
        <v>948</v>
      </c>
      <c r="B3" s="477" t="s">
        <v>918</v>
      </c>
      <c r="C3" s="1"/>
    </row>
    <row r="5" spans="1:6">
      <c r="A5" s="479"/>
    </row>
    <row r="6" spans="1:6" ht="15" thickBot="1">
      <c r="A6" s="494"/>
      <c r="B6" s="494"/>
      <c r="C6" s="494"/>
      <c r="D6" s="494"/>
      <c r="E6" s="494"/>
      <c r="F6" s="494"/>
    </row>
    <row r="7" spans="1:6">
      <c r="A7" s="702"/>
      <c r="B7" s="704" t="s">
        <v>934</v>
      </c>
      <c r="C7" s="704"/>
      <c r="D7" s="704"/>
      <c r="E7" s="704"/>
      <c r="F7" s="705" t="s">
        <v>935</v>
      </c>
    </row>
    <row r="8" spans="1:6" ht="27.6">
      <c r="A8" s="703"/>
      <c r="B8" s="495" t="s">
        <v>936</v>
      </c>
      <c r="C8" s="495" t="s">
        <v>937</v>
      </c>
      <c r="D8" s="495" t="s">
        <v>938</v>
      </c>
      <c r="E8" s="495" t="s">
        <v>939</v>
      </c>
      <c r="F8" s="706"/>
    </row>
    <row r="9" spans="1:6">
      <c r="A9" s="496" t="s">
        <v>940</v>
      </c>
      <c r="B9" s="497">
        <f>B13+B17</f>
        <v>0</v>
      </c>
      <c r="C9" s="497">
        <f t="shared" ref="C9:E9" si="0">C13+C17</f>
        <v>0</v>
      </c>
      <c r="D9" s="497">
        <f t="shared" si="0"/>
        <v>0</v>
      </c>
      <c r="E9" s="497">
        <f t="shared" si="0"/>
        <v>0</v>
      </c>
      <c r="F9" s="498">
        <f>F13+F17</f>
        <v>0</v>
      </c>
    </row>
    <row r="10" spans="1:6">
      <c r="A10" s="499" t="s">
        <v>941</v>
      </c>
      <c r="B10" s="500">
        <f t="shared" ref="B10:E12" si="1">B14+B18</f>
        <v>0</v>
      </c>
      <c r="C10" s="500">
        <f t="shared" si="1"/>
        <v>0</v>
      </c>
      <c r="D10" s="500">
        <f t="shared" si="1"/>
        <v>0</v>
      </c>
      <c r="E10" s="500">
        <f t="shared" si="1"/>
        <v>0</v>
      </c>
      <c r="F10" s="498">
        <f>SUM(B10:E10)</f>
        <v>0</v>
      </c>
    </row>
    <row r="11" spans="1:6">
      <c r="A11" s="499" t="s">
        <v>942</v>
      </c>
      <c r="B11" s="500">
        <f t="shared" si="1"/>
        <v>0</v>
      </c>
      <c r="C11" s="500">
        <f t="shared" si="1"/>
        <v>0</v>
      </c>
      <c r="D11" s="500">
        <f t="shared" si="1"/>
        <v>0</v>
      </c>
      <c r="E11" s="500">
        <f t="shared" si="1"/>
        <v>0</v>
      </c>
      <c r="F11" s="498">
        <f t="shared" ref="F11:F12" si="2">SUM(B11:E11)</f>
        <v>0</v>
      </c>
    </row>
    <row r="12" spans="1:6">
      <c r="A12" s="501" t="s">
        <v>943</v>
      </c>
      <c r="B12" s="500">
        <f t="shared" si="1"/>
        <v>0</v>
      </c>
      <c r="C12" s="500">
        <f t="shared" si="1"/>
        <v>0</v>
      </c>
      <c r="D12" s="500">
        <f t="shared" si="1"/>
        <v>0</v>
      </c>
      <c r="E12" s="500">
        <f t="shared" si="1"/>
        <v>0</v>
      </c>
      <c r="F12" s="498">
        <f t="shared" si="2"/>
        <v>0</v>
      </c>
    </row>
    <row r="13" spans="1:6">
      <c r="A13" s="502" t="s">
        <v>944</v>
      </c>
      <c r="B13" s="503"/>
      <c r="C13" s="503"/>
      <c r="D13" s="503"/>
      <c r="E13" s="503"/>
      <c r="F13" s="504"/>
    </row>
    <row r="14" spans="1:6">
      <c r="A14" s="499" t="s">
        <v>941</v>
      </c>
      <c r="B14" s="505"/>
      <c r="C14" s="505"/>
      <c r="D14" s="505"/>
      <c r="E14" s="505"/>
      <c r="F14" s="506"/>
    </row>
    <row r="15" spans="1:6">
      <c r="A15" s="499" t="s">
        <v>942</v>
      </c>
      <c r="B15" s="505"/>
      <c r="C15" s="505"/>
      <c r="D15" s="505"/>
      <c r="E15" s="505"/>
      <c r="F15" s="506"/>
    </row>
    <row r="16" spans="1:6">
      <c r="A16" s="501" t="s">
        <v>943</v>
      </c>
      <c r="B16" s="505"/>
      <c r="C16" s="505"/>
      <c r="D16" s="505"/>
      <c r="E16" s="505"/>
      <c r="F16" s="506"/>
    </row>
    <row r="17" spans="1:6">
      <c r="A17" s="502" t="s">
        <v>924</v>
      </c>
      <c r="B17" s="503"/>
      <c r="C17" s="503"/>
      <c r="D17" s="503"/>
      <c r="E17" s="503"/>
      <c r="F17" s="506"/>
    </row>
    <row r="18" spans="1:6">
      <c r="A18" s="499" t="s">
        <v>941</v>
      </c>
      <c r="B18" s="505"/>
      <c r="C18" s="505"/>
      <c r="D18" s="505"/>
      <c r="E18" s="505"/>
      <c r="F18" s="506"/>
    </row>
    <row r="19" spans="1:6">
      <c r="A19" s="499" t="s">
        <v>942</v>
      </c>
      <c r="B19" s="505"/>
      <c r="C19" s="505"/>
      <c r="D19" s="505"/>
      <c r="E19" s="505"/>
      <c r="F19" s="506"/>
    </row>
    <row r="20" spans="1:6" ht="15" thickBot="1">
      <c r="A20" s="507" t="s">
        <v>943</v>
      </c>
      <c r="B20" s="508"/>
      <c r="C20" s="508"/>
      <c r="D20" s="508"/>
      <c r="E20" s="508"/>
      <c r="F20" s="509"/>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E68"/>
  <sheetViews>
    <sheetView zoomScale="80" zoomScaleNormal="80" workbookViewId="0">
      <pane xSplit="1" ySplit="5" topLeftCell="B51" activePane="bottomRight" state="frozen"/>
      <selection pane="topRight" activeCell="B1" sqref="B1"/>
      <selection pane="bottomLeft" activeCell="A5" sqref="A5"/>
      <selection pane="bottomRight" activeCell="G71" sqref="G71"/>
    </sheetView>
  </sheetViews>
  <sheetFormatPr defaultRowHeight="14.4"/>
  <cols>
    <col min="1" max="1" width="10.88671875" style="28" customWidth="1"/>
    <col min="2" max="2" width="91.88671875" style="28" customWidth="1"/>
    <col min="3" max="3" width="53.109375" style="28" customWidth="1"/>
    <col min="4" max="4" width="32.109375" style="28" customWidth="1"/>
  </cols>
  <sheetData>
    <row r="1" spans="1:5">
      <c r="A1" s="10" t="s">
        <v>96</v>
      </c>
      <c r="B1" s="11" t="str">
        <f>Info!C2</f>
        <v>სს პეივ ბანკ ჯორჯია</v>
      </c>
      <c r="E1" s="1"/>
    </row>
    <row r="2" spans="1:5" s="10" customFormat="1" ht="15.75" customHeight="1">
      <c r="A2" s="10" t="s">
        <v>97</v>
      </c>
      <c r="B2" s="245">
        <f>'1. key ratios'!B2</f>
        <v>45930</v>
      </c>
    </row>
    <row r="3" spans="1:5" s="10" customFormat="1" ht="15.75" customHeight="1">
      <c r="A3" s="16"/>
    </row>
    <row r="4" spans="1:5" s="10" customFormat="1" ht="15.75" customHeight="1" thickBot="1">
      <c r="A4" s="10" t="s">
        <v>246</v>
      </c>
      <c r="B4" s="106" t="s">
        <v>160</v>
      </c>
      <c r="D4" s="108" t="s">
        <v>76</v>
      </c>
    </row>
    <row r="5" spans="1:5" ht="27.6">
      <c r="A5" s="72" t="s">
        <v>25</v>
      </c>
      <c r="B5" s="73" t="s">
        <v>132</v>
      </c>
      <c r="C5" s="74" t="s">
        <v>825</v>
      </c>
      <c r="D5" s="107" t="s">
        <v>161</v>
      </c>
    </row>
    <row r="6" spans="1:5">
      <c r="A6" s="861">
        <v>1</v>
      </c>
      <c r="B6" s="597" t="s">
        <v>810</v>
      </c>
      <c r="C6" s="896">
        <f>SUM(C7:C9)</f>
        <v>53340607.230000004</v>
      </c>
      <c r="D6" s="897"/>
    </row>
    <row r="7" spans="1:5">
      <c r="A7" s="898">
        <v>1.1000000000000001</v>
      </c>
      <c r="B7" s="601" t="s">
        <v>85</v>
      </c>
      <c r="C7" s="331">
        <f>'2. SOFP'!E8</f>
        <v>0</v>
      </c>
      <c r="D7" s="68"/>
    </row>
    <row r="8" spans="1:5">
      <c r="A8" s="898">
        <v>1.2</v>
      </c>
      <c r="B8" s="601" t="s">
        <v>86</v>
      </c>
      <c r="C8" s="331">
        <f>'2. SOFP'!E9</f>
        <v>32795751.949999999</v>
      </c>
      <c r="D8" s="68"/>
    </row>
    <row r="9" spans="1:5">
      <c r="A9" s="898">
        <v>1.3</v>
      </c>
      <c r="B9" s="601" t="s">
        <v>87</v>
      </c>
      <c r="C9" s="331">
        <f>'2. SOFP'!E10</f>
        <v>20544855.280000001</v>
      </c>
      <c r="D9" s="68"/>
    </row>
    <row r="10" spans="1:5">
      <c r="A10" s="898">
        <v>2</v>
      </c>
      <c r="B10" s="602" t="s">
        <v>697</v>
      </c>
      <c r="C10" s="331">
        <f>'2. SOFP'!E11</f>
        <v>0</v>
      </c>
      <c r="D10" s="68"/>
    </row>
    <row r="11" spans="1:5">
      <c r="A11" s="898">
        <v>2.1</v>
      </c>
      <c r="B11" s="603" t="s">
        <v>698</v>
      </c>
      <c r="C11" s="331">
        <f>'2. SOFP'!E12</f>
        <v>0</v>
      </c>
      <c r="D11" s="69"/>
    </row>
    <row r="12" spans="1:5" ht="23.4" customHeight="1">
      <c r="A12" s="898">
        <v>3</v>
      </c>
      <c r="B12" s="303" t="s">
        <v>699</v>
      </c>
      <c r="C12" s="331">
        <f>'2. SOFP'!E13</f>
        <v>0</v>
      </c>
      <c r="D12" s="69"/>
    </row>
    <row r="13" spans="1:5" ht="23.1" customHeight="1">
      <c r="A13" s="898">
        <v>4</v>
      </c>
      <c r="B13" s="304" t="s">
        <v>700</v>
      </c>
      <c r="C13" s="331">
        <f>'2. SOFP'!E14</f>
        <v>0</v>
      </c>
      <c r="D13" s="69"/>
    </row>
    <row r="14" spans="1:5">
      <c r="A14" s="898">
        <v>5</v>
      </c>
      <c r="B14" s="304" t="s">
        <v>701</v>
      </c>
      <c r="C14" s="332">
        <f>SUM(C15:C17)</f>
        <v>0</v>
      </c>
      <c r="D14" s="69"/>
    </row>
    <row r="15" spans="1:5">
      <c r="A15" s="898">
        <v>5.0999999999999996</v>
      </c>
      <c r="B15" s="305" t="s">
        <v>702</v>
      </c>
      <c r="C15" s="331">
        <f>'2. SOFP'!E16</f>
        <v>0</v>
      </c>
      <c r="D15" s="69"/>
    </row>
    <row r="16" spans="1:5">
      <c r="A16" s="898">
        <v>5.2</v>
      </c>
      <c r="B16" s="305" t="s">
        <v>537</v>
      </c>
      <c r="C16" s="331">
        <f>'2. SOFP'!E17</f>
        <v>0</v>
      </c>
      <c r="D16" s="68"/>
    </row>
    <row r="17" spans="1:4">
      <c r="A17" s="898">
        <v>5.3</v>
      </c>
      <c r="B17" s="305" t="s">
        <v>703</v>
      </c>
      <c r="C17" s="331">
        <f>'2. SOFP'!E18</f>
        <v>0</v>
      </c>
      <c r="D17" s="68"/>
    </row>
    <row r="18" spans="1:4">
      <c r="A18" s="898">
        <v>6</v>
      </c>
      <c r="B18" s="303" t="s">
        <v>704</v>
      </c>
      <c r="C18" s="333">
        <f>SUM(C19:C20)</f>
        <v>24619763.620000005</v>
      </c>
      <c r="D18" s="68"/>
    </row>
    <row r="19" spans="1:4">
      <c r="A19" s="898">
        <v>6.1</v>
      </c>
      <c r="B19" s="305" t="s">
        <v>537</v>
      </c>
      <c r="C19" s="331">
        <f>'2. SOFP'!E20</f>
        <v>24619763.620000005</v>
      </c>
      <c r="D19" s="68"/>
    </row>
    <row r="20" spans="1:4">
      <c r="A20" s="898">
        <v>6.2</v>
      </c>
      <c r="B20" s="305" t="s">
        <v>703</v>
      </c>
      <c r="C20" s="331">
        <f>'2. SOFP'!E21</f>
        <v>0</v>
      </c>
      <c r="D20" s="68"/>
    </row>
    <row r="21" spans="1:4">
      <c r="A21" s="898">
        <v>7</v>
      </c>
      <c r="B21" s="306" t="s">
        <v>705</v>
      </c>
      <c r="C21" s="331">
        <f>'2. SOFP'!E22</f>
        <v>0</v>
      </c>
      <c r="D21" s="68"/>
    </row>
    <row r="22" spans="1:4">
      <c r="A22" s="898">
        <v>8</v>
      </c>
      <c r="B22" s="307" t="s">
        <v>706</v>
      </c>
      <c r="C22" s="331">
        <f>'2. SOFP'!E23</f>
        <v>0</v>
      </c>
      <c r="D22" s="68"/>
    </row>
    <row r="23" spans="1:4">
      <c r="A23" s="898">
        <v>9</v>
      </c>
      <c r="B23" s="304" t="s">
        <v>707</v>
      </c>
      <c r="C23" s="333">
        <f>SUM(C24:C25)</f>
        <v>19459.38</v>
      </c>
      <c r="D23" s="330"/>
    </row>
    <row r="24" spans="1:4">
      <c r="A24" s="898">
        <v>9.1</v>
      </c>
      <c r="B24" s="308" t="s">
        <v>708</v>
      </c>
      <c r="C24" s="331">
        <f>'2. SOFP'!E25</f>
        <v>19459.38</v>
      </c>
      <c r="D24" s="70"/>
    </row>
    <row r="25" spans="1:4">
      <c r="A25" s="898">
        <v>9.1999999999999993</v>
      </c>
      <c r="B25" s="308" t="s">
        <v>709</v>
      </c>
      <c r="C25" s="331">
        <f>'2. SOFP'!E26</f>
        <v>0</v>
      </c>
      <c r="D25" s="899"/>
    </row>
    <row r="26" spans="1:4">
      <c r="A26" s="898">
        <v>10</v>
      </c>
      <c r="B26" s="304" t="s">
        <v>36</v>
      </c>
      <c r="C26" s="334">
        <f>SUM(C27:C28)</f>
        <v>252640.53</v>
      </c>
      <c r="D26" s="474" t="s">
        <v>902</v>
      </c>
    </row>
    <row r="27" spans="1:4">
      <c r="A27" s="898">
        <v>10.1</v>
      </c>
      <c r="B27" s="308" t="s">
        <v>710</v>
      </c>
      <c r="C27" s="331">
        <f>'2. SOFP'!E28</f>
        <v>0</v>
      </c>
      <c r="D27" s="68"/>
    </row>
    <row r="28" spans="1:4">
      <c r="A28" s="898">
        <v>10.199999999999999</v>
      </c>
      <c r="B28" s="308" t="s">
        <v>711</v>
      </c>
      <c r="C28" s="331">
        <f>'2. SOFP'!E29</f>
        <v>252640.53</v>
      </c>
      <c r="D28" s="68"/>
    </row>
    <row r="29" spans="1:4">
      <c r="A29" s="898">
        <v>11</v>
      </c>
      <c r="B29" s="304" t="s">
        <v>712</v>
      </c>
      <c r="C29" s="333">
        <f>SUM(C30:C31)</f>
        <v>0</v>
      </c>
      <c r="D29" s="68"/>
    </row>
    <row r="30" spans="1:4">
      <c r="A30" s="898">
        <v>11.1</v>
      </c>
      <c r="B30" s="308" t="s">
        <v>713</v>
      </c>
      <c r="C30" s="331">
        <f>'2. SOFP'!E31</f>
        <v>0</v>
      </c>
      <c r="D30" s="68"/>
    </row>
    <row r="31" spans="1:4">
      <c r="A31" s="898">
        <v>11.2</v>
      </c>
      <c r="B31" s="308" t="s">
        <v>714</v>
      </c>
      <c r="C31" s="331">
        <f>'2. SOFP'!E32</f>
        <v>0</v>
      </c>
      <c r="D31" s="68"/>
    </row>
    <row r="32" spans="1:4">
      <c r="A32" s="898">
        <v>13</v>
      </c>
      <c r="B32" s="304" t="s">
        <v>88</v>
      </c>
      <c r="C32" s="331">
        <f>'2. SOFP'!E33</f>
        <v>3833381.3299999996</v>
      </c>
      <c r="D32" s="68"/>
    </row>
    <row r="33" spans="1:4">
      <c r="A33" s="898">
        <v>13.1</v>
      </c>
      <c r="B33" s="606" t="s">
        <v>715</v>
      </c>
      <c r="C33" s="331">
        <f>'2. SOFP'!E34</f>
        <v>0</v>
      </c>
      <c r="D33" s="68"/>
    </row>
    <row r="34" spans="1:4">
      <c r="A34" s="898">
        <v>13.2</v>
      </c>
      <c r="B34" s="606" t="s">
        <v>716</v>
      </c>
      <c r="C34" s="331">
        <f>'2. SOFP'!E35</f>
        <v>0</v>
      </c>
      <c r="D34" s="70"/>
    </row>
    <row r="35" spans="1:4">
      <c r="A35" s="898">
        <v>14</v>
      </c>
      <c r="B35" s="516" t="s">
        <v>717</v>
      </c>
      <c r="C35" s="335">
        <f>SUM(C6,C10,C12,C13,C14,C18,C21,C22,C23,C26,C29,C32)</f>
        <v>82065852.090000004</v>
      </c>
      <c r="D35" s="70"/>
    </row>
    <row r="36" spans="1:4">
      <c r="A36" s="898"/>
      <c r="B36" s="867" t="s">
        <v>93</v>
      </c>
      <c r="C36" s="143"/>
      <c r="D36" s="71"/>
    </row>
    <row r="37" spans="1:4">
      <c r="A37" s="898">
        <v>15</v>
      </c>
      <c r="B37" s="309" t="s">
        <v>718</v>
      </c>
      <c r="C37" s="331">
        <f>'2. SOFP'!E38</f>
        <v>0</v>
      </c>
      <c r="D37" s="899"/>
    </row>
    <row r="38" spans="1:4">
      <c r="A38" s="898">
        <v>15.1</v>
      </c>
      <c r="B38" s="603" t="s">
        <v>698</v>
      </c>
      <c r="C38" s="331">
        <f>'2. SOFP'!E39</f>
        <v>0</v>
      </c>
      <c r="D38" s="68"/>
    </row>
    <row r="39" spans="1:4" ht="20.399999999999999">
      <c r="A39" s="898">
        <v>16</v>
      </c>
      <c r="B39" s="306" t="s">
        <v>719</v>
      </c>
      <c r="C39" s="331">
        <f>'2. SOFP'!E40</f>
        <v>0</v>
      </c>
      <c r="D39" s="68"/>
    </row>
    <row r="40" spans="1:4">
      <c r="A40" s="898">
        <v>17</v>
      </c>
      <c r="B40" s="306" t="s">
        <v>720</v>
      </c>
      <c r="C40" s="333">
        <f>SUM(C41:C44)</f>
        <v>64657004.169999987</v>
      </c>
      <c r="D40" s="68"/>
    </row>
    <row r="41" spans="1:4">
      <c r="A41" s="898">
        <v>17.100000000000001</v>
      </c>
      <c r="B41" s="310" t="s">
        <v>721</v>
      </c>
      <c r="C41" s="331">
        <f>'2. SOFP'!E42</f>
        <v>64654260.669999987</v>
      </c>
      <c r="D41" s="68"/>
    </row>
    <row r="42" spans="1:4">
      <c r="A42" s="900">
        <v>17.2</v>
      </c>
      <c r="B42" s="901" t="s">
        <v>89</v>
      </c>
      <c r="C42" s="331">
        <f>'2. SOFP'!E43</f>
        <v>2743.5</v>
      </c>
      <c r="D42" s="70"/>
    </row>
    <row r="43" spans="1:4">
      <c r="A43" s="898">
        <v>17.3</v>
      </c>
      <c r="B43" s="902" t="s">
        <v>722</v>
      </c>
      <c r="C43" s="331">
        <f>'2. SOFP'!E44</f>
        <v>0</v>
      </c>
      <c r="D43" s="903"/>
    </row>
    <row r="44" spans="1:4">
      <c r="A44" s="898">
        <v>17.399999999999999</v>
      </c>
      <c r="B44" s="902" t="s">
        <v>723</v>
      </c>
      <c r="C44" s="331">
        <f>'2. SOFP'!E45</f>
        <v>0</v>
      </c>
      <c r="D44" s="903"/>
    </row>
    <row r="45" spans="1:4">
      <c r="A45" s="898">
        <v>18</v>
      </c>
      <c r="B45" s="904" t="s">
        <v>724</v>
      </c>
      <c r="C45" s="331">
        <f>'2. SOFP'!E46</f>
        <v>0</v>
      </c>
      <c r="D45" s="903"/>
    </row>
    <row r="46" spans="1:4">
      <c r="A46" s="898">
        <v>19</v>
      </c>
      <c r="B46" s="904" t="s">
        <v>725</v>
      </c>
      <c r="C46" s="573">
        <f>SUM(C47:C48)</f>
        <v>12725.28</v>
      </c>
      <c r="D46" s="905"/>
    </row>
    <row r="47" spans="1:4">
      <c r="A47" s="898">
        <v>19.100000000000001</v>
      </c>
      <c r="B47" s="906" t="s">
        <v>726</v>
      </c>
      <c r="C47" s="331">
        <f>'2. SOFP'!E48</f>
        <v>12725.28</v>
      </c>
      <c r="D47" s="905"/>
    </row>
    <row r="48" spans="1:4">
      <c r="A48" s="898">
        <v>19.2</v>
      </c>
      <c r="B48" s="906" t="s">
        <v>727</v>
      </c>
      <c r="C48" s="331">
        <f>'2. SOFP'!E49</f>
        <v>0</v>
      </c>
      <c r="D48" s="905"/>
    </row>
    <row r="49" spans="1:4">
      <c r="A49" s="898">
        <v>20</v>
      </c>
      <c r="B49" s="516" t="s">
        <v>90</v>
      </c>
      <c r="C49" s="331">
        <f>'2. SOFP'!E50</f>
        <v>0</v>
      </c>
      <c r="D49" s="905"/>
    </row>
    <row r="50" spans="1:4">
      <c r="A50" s="898">
        <v>21</v>
      </c>
      <c r="B50" s="602" t="s">
        <v>78</v>
      </c>
      <c r="C50" s="331">
        <f>'2. SOFP'!E51</f>
        <v>9168239.2999999989</v>
      </c>
      <c r="D50" s="905"/>
    </row>
    <row r="51" spans="1:4">
      <c r="A51" s="898">
        <v>21.1</v>
      </c>
      <c r="B51" s="601" t="s">
        <v>728</v>
      </c>
      <c r="C51" s="331">
        <f>'2. SOFP'!E52</f>
        <v>0</v>
      </c>
      <c r="D51" s="905"/>
    </row>
    <row r="52" spans="1:4">
      <c r="A52" s="898">
        <v>22</v>
      </c>
      <c r="B52" s="516" t="s">
        <v>729</v>
      </c>
      <c r="C52" s="335">
        <f>SUM(C37,C39,C40,C45,C46,C49,C50)</f>
        <v>73837968.749999985</v>
      </c>
      <c r="D52" s="905"/>
    </row>
    <row r="53" spans="1:4">
      <c r="A53" s="898"/>
      <c r="B53" s="867" t="s">
        <v>730</v>
      </c>
      <c r="C53" s="907"/>
      <c r="D53" s="905"/>
    </row>
    <row r="54" spans="1:4">
      <c r="A54" s="898">
        <v>23</v>
      </c>
      <c r="B54" s="516" t="s">
        <v>959</v>
      </c>
      <c r="C54" s="331">
        <f>'2. SOFP'!E55</f>
        <v>8052000</v>
      </c>
      <c r="D54" s="905"/>
    </row>
    <row r="55" spans="1:4">
      <c r="A55" s="898">
        <v>24</v>
      </c>
      <c r="B55" s="516" t="s">
        <v>731</v>
      </c>
      <c r="C55" s="331">
        <f>'2. SOFP'!E56</f>
        <v>0</v>
      </c>
      <c r="D55" s="905"/>
    </row>
    <row r="56" spans="1:4">
      <c r="A56" s="898">
        <v>25</v>
      </c>
      <c r="B56" s="516" t="s">
        <v>91</v>
      </c>
      <c r="C56" s="331">
        <f>'2. SOFP'!E57</f>
        <v>0</v>
      </c>
      <c r="D56" s="905"/>
    </row>
    <row r="57" spans="1:4">
      <c r="A57" s="898">
        <v>26</v>
      </c>
      <c r="B57" s="904" t="s">
        <v>732</v>
      </c>
      <c r="C57" s="331">
        <f>'2. SOFP'!E58</f>
        <v>0</v>
      </c>
      <c r="D57" s="905"/>
    </row>
    <row r="58" spans="1:4">
      <c r="A58" s="898">
        <v>27</v>
      </c>
      <c r="B58" s="904" t="s">
        <v>733</v>
      </c>
      <c r="C58" s="574">
        <f>SUM(C59:C60)</f>
        <v>0</v>
      </c>
      <c r="D58" s="905"/>
    </row>
    <row r="59" spans="1:4">
      <c r="A59" s="898">
        <v>27.1</v>
      </c>
      <c r="B59" s="906" t="s">
        <v>734</v>
      </c>
      <c r="C59" s="331">
        <f>'2. SOFP'!E60</f>
        <v>0</v>
      </c>
      <c r="D59" s="905"/>
    </row>
    <row r="60" spans="1:4">
      <c r="A60" s="898">
        <v>27.2</v>
      </c>
      <c r="B60" s="902" t="s">
        <v>735</v>
      </c>
      <c r="C60" s="331">
        <f>'2. SOFP'!E61</f>
        <v>0</v>
      </c>
      <c r="D60" s="905"/>
    </row>
    <row r="61" spans="1:4">
      <c r="A61" s="898">
        <v>28</v>
      </c>
      <c r="B61" s="602" t="s">
        <v>736</v>
      </c>
      <c r="C61" s="331">
        <f>'2. SOFP'!E62</f>
        <v>0</v>
      </c>
      <c r="D61" s="905"/>
    </row>
    <row r="62" spans="1:4">
      <c r="A62" s="898">
        <v>29</v>
      </c>
      <c r="B62" s="904" t="s">
        <v>737</v>
      </c>
      <c r="C62" s="574">
        <f>SUM(C63:C65)</f>
        <v>0</v>
      </c>
      <c r="D62" s="905"/>
    </row>
    <row r="63" spans="1:4">
      <c r="A63" s="898">
        <v>29.1</v>
      </c>
      <c r="B63" s="908" t="s">
        <v>738</v>
      </c>
      <c r="C63" s="331">
        <f>'2. SOFP'!E64</f>
        <v>0</v>
      </c>
      <c r="D63" s="905"/>
    </row>
    <row r="64" spans="1:4" ht="24" customHeight="1">
      <c r="A64" s="898">
        <v>29.2</v>
      </c>
      <c r="B64" s="906" t="s">
        <v>739</v>
      </c>
      <c r="C64" s="331">
        <f>'2. SOFP'!E65</f>
        <v>0</v>
      </c>
      <c r="D64" s="905"/>
    </row>
    <row r="65" spans="1:4" ht="21.9" customHeight="1">
      <c r="A65" s="898">
        <v>29.3</v>
      </c>
      <c r="B65" s="909" t="s">
        <v>740</v>
      </c>
      <c r="C65" s="331">
        <f>'2. SOFP'!E66</f>
        <v>0</v>
      </c>
      <c r="D65" s="905"/>
    </row>
    <row r="66" spans="1:4">
      <c r="A66" s="898">
        <v>30</v>
      </c>
      <c r="B66" s="904" t="s">
        <v>92</v>
      </c>
      <c r="C66" s="331">
        <f>'2. SOFP'!E67</f>
        <v>175883.34000000276</v>
      </c>
      <c r="D66" s="905"/>
    </row>
    <row r="67" spans="1:4">
      <c r="A67" s="898">
        <v>31</v>
      </c>
      <c r="B67" s="868" t="s">
        <v>741</v>
      </c>
      <c r="C67" s="335">
        <f>SUM(C54,C55,C56,C57,C58,C61,C62,C66)</f>
        <v>8227883.3400000026</v>
      </c>
      <c r="D67" s="905"/>
    </row>
    <row r="68" spans="1:4" ht="15" thickBot="1">
      <c r="A68" s="869">
        <v>32</v>
      </c>
      <c r="B68" s="870" t="s">
        <v>742</v>
      </c>
      <c r="C68" s="910">
        <f>SUM(C52,C67)</f>
        <v>82065852.089999989</v>
      </c>
      <c r="D68" s="911"/>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22"/>
  <sheetViews>
    <sheetView zoomScale="80" zoomScaleNormal="80" workbookViewId="0">
      <pane xSplit="2" ySplit="7" topLeftCell="C8" activePane="bottomRight" state="frozen"/>
      <selection pane="topRight" activeCell="C1" sqref="C1"/>
      <selection pane="bottomLeft" activeCell="A8" sqref="A8"/>
      <selection pane="bottomRight"/>
    </sheetView>
  </sheetViews>
  <sheetFormatPr defaultColWidth="9.109375" defaultRowHeight="13.8"/>
  <cols>
    <col min="1" max="1" width="10.44140625" style="1" bestFit="1" customWidth="1"/>
    <col min="2" max="2" width="97" style="1" bestFit="1" customWidth="1"/>
    <col min="3" max="3" width="13.5546875" style="1" bestFit="1" customWidth="1"/>
    <col min="4" max="4" width="13.21875" style="1" bestFit="1" customWidth="1"/>
    <col min="5" max="5" width="13.5546875" style="1" bestFit="1" customWidth="1"/>
    <col min="6" max="6" width="13.21875" style="1" bestFit="1" customWidth="1"/>
    <col min="7" max="7" width="9.5546875" style="1" bestFit="1" customWidth="1"/>
    <col min="8" max="8" width="13.21875" style="1" bestFit="1" customWidth="1"/>
    <col min="9" max="9" width="12.44140625" style="1" bestFit="1" customWidth="1"/>
    <col min="10" max="10" width="13.21875" style="1" bestFit="1" customWidth="1"/>
    <col min="11" max="11" width="9.5546875" style="1" bestFit="1" customWidth="1"/>
    <col min="12" max="12" width="13.21875" style="1" bestFit="1" customWidth="1"/>
    <col min="13" max="13" width="13.5546875" style="1" bestFit="1" customWidth="1"/>
    <col min="14" max="14" width="13.21875" style="1" bestFit="1" customWidth="1"/>
    <col min="15" max="15" width="9.5546875" style="1" bestFit="1" customWidth="1"/>
    <col min="16" max="16" width="13.21875" style="1" bestFit="1" customWidth="1"/>
    <col min="17" max="17" width="9.5546875" style="1" bestFit="1" customWidth="1"/>
    <col min="18" max="18" width="13.21875" style="1" bestFit="1" customWidth="1"/>
    <col min="19" max="19" width="31.5546875" style="1" bestFit="1" customWidth="1"/>
    <col min="20" max="16384" width="9.109375" style="5"/>
  </cols>
  <sheetData>
    <row r="1" spans="1:19">
      <c r="A1" s="1" t="s">
        <v>96</v>
      </c>
      <c r="B1" s="1" t="str">
        <f>Info!C2</f>
        <v>სს პეივ ბანკ ჯორჯია</v>
      </c>
    </row>
    <row r="2" spans="1:19">
      <c r="A2" s="1" t="s">
        <v>97</v>
      </c>
      <c r="B2" s="245">
        <f>'1. key ratios'!B2</f>
        <v>45930</v>
      </c>
    </row>
    <row r="4" spans="1:19" ht="28.2" thickBot="1">
      <c r="A4" s="27" t="s">
        <v>247</v>
      </c>
      <c r="B4" s="159" t="s">
        <v>281</v>
      </c>
    </row>
    <row r="5" spans="1:19">
      <c r="A5" s="58"/>
      <c r="B5" s="60"/>
      <c r="C5" s="53" t="s">
        <v>0</v>
      </c>
      <c r="D5" s="53" t="s">
        <v>1</v>
      </c>
      <c r="E5" s="53" t="s">
        <v>2</v>
      </c>
      <c r="F5" s="53" t="s">
        <v>3</v>
      </c>
      <c r="G5" s="53" t="s">
        <v>4</v>
      </c>
      <c r="H5" s="53" t="s">
        <v>5</v>
      </c>
      <c r="I5" s="53" t="s">
        <v>133</v>
      </c>
      <c r="J5" s="53" t="s">
        <v>134</v>
      </c>
      <c r="K5" s="53" t="s">
        <v>135</v>
      </c>
      <c r="L5" s="53" t="s">
        <v>136</v>
      </c>
      <c r="M5" s="53" t="s">
        <v>137</v>
      </c>
      <c r="N5" s="53" t="s">
        <v>138</v>
      </c>
      <c r="O5" s="53" t="s">
        <v>268</v>
      </c>
      <c r="P5" s="53" t="s">
        <v>269</v>
      </c>
      <c r="Q5" s="53" t="s">
        <v>270</v>
      </c>
      <c r="R5" s="152" t="s">
        <v>271</v>
      </c>
      <c r="S5" s="54" t="s">
        <v>272</v>
      </c>
    </row>
    <row r="6" spans="1:19" ht="46.5" customHeight="1">
      <c r="A6" s="75"/>
      <c r="B6" s="711" t="s">
        <v>273</v>
      </c>
      <c r="C6" s="709">
        <v>0</v>
      </c>
      <c r="D6" s="710"/>
      <c r="E6" s="709">
        <v>0.2</v>
      </c>
      <c r="F6" s="710"/>
      <c r="G6" s="709">
        <v>0.35</v>
      </c>
      <c r="H6" s="710"/>
      <c r="I6" s="709">
        <v>0.5</v>
      </c>
      <c r="J6" s="710"/>
      <c r="K6" s="709">
        <v>0.75</v>
      </c>
      <c r="L6" s="710"/>
      <c r="M6" s="709">
        <v>1</v>
      </c>
      <c r="N6" s="710"/>
      <c r="O6" s="709">
        <v>1.5</v>
      </c>
      <c r="P6" s="710"/>
      <c r="Q6" s="709">
        <v>2.5</v>
      </c>
      <c r="R6" s="710"/>
      <c r="S6" s="707" t="s">
        <v>144</v>
      </c>
    </row>
    <row r="7" spans="1:19">
      <c r="A7" s="75"/>
      <c r="B7" s="712"/>
      <c r="C7" s="158" t="s">
        <v>266</v>
      </c>
      <c r="D7" s="158" t="s">
        <v>267</v>
      </c>
      <c r="E7" s="158" t="s">
        <v>266</v>
      </c>
      <c r="F7" s="158" t="s">
        <v>267</v>
      </c>
      <c r="G7" s="158" t="s">
        <v>266</v>
      </c>
      <c r="H7" s="158" t="s">
        <v>267</v>
      </c>
      <c r="I7" s="158" t="s">
        <v>266</v>
      </c>
      <c r="J7" s="158" t="s">
        <v>267</v>
      </c>
      <c r="K7" s="158" t="s">
        <v>266</v>
      </c>
      <c r="L7" s="158" t="s">
        <v>267</v>
      </c>
      <c r="M7" s="158" t="s">
        <v>266</v>
      </c>
      <c r="N7" s="158" t="s">
        <v>267</v>
      </c>
      <c r="O7" s="158" t="s">
        <v>266</v>
      </c>
      <c r="P7" s="158" t="s">
        <v>267</v>
      </c>
      <c r="Q7" s="158" t="s">
        <v>266</v>
      </c>
      <c r="R7" s="158" t="s">
        <v>267</v>
      </c>
      <c r="S7" s="708"/>
    </row>
    <row r="8" spans="1:19">
      <c r="A8" s="57">
        <v>1</v>
      </c>
      <c r="B8" s="83" t="s">
        <v>122</v>
      </c>
      <c r="C8" s="614">
        <v>27924647.420000006</v>
      </c>
      <c r="D8" s="614">
        <v>0</v>
      </c>
      <c r="E8" s="614">
        <v>0</v>
      </c>
      <c r="F8" s="615">
        <v>0</v>
      </c>
      <c r="G8" s="614">
        <v>0</v>
      </c>
      <c r="H8" s="614">
        <v>0</v>
      </c>
      <c r="I8" s="614">
        <v>0</v>
      </c>
      <c r="J8" s="614">
        <v>0</v>
      </c>
      <c r="K8" s="614">
        <v>0</v>
      </c>
      <c r="L8" s="614">
        <v>0</v>
      </c>
      <c r="M8" s="614">
        <v>29490868.149999999</v>
      </c>
      <c r="N8" s="614">
        <v>0</v>
      </c>
      <c r="O8" s="614">
        <v>0</v>
      </c>
      <c r="P8" s="614">
        <v>0</v>
      </c>
      <c r="Q8" s="614">
        <v>0</v>
      </c>
      <c r="R8" s="615">
        <v>0</v>
      </c>
      <c r="S8" s="616">
        <f>$C$6*SUM(C8:D8)+$E$6*SUM(E8:F8)+$G$6*SUM(G8:H8)+$I$6*SUM(I8:J8)+$K$6*SUM(K8:L8)+$M$6*SUM(M8:N8)+$O$6*SUM(O8:P8)+$Q$6*SUM(Q8:R8)</f>
        <v>29490868.149999999</v>
      </c>
    </row>
    <row r="9" spans="1:19">
      <c r="A9" s="57">
        <v>2</v>
      </c>
      <c r="B9" s="83" t="s">
        <v>123</v>
      </c>
      <c r="C9" s="614">
        <v>0</v>
      </c>
      <c r="D9" s="614">
        <v>0</v>
      </c>
      <c r="E9" s="614">
        <v>0</v>
      </c>
      <c r="F9" s="614">
        <v>0</v>
      </c>
      <c r="G9" s="614">
        <v>0</v>
      </c>
      <c r="H9" s="614">
        <v>0</v>
      </c>
      <c r="I9" s="614">
        <v>0</v>
      </c>
      <c r="J9" s="614">
        <v>0</v>
      </c>
      <c r="K9" s="614">
        <v>0</v>
      </c>
      <c r="L9" s="614">
        <v>0</v>
      </c>
      <c r="M9" s="614">
        <v>0</v>
      </c>
      <c r="N9" s="614">
        <v>0</v>
      </c>
      <c r="O9" s="614">
        <v>0</v>
      </c>
      <c r="P9" s="614">
        <v>0</v>
      </c>
      <c r="Q9" s="614">
        <v>0</v>
      </c>
      <c r="R9" s="615">
        <v>0</v>
      </c>
      <c r="S9" s="616">
        <f t="shared" ref="S9:S21" si="0">$C$6*SUM(C9:D9)+$E$6*SUM(E9:F9)+$G$6*SUM(G9:H9)+$I$6*SUM(I9:J9)+$K$6*SUM(K9:L9)+$M$6*SUM(M9:N9)+$O$6*SUM(O9:P9)+$Q$6*SUM(Q9:R9)</f>
        <v>0</v>
      </c>
    </row>
    <row r="10" spans="1:19">
      <c r="A10" s="57">
        <v>3</v>
      </c>
      <c r="B10" s="83" t="s">
        <v>124</v>
      </c>
      <c r="C10" s="614">
        <v>0</v>
      </c>
      <c r="D10" s="614">
        <v>0</v>
      </c>
      <c r="E10" s="614">
        <v>0</v>
      </c>
      <c r="F10" s="614">
        <v>0</v>
      </c>
      <c r="G10" s="614">
        <v>0</v>
      </c>
      <c r="H10" s="614">
        <v>0</v>
      </c>
      <c r="I10" s="614">
        <v>0</v>
      </c>
      <c r="J10" s="614">
        <v>0</v>
      </c>
      <c r="K10" s="614">
        <v>0</v>
      </c>
      <c r="L10" s="614">
        <v>0</v>
      </c>
      <c r="M10" s="614">
        <v>0</v>
      </c>
      <c r="N10" s="614">
        <v>0</v>
      </c>
      <c r="O10" s="614">
        <v>0</v>
      </c>
      <c r="P10" s="614">
        <v>0</v>
      </c>
      <c r="Q10" s="614">
        <v>0</v>
      </c>
      <c r="R10" s="615">
        <v>0</v>
      </c>
      <c r="S10" s="616">
        <f t="shared" si="0"/>
        <v>0</v>
      </c>
    </row>
    <row r="11" spans="1:19">
      <c r="A11" s="57">
        <v>4</v>
      </c>
      <c r="B11" s="83" t="s">
        <v>125</v>
      </c>
      <c r="C11" s="614">
        <v>0</v>
      </c>
      <c r="D11" s="614">
        <v>0</v>
      </c>
      <c r="E11" s="614">
        <v>0</v>
      </c>
      <c r="F11" s="614">
        <v>0</v>
      </c>
      <c r="G11" s="614">
        <v>0</v>
      </c>
      <c r="H11" s="614">
        <v>0</v>
      </c>
      <c r="I11" s="614">
        <v>0</v>
      </c>
      <c r="J11" s="614">
        <v>0</v>
      </c>
      <c r="K11" s="614">
        <v>0</v>
      </c>
      <c r="L11" s="614">
        <v>0</v>
      </c>
      <c r="M11" s="614">
        <v>0</v>
      </c>
      <c r="N11" s="614">
        <v>0</v>
      </c>
      <c r="O11" s="614">
        <v>0</v>
      </c>
      <c r="P11" s="614">
        <v>0</v>
      </c>
      <c r="Q11" s="614">
        <v>0</v>
      </c>
      <c r="R11" s="615">
        <v>0</v>
      </c>
      <c r="S11" s="616">
        <f t="shared" si="0"/>
        <v>0</v>
      </c>
    </row>
    <row r="12" spans="1:19">
      <c r="A12" s="57">
        <v>5</v>
      </c>
      <c r="B12" s="83" t="s">
        <v>911</v>
      </c>
      <c r="C12" s="614">
        <v>0</v>
      </c>
      <c r="D12" s="614">
        <v>0</v>
      </c>
      <c r="E12" s="614">
        <v>0</v>
      </c>
      <c r="F12" s="614">
        <v>0</v>
      </c>
      <c r="G12" s="614">
        <v>0</v>
      </c>
      <c r="H12" s="614">
        <v>0</v>
      </c>
      <c r="I12" s="614">
        <v>0</v>
      </c>
      <c r="J12" s="614">
        <v>0</v>
      </c>
      <c r="K12" s="614">
        <v>0</v>
      </c>
      <c r="L12" s="614">
        <v>0</v>
      </c>
      <c r="M12" s="614">
        <v>0</v>
      </c>
      <c r="N12" s="614">
        <v>0</v>
      </c>
      <c r="O12" s="614">
        <v>0</v>
      </c>
      <c r="P12" s="614">
        <v>0</v>
      </c>
      <c r="Q12" s="614">
        <v>0</v>
      </c>
      <c r="R12" s="615">
        <v>0</v>
      </c>
      <c r="S12" s="616">
        <f t="shared" si="0"/>
        <v>0</v>
      </c>
    </row>
    <row r="13" spans="1:19">
      <c r="A13" s="57">
        <v>6</v>
      </c>
      <c r="B13" s="83" t="s">
        <v>126</v>
      </c>
      <c r="C13" s="614">
        <v>0</v>
      </c>
      <c r="D13" s="614">
        <v>0</v>
      </c>
      <c r="E13" s="614">
        <v>15107321.77</v>
      </c>
      <c r="F13" s="614">
        <v>0</v>
      </c>
      <c r="G13" s="614">
        <v>0</v>
      </c>
      <c r="H13" s="614">
        <v>0</v>
      </c>
      <c r="I13" s="614">
        <v>5396216.2999999998</v>
      </c>
      <c r="J13" s="614">
        <v>0</v>
      </c>
      <c r="K13" s="614">
        <v>0</v>
      </c>
      <c r="L13" s="614">
        <v>0</v>
      </c>
      <c r="M13" s="614">
        <v>41317.21</v>
      </c>
      <c r="N13" s="614">
        <v>0</v>
      </c>
      <c r="O13" s="614">
        <v>0</v>
      </c>
      <c r="P13" s="614">
        <v>0</v>
      </c>
      <c r="Q13" s="614">
        <v>0</v>
      </c>
      <c r="R13" s="615">
        <v>0</v>
      </c>
      <c r="S13" s="616">
        <f t="shared" si="0"/>
        <v>5760889.7140000006</v>
      </c>
    </row>
    <row r="14" spans="1:19">
      <c r="A14" s="57">
        <v>7</v>
      </c>
      <c r="B14" s="83" t="s">
        <v>71</v>
      </c>
      <c r="C14" s="614">
        <v>0</v>
      </c>
      <c r="D14" s="614">
        <v>0</v>
      </c>
      <c r="E14" s="614">
        <v>0</v>
      </c>
      <c r="F14" s="614">
        <v>0</v>
      </c>
      <c r="G14" s="614">
        <v>0</v>
      </c>
      <c r="H14" s="614">
        <v>0</v>
      </c>
      <c r="I14" s="614">
        <v>0</v>
      </c>
      <c r="J14" s="614">
        <v>0</v>
      </c>
      <c r="K14" s="614">
        <v>0</v>
      </c>
      <c r="L14" s="614">
        <v>0</v>
      </c>
      <c r="M14" s="614">
        <v>0</v>
      </c>
      <c r="N14" s="614">
        <v>0</v>
      </c>
      <c r="O14" s="614">
        <v>0</v>
      </c>
      <c r="P14" s="614">
        <v>0</v>
      </c>
      <c r="Q14" s="614">
        <v>0</v>
      </c>
      <c r="R14" s="615">
        <v>0</v>
      </c>
      <c r="S14" s="616">
        <f t="shared" si="0"/>
        <v>0</v>
      </c>
    </row>
    <row r="15" spans="1:19">
      <c r="A15" s="57">
        <v>8</v>
      </c>
      <c r="B15" s="83" t="s">
        <v>72</v>
      </c>
      <c r="C15" s="614">
        <v>0</v>
      </c>
      <c r="D15" s="614">
        <v>0</v>
      </c>
      <c r="E15" s="614">
        <v>0</v>
      </c>
      <c r="F15" s="614">
        <v>0</v>
      </c>
      <c r="G15" s="614">
        <v>0</v>
      </c>
      <c r="H15" s="614">
        <v>0</v>
      </c>
      <c r="I15" s="614">
        <v>0</v>
      </c>
      <c r="J15" s="614">
        <v>0</v>
      </c>
      <c r="K15" s="614">
        <v>0</v>
      </c>
      <c r="L15" s="614">
        <v>0</v>
      </c>
      <c r="M15" s="614">
        <v>0</v>
      </c>
      <c r="N15" s="614">
        <v>0</v>
      </c>
      <c r="O15" s="614">
        <v>0</v>
      </c>
      <c r="P15" s="614">
        <v>0</v>
      </c>
      <c r="Q15" s="614">
        <v>0</v>
      </c>
      <c r="R15" s="615">
        <v>0</v>
      </c>
      <c r="S15" s="616">
        <f t="shared" si="0"/>
        <v>0</v>
      </c>
    </row>
    <row r="16" spans="1:19">
      <c r="A16" s="57">
        <v>9</v>
      </c>
      <c r="B16" s="83" t="s">
        <v>912</v>
      </c>
      <c r="C16" s="614">
        <v>0</v>
      </c>
      <c r="D16" s="614">
        <v>0</v>
      </c>
      <c r="E16" s="614">
        <v>0</v>
      </c>
      <c r="F16" s="614">
        <v>0</v>
      </c>
      <c r="G16" s="614">
        <v>0</v>
      </c>
      <c r="H16" s="614">
        <v>0</v>
      </c>
      <c r="I16" s="614">
        <v>0</v>
      </c>
      <c r="J16" s="614">
        <v>0</v>
      </c>
      <c r="K16" s="614">
        <v>0</v>
      </c>
      <c r="L16" s="614">
        <v>0</v>
      </c>
      <c r="M16" s="614">
        <v>0</v>
      </c>
      <c r="N16" s="614">
        <v>0</v>
      </c>
      <c r="O16" s="614">
        <v>0</v>
      </c>
      <c r="P16" s="614">
        <v>0</v>
      </c>
      <c r="Q16" s="614">
        <v>0</v>
      </c>
      <c r="R16" s="615">
        <v>0</v>
      </c>
      <c r="S16" s="616">
        <f t="shared" si="0"/>
        <v>0</v>
      </c>
    </row>
    <row r="17" spans="1:19">
      <c r="A17" s="57">
        <v>10</v>
      </c>
      <c r="B17" s="83" t="s">
        <v>67</v>
      </c>
      <c r="C17" s="614">
        <v>0</v>
      </c>
      <c r="D17" s="614">
        <v>0</v>
      </c>
      <c r="E17" s="614">
        <v>0</v>
      </c>
      <c r="F17" s="614">
        <v>0</v>
      </c>
      <c r="G17" s="614">
        <v>0</v>
      </c>
      <c r="H17" s="614">
        <v>0</v>
      </c>
      <c r="I17" s="614">
        <v>0</v>
      </c>
      <c r="J17" s="614">
        <v>0</v>
      </c>
      <c r="K17" s="614">
        <v>0</v>
      </c>
      <c r="L17" s="614">
        <v>0</v>
      </c>
      <c r="M17" s="614">
        <v>0</v>
      </c>
      <c r="N17" s="614">
        <v>0</v>
      </c>
      <c r="O17" s="614">
        <v>0</v>
      </c>
      <c r="P17" s="614">
        <v>0</v>
      </c>
      <c r="Q17" s="614">
        <v>0</v>
      </c>
      <c r="R17" s="615">
        <v>0</v>
      </c>
      <c r="S17" s="616">
        <f t="shared" si="0"/>
        <v>0</v>
      </c>
    </row>
    <row r="18" spans="1:19">
      <c r="A18" s="57">
        <v>11</v>
      </c>
      <c r="B18" s="83" t="s">
        <v>68</v>
      </c>
      <c r="C18" s="614">
        <v>0</v>
      </c>
      <c r="D18" s="614">
        <v>0</v>
      </c>
      <c r="E18" s="614">
        <v>0</v>
      </c>
      <c r="F18" s="614">
        <v>0</v>
      </c>
      <c r="G18" s="614">
        <v>0</v>
      </c>
      <c r="H18" s="614">
        <v>0</v>
      </c>
      <c r="I18" s="614">
        <v>0</v>
      </c>
      <c r="J18" s="614">
        <v>0</v>
      </c>
      <c r="K18" s="614">
        <v>0</v>
      </c>
      <c r="L18" s="614">
        <v>0</v>
      </c>
      <c r="M18" s="614">
        <v>0</v>
      </c>
      <c r="N18" s="614">
        <v>0</v>
      </c>
      <c r="O18" s="614">
        <v>0</v>
      </c>
      <c r="P18" s="614">
        <v>0</v>
      </c>
      <c r="Q18" s="614">
        <v>0</v>
      </c>
      <c r="R18" s="615">
        <v>0</v>
      </c>
      <c r="S18" s="616">
        <f t="shared" si="0"/>
        <v>0</v>
      </c>
    </row>
    <row r="19" spans="1:19">
      <c r="A19" s="57">
        <v>12</v>
      </c>
      <c r="B19" s="83" t="s">
        <v>69</v>
      </c>
      <c r="C19" s="614">
        <v>0</v>
      </c>
      <c r="D19" s="614">
        <v>0</v>
      </c>
      <c r="E19" s="614">
        <v>0</v>
      </c>
      <c r="F19" s="614">
        <v>0</v>
      </c>
      <c r="G19" s="614">
        <v>0</v>
      </c>
      <c r="H19" s="614">
        <v>0</v>
      </c>
      <c r="I19" s="614">
        <v>0</v>
      </c>
      <c r="J19" s="614">
        <v>0</v>
      </c>
      <c r="K19" s="614">
        <v>0</v>
      </c>
      <c r="L19" s="614">
        <v>0</v>
      </c>
      <c r="M19" s="614">
        <v>0</v>
      </c>
      <c r="N19" s="614">
        <v>0</v>
      </c>
      <c r="O19" s="614">
        <v>0</v>
      </c>
      <c r="P19" s="614">
        <v>0</v>
      </c>
      <c r="Q19" s="614">
        <v>0</v>
      </c>
      <c r="R19" s="615">
        <v>0</v>
      </c>
      <c r="S19" s="616">
        <f t="shared" si="0"/>
        <v>0</v>
      </c>
    </row>
    <row r="20" spans="1:19">
      <c r="A20" s="57">
        <v>13</v>
      </c>
      <c r="B20" s="83" t="s">
        <v>70</v>
      </c>
      <c r="C20" s="614">
        <v>0</v>
      </c>
      <c r="D20" s="614">
        <v>0</v>
      </c>
      <c r="E20" s="614">
        <v>0</v>
      </c>
      <c r="F20" s="614">
        <v>0</v>
      </c>
      <c r="G20" s="614">
        <v>0</v>
      </c>
      <c r="H20" s="614">
        <v>0</v>
      </c>
      <c r="I20" s="614">
        <v>0</v>
      </c>
      <c r="J20" s="614">
        <v>0</v>
      </c>
      <c r="K20" s="614">
        <v>0</v>
      </c>
      <c r="L20" s="614">
        <v>0</v>
      </c>
      <c r="M20" s="614">
        <v>0</v>
      </c>
      <c r="N20" s="614">
        <v>0</v>
      </c>
      <c r="O20" s="614">
        <v>0</v>
      </c>
      <c r="P20" s="614">
        <v>0</v>
      </c>
      <c r="Q20" s="614">
        <v>0</v>
      </c>
      <c r="R20" s="615">
        <v>0</v>
      </c>
      <c r="S20" s="616">
        <f t="shared" si="0"/>
        <v>0</v>
      </c>
    </row>
    <row r="21" spans="1:19">
      <c r="A21" s="57">
        <v>14</v>
      </c>
      <c r="B21" s="83" t="s">
        <v>142</v>
      </c>
      <c r="C21" s="614">
        <v>0</v>
      </c>
      <c r="D21" s="614">
        <v>0</v>
      </c>
      <c r="E21" s="614">
        <v>0</v>
      </c>
      <c r="F21" s="614">
        <v>0</v>
      </c>
      <c r="G21" s="614">
        <v>0</v>
      </c>
      <c r="H21" s="614">
        <v>0</v>
      </c>
      <c r="I21" s="614">
        <v>0</v>
      </c>
      <c r="J21" s="614">
        <v>0</v>
      </c>
      <c r="K21" s="614">
        <v>0</v>
      </c>
      <c r="L21" s="614">
        <v>0</v>
      </c>
      <c r="M21" s="614">
        <v>3852840.7099999995</v>
      </c>
      <c r="N21" s="614">
        <v>0</v>
      </c>
      <c r="O21" s="614">
        <v>0</v>
      </c>
      <c r="P21" s="614">
        <v>0</v>
      </c>
      <c r="Q21" s="614">
        <v>0</v>
      </c>
      <c r="R21" s="615">
        <v>0</v>
      </c>
      <c r="S21" s="616">
        <f t="shared" si="0"/>
        <v>3852840.7099999995</v>
      </c>
    </row>
    <row r="22" spans="1:19" ht="14.4" thickBot="1">
      <c r="A22" s="51"/>
      <c r="B22" s="79" t="s">
        <v>66</v>
      </c>
      <c r="C22" s="617">
        <f>SUM(C8:C21)</f>
        <v>27924647.420000006</v>
      </c>
      <c r="D22" s="617">
        <f t="shared" ref="D22:S22" si="1">SUM(D8:D21)</f>
        <v>0</v>
      </c>
      <c r="E22" s="617">
        <f t="shared" si="1"/>
        <v>15107321.77</v>
      </c>
      <c r="F22" s="617">
        <f t="shared" si="1"/>
        <v>0</v>
      </c>
      <c r="G22" s="617">
        <f t="shared" si="1"/>
        <v>0</v>
      </c>
      <c r="H22" s="617">
        <f t="shared" si="1"/>
        <v>0</v>
      </c>
      <c r="I22" s="617">
        <f t="shared" si="1"/>
        <v>5396216.2999999998</v>
      </c>
      <c r="J22" s="617">
        <f t="shared" si="1"/>
        <v>0</v>
      </c>
      <c r="K22" s="617">
        <f t="shared" si="1"/>
        <v>0</v>
      </c>
      <c r="L22" s="617">
        <f t="shared" si="1"/>
        <v>0</v>
      </c>
      <c r="M22" s="617">
        <f t="shared" si="1"/>
        <v>33385026.07</v>
      </c>
      <c r="N22" s="617">
        <f t="shared" si="1"/>
        <v>0</v>
      </c>
      <c r="O22" s="617">
        <f t="shared" si="1"/>
        <v>0</v>
      </c>
      <c r="P22" s="617">
        <f t="shared" si="1"/>
        <v>0</v>
      </c>
      <c r="Q22" s="617">
        <f t="shared" si="1"/>
        <v>0</v>
      </c>
      <c r="R22" s="617">
        <f t="shared" si="1"/>
        <v>0</v>
      </c>
      <c r="S22" s="618">
        <f t="shared" si="1"/>
        <v>39104598.574000001</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28"/>
  <sheetViews>
    <sheetView zoomScale="80" zoomScaleNormal="80" workbookViewId="0">
      <pane xSplit="2" ySplit="6" topLeftCell="S7" activePane="bottomRight" state="frozen"/>
      <selection pane="topRight" activeCell="C1" sqref="C1"/>
      <selection pane="bottomLeft" activeCell="A6" sqref="A6"/>
      <selection pane="bottomRight" activeCell="Y9" sqref="Y9"/>
    </sheetView>
  </sheetViews>
  <sheetFormatPr defaultColWidth="9.109375" defaultRowHeight="13.8"/>
  <cols>
    <col min="1" max="1" width="10.44140625" style="1" bestFit="1" customWidth="1"/>
    <col min="2" max="2" width="97" style="1" bestFit="1" customWidth="1"/>
    <col min="3" max="3" width="19" style="1" customWidth="1"/>
    <col min="4" max="4" width="19.44140625" style="1" customWidth="1"/>
    <col min="5" max="5" width="31.109375" style="1" customWidth="1"/>
    <col min="6" max="6" width="29.109375" style="1" customWidth="1"/>
    <col min="7" max="7" width="28.44140625" style="1" customWidth="1"/>
    <col min="8" max="8" width="26.44140625" style="1" customWidth="1"/>
    <col min="9" max="9" width="23.88671875" style="1" customWidth="1"/>
    <col min="10" max="10" width="21.44140625" style="1" customWidth="1"/>
    <col min="11" max="11" width="15.88671875" style="1" customWidth="1"/>
    <col min="12" max="12" width="13.109375" style="1" customWidth="1"/>
    <col min="13" max="13" width="20.88671875" style="1" customWidth="1"/>
    <col min="14" max="14" width="19.109375" style="1" customWidth="1"/>
    <col min="15" max="15" width="18.44140625" style="1" customWidth="1"/>
    <col min="16" max="16" width="19" style="1" customWidth="1"/>
    <col min="17" max="17" width="20.109375" style="1" customWidth="1"/>
    <col min="18" max="18" width="18" style="1" customWidth="1"/>
    <col min="19" max="19" width="36" style="1" customWidth="1"/>
    <col min="20" max="20" width="19.44140625" style="1" customWidth="1"/>
    <col min="21" max="21" width="19.109375" style="1" customWidth="1"/>
    <col min="22" max="22" width="20" style="1" customWidth="1"/>
    <col min="23" max="16384" width="9.109375" style="5"/>
  </cols>
  <sheetData>
    <row r="1" spans="1:22">
      <c r="A1" s="1" t="s">
        <v>96</v>
      </c>
      <c r="B1" s="1" t="str">
        <f>Info!C2</f>
        <v>სს პეივ ბანკ ჯორჯია</v>
      </c>
    </row>
    <row r="2" spans="1:22">
      <c r="A2" s="1" t="s">
        <v>97</v>
      </c>
      <c r="B2" s="245">
        <f>'1. key ratios'!B2</f>
        <v>45930</v>
      </c>
    </row>
    <row r="4" spans="1:22" ht="28.2" thickBot="1">
      <c r="A4" s="1" t="s">
        <v>248</v>
      </c>
      <c r="B4" s="159" t="s">
        <v>282</v>
      </c>
      <c r="V4" s="108" t="s">
        <v>76</v>
      </c>
    </row>
    <row r="5" spans="1:22">
      <c r="A5" s="49"/>
      <c r="B5" s="50"/>
      <c r="C5" s="713" t="s">
        <v>104</v>
      </c>
      <c r="D5" s="714"/>
      <c r="E5" s="714"/>
      <c r="F5" s="714"/>
      <c r="G5" s="714"/>
      <c r="H5" s="714"/>
      <c r="I5" s="714"/>
      <c r="J5" s="714"/>
      <c r="K5" s="714"/>
      <c r="L5" s="715"/>
      <c r="M5" s="713" t="s">
        <v>105</v>
      </c>
      <c r="N5" s="714"/>
      <c r="O5" s="714"/>
      <c r="P5" s="714"/>
      <c r="Q5" s="714"/>
      <c r="R5" s="714"/>
      <c r="S5" s="715"/>
      <c r="T5" s="718" t="s">
        <v>280</v>
      </c>
      <c r="U5" s="718" t="s">
        <v>279</v>
      </c>
      <c r="V5" s="716" t="s">
        <v>106</v>
      </c>
    </row>
    <row r="6" spans="1:22" s="27" customFormat="1" ht="138">
      <c r="A6" s="55"/>
      <c r="B6" s="85"/>
      <c r="C6" s="47" t="s">
        <v>107</v>
      </c>
      <c r="D6" s="46" t="s">
        <v>108</v>
      </c>
      <c r="E6" s="44" t="s">
        <v>109</v>
      </c>
      <c r="F6" s="44" t="s">
        <v>274</v>
      </c>
      <c r="G6" s="46" t="s">
        <v>110</v>
      </c>
      <c r="H6" s="46" t="s">
        <v>111</v>
      </c>
      <c r="I6" s="46" t="s">
        <v>112</v>
      </c>
      <c r="J6" s="46" t="s">
        <v>141</v>
      </c>
      <c r="K6" s="46" t="s">
        <v>113</v>
      </c>
      <c r="L6" s="48" t="s">
        <v>114</v>
      </c>
      <c r="M6" s="47" t="s">
        <v>115</v>
      </c>
      <c r="N6" s="46" t="s">
        <v>116</v>
      </c>
      <c r="O6" s="46" t="s">
        <v>117</v>
      </c>
      <c r="P6" s="46" t="s">
        <v>118</v>
      </c>
      <c r="Q6" s="46" t="s">
        <v>119</v>
      </c>
      <c r="R6" s="46" t="s">
        <v>120</v>
      </c>
      <c r="S6" s="48" t="s">
        <v>121</v>
      </c>
      <c r="T6" s="719"/>
      <c r="U6" s="719"/>
      <c r="V6" s="717"/>
    </row>
    <row r="7" spans="1:22">
      <c r="A7" s="78">
        <v>1</v>
      </c>
      <c r="B7" s="83" t="s">
        <v>122</v>
      </c>
      <c r="C7" s="146"/>
      <c r="D7" s="144"/>
      <c r="E7" s="144"/>
      <c r="F7" s="144"/>
      <c r="G7" s="144"/>
      <c r="H7" s="144"/>
      <c r="I7" s="144"/>
      <c r="J7" s="144"/>
      <c r="K7" s="144"/>
      <c r="L7" s="147"/>
      <c r="M7" s="146"/>
      <c r="N7" s="144"/>
      <c r="O7" s="144"/>
      <c r="P7" s="144"/>
      <c r="Q7" s="144"/>
      <c r="R7" s="144"/>
      <c r="S7" s="147"/>
      <c r="T7" s="156"/>
      <c r="U7" s="155"/>
      <c r="V7" s="148">
        <f>SUM(C7:S7)</f>
        <v>0</v>
      </c>
    </row>
    <row r="8" spans="1:22">
      <c r="A8" s="78">
        <v>2</v>
      </c>
      <c r="B8" s="83" t="s">
        <v>123</v>
      </c>
      <c r="C8" s="146"/>
      <c r="D8" s="144"/>
      <c r="E8" s="144"/>
      <c r="F8" s="144"/>
      <c r="G8" s="144"/>
      <c r="H8" s="144"/>
      <c r="I8" s="144"/>
      <c r="J8" s="144"/>
      <c r="K8" s="144"/>
      <c r="L8" s="147"/>
      <c r="M8" s="146"/>
      <c r="N8" s="144"/>
      <c r="O8" s="144"/>
      <c r="P8" s="144"/>
      <c r="Q8" s="144"/>
      <c r="R8" s="144"/>
      <c r="S8" s="147"/>
      <c r="T8" s="155"/>
      <c r="U8" s="155"/>
      <c r="V8" s="148">
        <f t="shared" ref="V8:V20" si="0">SUM(C8:S8)</f>
        <v>0</v>
      </c>
    </row>
    <row r="9" spans="1:22">
      <c r="A9" s="78">
        <v>3</v>
      </c>
      <c r="B9" s="83" t="s">
        <v>124</v>
      </c>
      <c r="C9" s="146"/>
      <c r="D9" s="144"/>
      <c r="E9" s="144"/>
      <c r="F9" s="144"/>
      <c r="G9" s="144"/>
      <c r="H9" s="144"/>
      <c r="I9" s="144"/>
      <c r="J9" s="144"/>
      <c r="K9" s="144"/>
      <c r="L9" s="147"/>
      <c r="M9" s="146"/>
      <c r="N9" s="144"/>
      <c r="O9" s="144"/>
      <c r="P9" s="144"/>
      <c r="Q9" s="144"/>
      <c r="R9" s="144"/>
      <c r="S9" s="147"/>
      <c r="T9" s="155"/>
      <c r="U9" s="155"/>
      <c r="V9" s="148">
        <f>SUM(C9:S9)</f>
        <v>0</v>
      </c>
    </row>
    <row r="10" spans="1:22">
      <c r="A10" s="78">
        <v>4</v>
      </c>
      <c r="B10" s="83" t="s">
        <v>125</v>
      </c>
      <c r="C10" s="146"/>
      <c r="D10" s="144"/>
      <c r="E10" s="144"/>
      <c r="F10" s="144"/>
      <c r="G10" s="144"/>
      <c r="H10" s="144"/>
      <c r="I10" s="144"/>
      <c r="J10" s="144"/>
      <c r="K10" s="144"/>
      <c r="L10" s="147"/>
      <c r="M10" s="146"/>
      <c r="N10" s="144"/>
      <c r="O10" s="144"/>
      <c r="P10" s="144"/>
      <c r="Q10" s="144"/>
      <c r="R10" s="144"/>
      <c r="S10" s="147"/>
      <c r="T10" s="155"/>
      <c r="U10" s="155"/>
      <c r="V10" s="148">
        <f t="shared" si="0"/>
        <v>0</v>
      </c>
    </row>
    <row r="11" spans="1:22">
      <c r="A11" s="78">
        <v>5</v>
      </c>
      <c r="B11" s="83" t="s">
        <v>911</v>
      </c>
      <c r="C11" s="146"/>
      <c r="D11" s="144"/>
      <c r="E11" s="144"/>
      <c r="F11" s="144"/>
      <c r="G11" s="144"/>
      <c r="H11" s="144"/>
      <c r="I11" s="144"/>
      <c r="J11" s="144"/>
      <c r="K11" s="144"/>
      <c r="L11" s="147"/>
      <c r="M11" s="146"/>
      <c r="N11" s="144"/>
      <c r="O11" s="144"/>
      <c r="P11" s="144"/>
      <c r="Q11" s="144"/>
      <c r="R11" s="144"/>
      <c r="S11" s="147"/>
      <c r="T11" s="155"/>
      <c r="U11" s="155"/>
      <c r="V11" s="148">
        <f t="shared" si="0"/>
        <v>0</v>
      </c>
    </row>
    <row r="12" spans="1:22">
      <c r="A12" s="78">
        <v>6</v>
      </c>
      <c r="B12" s="83" t="s">
        <v>126</v>
      </c>
      <c r="C12" s="146"/>
      <c r="D12" s="144"/>
      <c r="E12" s="144"/>
      <c r="F12" s="144"/>
      <c r="G12" s="144"/>
      <c r="H12" s="144"/>
      <c r="I12" s="144"/>
      <c r="J12" s="144"/>
      <c r="K12" s="144"/>
      <c r="L12" s="147"/>
      <c r="M12" s="146"/>
      <c r="N12" s="144"/>
      <c r="O12" s="144"/>
      <c r="P12" s="144"/>
      <c r="Q12" s="144"/>
      <c r="R12" s="144"/>
      <c r="S12" s="147"/>
      <c r="T12" s="155"/>
      <c r="U12" s="155"/>
      <c r="V12" s="148">
        <f t="shared" si="0"/>
        <v>0</v>
      </c>
    </row>
    <row r="13" spans="1:22">
      <c r="A13" s="78">
        <v>7</v>
      </c>
      <c r="B13" s="83" t="s">
        <v>71</v>
      </c>
      <c r="C13" s="146"/>
      <c r="D13" s="144"/>
      <c r="E13" s="144"/>
      <c r="F13" s="144"/>
      <c r="G13" s="144"/>
      <c r="H13" s="144"/>
      <c r="I13" s="144"/>
      <c r="J13" s="144"/>
      <c r="K13" s="144"/>
      <c r="L13" s="147"/>
      <c r="M13" s="146"/>
      <c r="N13" s="144"/>
      <c r="O13" s="144"/>
      <c r="P13" s="144"/>
      <c r="Q13" s="144"/>
      <c r="R13" s="144"/>
      <c r="S13" s="147"/>
      <c r="T13" s="155"/>
      <c r="U13" s="155"/>
      <c r="V13" s="148">
        <f t="shared" si="0"/>
        <v>0</v>
      </c>
    </row>
    <row r="14" spans="1:22">
      <c r="A14" s="78">
        <v>8</v>
      </c>
      <c r="B14" s="83" t="s">
        <v>72</v>
      </c>
      <c r="C14" s="146"/>
      <c r="D14" s="144"/>
      <c r="E14" s="144"/>
      <c r="F14" s="144"/>
      <c r="G14" s="144"/>
      <c r="H14" s="144"/>
      <c r="I14" s="144"/>
      <c r="J14" s="144"/>
      <c r="K14" s="144"/>
      <c r="L14" s="147"/>
      <c r="M14" s="146"/>
      <c r="N14" s="144"/>
      <c r="O14" s="144"/>
      <c r="P14" s="144"/>
      <c r="Q14" s="144"/>
      <c r="R14" s="144"/>
      <c r="S14" s="147"/>
      <c r="T14" s="155"/>
      <c r="U14" s="155"/>
      <c r="V14" s="148">
        <f t="shared" si="0"/>
        <v>0</v>
      </c>
    </row>
    <row r="15" spans="1:22">
      <c r="A15" s="78">
        <v>9</v>
      </c>
      <c r="B15" s="83" t="s">
        <v>912</v>
      </c>
      <c r="C15" s="146"/>
      <c r="D15" s="144"/>
      <c r="E15" s="144"/>
      <c r="F15" s="144"/>
      <c r="G15" s="144"/>
      <c r="H15" s="144"/>
      <c r="I15" s="144"/>
      <c r="J15" s="144"/>
      <c r="K15" s="144"/>
      <c r="L15" s="147"/>
      <c r="M15" s="146"/>
      <c r="N15" s="144"/>
      <c r="O15" s="144"/>
      <c r="P15" s="144"/>
      <c r="Q15" s="144"/>
      <c r="R15" s="144"/>
      <c r="S15" s="147"/>
      <c r="T15" s="155"/>
      <c r="U15" s="155"/>
      <c r="V15" s="148">
        <f t="shared" si="0"/>
        <v>0</v>
      </c>
    </row>
    <row r="16" spans="1:22">
      <c r="A16" s="78">
        <v>10</v>
      </c>
      <c r="B16" s="83" t="s">
        <v>67</v>
      </c>
      <c r="C16" s="146"/>
      <c r="D16" s="144"/>
      <c r="E16" s="144"/>
      <c r="F16" s="144"/>
      <c r="G16" s="144"/>
      <c r="H16" s="144"/>
      <c r="I16" s="144"/>
      <c r="J16" s="144"/>
      <c r="K16" s="144"/>
      <c r="L16" s="147"/>
      <c r="M16" s="146"/>
      <c r="N16" s="144"/>
      <c r="O16" s="144"/>
      <c r="P16" s="144"/>
      <c r="Q16" s="144"/>
      <c r="R16" s="144"/>
      <c r="S16" s="147"/>
      <c r="T16" s="155"/>
      <c r="U16" s="155"/>
      <c r="V16" s="148">
        <f t="shared" si="0"/>
        <v>0</v>
      </c>
    </row>
    <row r="17" spans="1:22">
      <c r="A17" s="78">
        <v>11</v>
      </c>
      <c r="B17" s="83" t="s">
        <v>68</v>
      </c>
      <c r="C17" s="146"/>
      <c r="D17" s="144"/>
      <c r="E17" s="144"/>
      <c r="F17" s="144"/>
      <c r="G17" s="144"/>
      <c r="H17" s="144"/>
      <c r="I17" s="144"/>
      <c r="J17" s="144"/>
      <c r="K17" s="144"/>
      <c r="L17" s="147"/>
      <c r="M17" s="146"/>
      <c r="N17" s="144"/>
      <c r="O17" s="144"/>
      <c r="P17" s="144"/>
      <c r="Q17" s="144"/>
      <c r="R17" s="144"/>
      <c r="S17" s="147"/>
      <c r="T17" s="155"/>
      <c r="U17" s="155"/>
      <c r="V17" s="148">
        <f t="shared" si="0"/>
        <v>0</v>
      </c>
    </row>
    <row r="18" spans="1:22">
      <c r="A18" s="78">
        <v>12</v>
      </c>
      <c r="B18" s="83" t="s">
        <v>69</v>
      </c>
      <c r="C18" s="146"/>
      <c r="D18" s="144"/>
      <c r="E18" s="144"/>
      <c r="F18" s="144"/>
      <c r="G18" s="144"/>
      <c r="H18" s="144"/>
      <c r="I18" s="144"/>
      <c r="J18" s="144"/>
      <c r="K18" s="144"/>
      <c r="L18" s="147"/>
      <c r="M18" s="146"/>
      <c r="N18" s="144"/>
      <c r="O18" s="144"/>
      <c r="P18" s="144"/>
      <c r="Q18" s="144"/>
      <c r="R18" s="144"/>
      <c r="S18" s="147"/>
      <c r="T18" s="155"/>
      <c r="U18" s="155"/>
      <c r="V18" s="148">
        <f t="shared" si="0"/>
        <v>0</v>
      </c>
    </row>
    <row r="19" spans="1:22">
      <c r="A19" s="78">
        <v>13</v>
      </c>
      <c r="B19" s="83" t="s">
        <v>70</v>
      </c>
      <c r="C19" s="146"/>
      <c r="D19" s="144"/>
      <c r="E19" s="144"/>
      <c r="F19" s="144"/>
      <c r="G19" s="144"/>
      <c r="H19" s="144"/>
      <c r="I19" s="144"/>
      <c r="J19" s="144"/>
      <c r="K19" s="144"/>
      <c r="L19" s="147"/>
      <c r="M19" s="146"/>
      <c r="N19" s="144"/>
      <c r="O19" s="144"/>
      <c r="P19" s="144"/>
      <c r="Q19" s="144"/>
      <c r="R19" s="144"/>
      <c r="S19" s="147"/>
      <c r="T19" s="155"/>
      <c r="U19" s="155"/>
      <c r="V19" s="148">
        <f t="shared" si="0"/>
        <v>0</v>
      </c>
    </row>
    <row r="20" spans="1:22">
      <c r="A20" s="78">
        <v>14</v>
      </c>
      <c r="B20" s="83" t="s">
        <v>142</v>
      </c>
      <c r="C20" s="146"/>
      <c r="D20" s="144"/>
      <c r="E20" s="144"/>
      <c r="F20" s="144"/>
      <c r="G20" s="144"/>
      <c r="H20" s="144"/>
      <c r="I20" s="144"/>
      <c r="J20" s="144"/>
      <c r="K20" s="144"/>
      <c r="L20" s="147"/>
      <c r="M20" s="146"/>
      <c r="N20" s="144"/>
      <c r="O20" s="144"/>
      <c r="P20" s="144"/>
      <c r="Q20" s="144"/>
      <c r="R20" s="144"/>
      <c r="S20" s="147"/>
      <c r="T20" s="155"/>
      <c r="U20" s="155"/>
      <c r="V20" s="148">
        <f t="shared" si="0"/>
        <v>0</v>
      </c>
    </row>
    <row r="21" spans="1:22" ht="14.4" thickBot="1">
      <c r="A21" s="51"/>
      <c r="B21" s="52" t="s">
        <v>66</v>
      </c>
      <c r="C21" s="149">
        <f>SUM(C7:C20)</f>
        <v>0</v>
      </c>
      <c r="D21" s="145">
        <f t="shared" ref="D21:V21" si="1">SUM(D7:D20)</f>
        <v>0</v>
      </c>
      <c r="E21" s="145">
        <f t="shared" si="1"/>
        <v>0</v>
      </c>
      <c r="F21" s="145">
        <f t="shared" si="1"/>
        <v>0</v>
      </c>
      <c r="G21" s="145">
        <f t="shared" si="1"/>
        <v>0</v>
      </c>
      <c r="H21" s="145">
        <f t="shared" si="1"/>
        <v>0</v>
      </c>
      <c r="I21" s="145">
        <f t="shared" si="1"/>
        <v>0</v>
      </c>
      <c r="J21" s="145">
        <f t="shared" si="1"/>
        <v>0</v>
      </c>
      <c r="K21" s="145">
        <f t="shared" si="1"/>
        <v>0</v>
      </c>
      <c r="L21" s="150">
        <f t="shared" si="1"/>
        <v>0</v>
      </c>
      <c r="M21" s="149">
        <f t="shared" si="1"/>
        <v>0</v>
      </c>
      <c r="N21" s="145">
        <f t="shared" si="1"/>
        <v>0</v>
      </c>
      <c r="O21" s="145">
        <f t="shared" si="1"/>
        <v>0</v>
      </c>
      <c r="P21" s="145">
        <f t="shared" si="1"/>
        <v>0</v>
      </c>
      <c r="Q21" s="145">
        <f t="shared" si="1"/>
        <v>0</v>
      </c>
      <c r="R21" s="145">
        <f t="shared" si="1"/>
        <v>0</v>
      </c>
      <c r="S21" s="150">
        <f t="shared" si="1"/>
        <v>0</v>
      </c>
      <c r="T21" s="150">
        <f>SUM(T7:T20)</f>
        <v>0</v>
      </c>
      <c r="U21" s="150">
        <f t="shared" si="1"/>
        <v>0</v>
      </c>
      <c r="V21" s="151">
        <f t="shared" si="1"/>
        <v>0</v>
      </c>
    </row>
    <row r="24" spans="1:22">
      <c r="C24" s="30"/>
      <c r="D24" s="30"/>
      <c r="E24" s="30"/>
    </row>
    <row r="25" spans="1:22">
      <c r="A25" s="26"/>
      <c r="B25" s="26"/>
      <c r="D25" s="30"/>
      <c r="E25" s="30"/>
    </row>
    <row r="26" spans="1:22">
      <c r="A26" s="26"/>
      <c r="B26" s="45"/>
      <c r="D26" s="30"/>
      <c r="E26" s="30"/>
    </row>
    <row r="27" spans="1:22">
      <c r="A27" s="26"/>
      <c r="B27" s="26"/>
      <c r="D27" s="30"/>
      <c r="E27" s="30"/>
    </row>
    <row r="28" spans="1:22">
      <c r="A28" s="26"/>
      <c r="B28" s="45"/>
      <c r="D28" s="30"/>
      <c r="E28" s="3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I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I27" sqref="I27"/>
    </sheetView>
  </sheetViews>
  <sheetFormatPr defaultColWidth="9.109375" defaultRowHeight="13.8"/>
  <cols>
    <col min="1" max="1" width="10.44140625" style="1" bestFit="1" customWidth="1"/>
    <col min="2" max="2" width="101.88671875" style="1" customWidth="1"/>
    <col min="3" max="3" width="13.88671875" style="1" customWidth="1"/>
    <col min="4" max="4" width="14.88671875" style="1" bestFit="1" customWidth="1"/>
    <col min="5" max="5" width="17.88671875" style="1" customWidth="1"/>
    <col min="6" max="6" width="15.88671875" style="1" customWidth="1"/>
    <col min="7" max="7" width="17.44140625" style="1" customWidth="1"/>
    <col min="8" max="8" width="15.109375" style="1" customWidth="1"/>
    <col min="9" max="16384" width="9.109375" style="5"/>
  </cols>
  <sheetData>
    <row r="1" spans="1:9">
      <c r="A1" s="1" t="s">
        <v>96</v>
      </c>
      <c r="B1" s="1" t="str">
        <f>Info!C2</f>
        <v>სს პეივ ბანკ ჯორჯია</v>
      </c>
    </row>
    <row r="2" spans="1:9">
      <c r="A2" s="1" t="s">
        <v>97</v>
      </c>
      <c r="B2" s="245">
        <f>'1. key ratios'!B2</f>
        <v>45930</v>
      </c>
    </row>
    <row r="4" spans="1:9" ht="14.4" thickBot="1">
      <c r="A4" s="1" t="s">
        <v>249</v>
      </c>
      <c r="B4" s="19" t="s">
        <v>283</v>
      </c>
    </row>
    <row r="5" spans="1:9">
      <c r="A5" s="49"/>
      <c r="B5" s="76"/>
      <c r="C5" s="80" t="s">
        <v>0</v>
      </c>
      <c r="D5" s="80" t="s">
        <v>1</v>
      </c>
      <c r="E5" s="80" t="s">
        <v>2</v>
      </c>
      <c r="F5" s="80" t="s">
        <v>3</v>
      </c>
      <c r="G5" s="154" t="s">
        <v>4</v>
      </c>
      <c r="H5" s="81" t="s">
        <v>5</v>
      </c>
      <c r="I5" s="15"/>
    </row>
    <row r="6" spans="1:9" ht="15" customHeight="1">
      <c r="A6" s="75"/>
      <c r="B6" s="13"/>
      <c r="C6" s="711" t="s">
        <v>275</v>
      </c>
      <c r="D6" s="722" t="s">
        <v>296</v>
      </c>
      <c r="E6" s="723"/>
      <c r="F6" s="711" t="s">
        <v>302</v>
      </c>
      <c r="G6" s="711" t="s">
        <v>303</v>
      </c>
      <c r="H6" s="720" t="s">
        <v>277</v>
      </c>
      <c r="I6" s="15"/>
    </row>
    <row r="7" spans="1:9" ht="69">
      <c r="A7" s="75"/>
      <c r="B7" s="13"/>
      <c r="C7" s="712"/>
      <c r="D7" s="157" t="s">
        <v>278</v>
      </c>
      <c r="E7" s="157" t="s">
        <v>276</v>
      </c>
      <c r="F7" s="712"/>
      <c r="G7" s="712"/>
      <c r="H7" s="721"/>
      <c r="I7" s="15"/>
    </row>
    <row r="8" spans="1:9">
      <c r="A8" s="42">
        <v>1</v>
      </c>
      <c r="B8" s="83" t="s">
        <v>122</v>
      </c>
      <c r="C8" s="144">
        <v>57415515.570000008</v>
      </c>
      <c r="D8" s="144"/>
      <c r="E8" s="144"/>
      <c r="F8" s="144">
        <v>29490868.149999999</v>
      </c>
      <c r="G8" s="153">
        <f>F8</f>
        <v>29490868.149999999</v>
      </c>
      <c r="H8" s="160">
        <f>G8/(C8+E8)</f>
        <v>0.51363935091805002</v>
      </c>
    </row>
    <row r="9" spans="1:9" ht="15" customHeight="1">
      <c r="A9" s="42">
        <v>2</v>
      </c>
      <c r="B9" s="83" t="s">
        <v>123</v>
      </c>
      <c r="C9" s="144">
        <v>0</v>
      </c>
      <c r="D9" s="144"/>
      <c r="E9" s="144"/>
      <c r="F9" s="144">
        <v>0</v>
      </c>
      <c r="G9" s="153">
        <f t="shared" ref="G9:G21" si="0">F9</f>
        <v>0</v>
      </c>
      <c r="H9" s="160" t="e">
        <f t="shared" ref="H9:H21" si="1">G9/(C9+E9)</f>
        <v>#DIV/0!</v>
      </c>
    </row>
    <row r="10" spans="1:9">
      <c r="A10" s="42">
        <v>3</v>
      </c>
      <c r="B10" s="83" t="s">
        <v>124</v>
      </c>
      <c r="C10" s="144">
        <v>0</v>
      </c>
      <c r="D10" s="144"/>
      <c r="E10" s="144"/>
      <c r="F10" s="144">
        <v>0</v>
      </c>
      <c r="G10" s="153">
        <f t="shared" si="0"/>
        <v>0</v>
      </c>
      <c r="H10" s="160" t="e">
        <f t="shared" si="1"/>
        <v>#DIV/0!</v>
      </c>
    </row>
    <row r="11" spans="1:9">
      <c r="A11" s="42">
        <v>4</v>
      </c>
      <c r="B11" s="83" t="s">
        <v>125</v>
      </c>
      <c r="C11" s="144">
        <v>0</v>
      </c>
      <c r="D11" s="144"/>
      <c r="E11" s="144"/>
      <c r="F11" s="144">
        <v>0</v>
      </c>
      <c r="G11" s="153">
        <f t="shared" si="0"/>
        <v>0</v>
      </c>
      <c r="H11" s="160" t="e">
        <f t="shared" si="1"/>
        <v>#DIV/0!</v>
      </c>
    </row>
    <row r="12" spans="1:9">
      <c r="A12" s="42">
        <v>5</v>
      </c>
      <c r="B12" s="83" t="s">
        <v>911</v>
      </c>
      <c r="C12" s="144">
        <v>0</v>
      </c>
      <c r="D12" s="144"/>
      <c r="E12" s="144"/>
      <c r="F12" s="144">
        <v>0</v>
      </c>
      <c r="G12" s="153">
        <f t="shared" si="0"/>
        <v>0</v>
      </c>
      <c r="H12" s="160" t="e">
        <f t="shared" si="1"/>
        <v>#DIV/0!</v>
      </c>
    </row>
    <row r="13" spans="1:9">
      <c r="A13" s="42">
        <v>6</v>
      </c>
      <c r="B13" s="83" t="s">
        <v>126</v>
      </c>
      <c r="C13" s="144">
        <v>20544855.280000001</v>
      </c>
      <c r="D13" s="144"/>
      <c r="E13" s="144"/>
      <c r="F13" s="144">
        <v>5760889.7140000006</v>
      </c>
      <c r="G13" s="153">
        <f t="shared" si="0"/>
        <v>5760889.7140000006</v>
      </c>
      <c r="H13" s="160">
        <f t="shared" si="1"/>
        <v>0.28040546577167225</v>
      </c>
    </row>
    <row r="14" spans="1:9">
      <c r="A14" s="42">
        <v>7</v>
      </c>
      <c r="B14" s="83" t="s">
        <v>71</v>
      </c>
      <c r="C14" s="144">
        <v>0</v>
      </c>
      <c r="D14" s="144"/>
      <c r="E14" s="144"/>
      <c r="F14" s="144">
        <v>0</v>
      </c>
      <c r="G14" s="153">
        <f t="shared" si="0"/>
        <v>0</v>
      </c>
      <c r="H14" s="160" t="e">
        <f>G14/(C14+E14)</f>
        <v>#DIV/0!</v>
      </c>
    </row>
    <row r="15" spans="1:9">
      <c r="A15" s="42">
        <v>8</v>
      </c>
      <c r="B15" s="83" t="s">
        <v>72</v>
      </c>
      <c r="C15" s="144">
        <v>0</v>
      </c>
      <c r="D15" s="144"/>
      <c r="E15" s="144"/>
      <c r="F15" s="144">
        <v>0</v>
      </c>
      <c r="G15" s="153">
        <f t="shared" si="0"/>
        <v>0</v>
      </c>
      <c r="H15" s="160" t="e">
        <f t="shared" si="1"/>
        <v>#DIV/0!</v>
      </c>
    </row>
    <row r="16" spans="1:9">
      <c r="A16" s="42">
        <v>9</v>
      </c>
      <c r="B16" s="83" t="s">
        <v>912</v>
      </c>
      <c r="C16" s="144">
        <v>0</v>
      </c>
      <c r="D16" s="144"/>
      <c r="E16" s="144"/>
      <c r="F16" s="144">
        <v>0</v>
      </c>
      <c r="G16" s="153">
        <f t="shared" si="0"/>
        <v>0</v>
      </c>
      <c r="H16" s="160" t="e">
        <f t="shared" si="1"/>
        <v>#DIV/0!</v>
      </c>
    </row>
    <row r="17" spans="1:8">
      <c r="A17" s="42">
        <v>10</v>
      </c>
      <c r="B17" s="83" t="s">
        <v>67</v>
      </c>
      <c r="C17" s="144">
        <v>0</v>
      </c>
      <c r="D17" s="144"/>
      <c r="E17" s="144"/>
      <c r="F17" s="144">
        <v>0</v>
      </c>
      <c r="G17" s="153">
        <f t="shared" si="0"/>
        <v>0</v>
      </c>
      <c r="H17" s="160" t="e">
        <f t="shared" si="1"/>
        <v>#DIV/0!</v>
      </c>
    </row>
    <row r="18" spans="1:8">
      <c r="A18" s="42">
        <v>11</v>
      </c>
      <c r="B18" s="83" t="s">
        <v>68</v>
      </c>
      <c r="C18" s="144">
        <v>0</v>
      </c>
      <c r="D18" s="144"/>
      <c r="E18" s="144"/>
      <c r="F18" s="144">
        <v>0</v>
      </c>
      <c r="G18" s="153">
        <f t="shared" si="0"/>
        <v>0</v>
      </c>
      <c r="H18" s="160" t="e">
        <f t="shared" si="1"/>
        <v>#DIV/0!</v>
      </c>
    </row>
    <row r="19" spans="1:8">
      <c r="A19" s="42">
        <v>12</v>
      </c>
      <c r="B19" s="83" t="s">
        <v>69</v>
      </c>
      <c r="C19" s="144">
        <v>0</v>
      </c>
      <c r="D19" s="144"/>
      <c r="E19" s="144"/>
      <c r="F19" s="144">
        <v>0</v>
      </c>
      <c r="G19" s="153">
        <f t="shared" si="0"/>
        <v>0</v>
      </c>
      <c r="H19" s="160" t="e">
        <f t="shared" si="1"/>
        <v>#DIV/0!</v>
      </c>
    </row>
    <row r="20" spans="1:8">
      <c r="A20" s="42">
        <v>13</v>
      </c>
      <c r="B20" s="83" t="s">
        <v>70</v>
      </c>
      <c r="C20" s="144">
        <v>0</v>
      </c>
      <c r="D20" s="144"/>
      <c r="E20" s="144"/>
      <c r="F20" s="144">
        <v>0</v>
      </c>
      <c r="G20" s="153">
        <f t="shared" si="0"/>
        <v>0</v>
      </c>
      <c r="H20" s="160" t="e">
        <f t="shared" si="1"/>
        <v>#DIV/0!</v>
      </c>
    </row>
    <row r="21" spans="1:8">
      <c r="A21" s="42">
        <v>14</v>
      </c>
      <c r="B21" s="83" t="s">
        <v>142</v>
      </c>
      <c r="C21" s="144">
        <v>3852840.7099999995</v>
      </c>
      <c r="D21" s="144"/>
      <c r="E21" s="144"/>
      <c r="F21" s="144">
        <v>3852840.7099999995</v>
      </c>
      <c r="G21" s="153">
        <f t="shared" si="0"/>
        <v>3852840.7099999995</v>
      </c>
      <c r="H21" s="160">
        <f t="shared" si="1"/>
        <v>1</v>
      </c>
    </row>
    <row r="22" spans="1:8" ht="14.4" thickBot="1">
      <c r="A22" s="77"/>
      <c r="B22" s="82" t="s">
        <v>66</v>
      </c>
      <c r="C22" s="145">
        <f>SUM(C8:C21)</f>
        <v>81813211.560000002</v>
      </c>
      <c r="D22" s="145">
        <f>SUM(D8:D21)</f>
        <v>0</v>
      </c>
      <c r="E22" s="145">
        <f>SUM(E8:E21)</f>
        <v>0</v>
      </c>
      <c r="F22" s="145">
        <f>SUM(F8:F21)</f>
        <v>39104598.574000001</v>
      </c>
      <c r="G22" s="145">
        <f>SUM(G8:G21)</f>
        <v>39104598.574000001</v>
      </c>
      <c r="H22" s="161">
        <f>G22/(C22+E22)</f>
        <v>0.47797412946344919</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N16" sqref="N16"/>
    </sheetView>
  </sheetViews>
  <sheetFormatPr defaultColWidth="9.109375" defaultRowHeight="13.8"/>
  <cols>
    <col min="1" max="1" width="10.44140625" style="1" bestFit="1" customWidth="1"/>
    <col min="2" max="2" width="104.109375" style="1" customWidth="1"/>
    <col min="3" max="11" width="12.88671875" style="1" customWidth="1"/>
    <col min="12" max="16384" width="9.109375" style="1"/>
  </cols>
  <sheetData>
    <row r="1" spans="1:11">
      <c r="A1" s="1" t="s">
        <v>96</v>
      </c>
      <c r="B1" s="1" t="str">
        <f>Info!C2</f>
        <v>სს პეივ ბანკ ჯორჯია</v>
      </c>
    </row>
    <row r="2" spans="1:11">
      <c r="A2" s="1" t="s">
        <v>97</v>
      </c>
      <c r="B2" s="245">
        <f>'1. key ratios'!B2</f>
        <v>45930</v>
      </c>
    </row>
    <row r="4" spans="1:11" ht="14.4" thickBot="1">
      <c r="A4" s="1" t="s">
        <v>339</v>
      </c>
      <c r="B4" s="19" t="s">
        <v>338</v>
      </c>
    </row>
    <row r="5" spans="1:11" ht="30" customHeight="1">
      <c r="A5" s="727"/>
      <c r="B5" s="728"/>
      <c r="C5" s="729" t="s">
        <v>371</v>
      </c>
      <c r="D5" s="729"/>
      <c r="E5" s="729"/>
      <c r="F5" s="729" t="s">
        <v>372</v>
      </c>
      <c r="G5" s="729"/>
      <c r="H5" s="729"/>
      <c r="I5" s="729" t="s">
        <v>373</v>
      </c>
      <c r="J5" s="729"/>
      <c r="K5" s="730"/>
    </row>
    <row r="6" spans="1:11">
      <c r="A6" s="179"/>
      <c r="B6" s="632"/>
      <c r="C6" s="595" t="s">
        <v>26</v>
      </c>
      <c r="D6" s="595" t="s">
        <v>79</v>
      </c>
      <c r="E6" s="595" t="s">
        <v>66</v>
      </c>
      <c r="F6" s="595" t="s">
        <v>26</v>
      </c>
      <c r="G6" s="595" t="s">
        <v>79</v>
      </c>
      <c r="H6" s="595" t="s">
        <v>66</v>
      </c>
      <c r="I6" s="595" t="s">
        <v>26</v>
      </c>
      <c r="J6" s="595" t="s">
        <v>79</v>
      </c>
      <c r="K6" s="619" t="s">
        <v>66</v>
      </c>
    </row>
    <row r="7" spans="1:11">
      <c r="A7" s="181" t="s">
        <v>309</v>
      </c>
      <c r="B7" s="620"/>
      <c r="C7" s="635"/>
      <c r="D7" s="635"/>
      <c r="E7" s="635"/>
      <c r="F7" s="635"/>
      <c r="G7" s="635"/>
      <c r="H7" s="635"/>
      <c r="I7" s="635"/>
      <c r="J7" s="635"/>
      <c r="K7" s="637"/>
    </row>
    <row r="8" spans="1:11">
      <c r="A8" s="178">
        <v>1</v>
      </c>
      <c r="B8" s="165" t="s">
        <v>309</v>
      </c>
      <c r="C8" s="636"/>
      <c r="D8" s="636"/>
      <c r="E8" s="636"/>
      <c r="F8" s="628">
        <v>10012432.080978276</v>
      </c>
      <c r="G8" s="628">
        <v>53847892.444673933</v>
      </c>
      <c r="H8" s="628">
        <f>F8+G8</f>
        <v>63860324.525652207</v>
      </c>
      <c r="I8" s="628">
        <v>1907803.1452173756</v>
      </c>
      <c r="J8" s="628">
        <v>35419678.512934789</v>
      </c>
      <c r="K8" s="629">
        <f>I8+J8</f>
        <v>37327481.658152163</v>
      </c>
    </row>
    <row r="9" spans="1:11">
      <c r="A9" s="181" t="s">
        <v>310</v>
      </c>
      <c r="B9" s="620"/>
      <c r="C9" s="635"/>
      <c r="D9" s="635"/>
      <c r="E9" s="635"/>
      <c r="F9" s="635"/>
      <c r="G9" s="635"/>
      <c r="H9" s="635"/>
      <c r="I9" s="635"/>
      <c r="J9" s="635"/>
      <c r="K9" s="637"/>
    </row>
    <row r="10" spans="1:11">
      <c r="A10" s="638">
        <v>2</v>
      </c>
      <c r="B10" s="622" t="s">
        <v>311</v>
      </c>
      <c r="C10" s="621"/>
      <c r="D10" s="621"/>
      <c r="E10" s="621"/>
      <c r="F10" s="621"/>
      <c r="G10" s="621"/>
      <c r="H10" s="621">
        <f t="shared" ref="H10:H16" si="0">F10+G10</f>
        <v>0</v>
      </c>
      <c r="I10" s="621"/>
      <c r="J10" s="621"/>
      <c r="K10" s="623">
        <f t="shared" ref="K10:K16" si="1">I10+J10</f>
        <v>0</v>
      </c>
    </row>
    <row r="11" spans="1:11">
      <c r="A11" s="638">
        <v>3</v>
      </c>
      <c r="B11" s="622" t="s">
        <v>312</v>
      </c>
      <c r="C11" s="628">
        <v>2479360.4379347893</v>
      </c>
      <c r="D11" s="628">
        <v>58737959.272282623</v>
      </c>
      <c r="E11" s="628">
        <f>SUM(C11:D11)</f>
        <v>61217319.710217409</v>
      </c>
      <c r="F11" s="628">
        <v>1330526.7154429373</v>
      </c>
      <c r="G11" s="628">
        <v>36708405.665948376</v>
      </c>
      <c r="H11" s="628">
        <f t="shared" si="0"/>
        <v>38038932.381391317</v>
      </c>
      <c r="I11" s="628">
        <v>619840.10948369722</v>
      </c>
      <c r="J11" s="628">
        <v>14643515.82845109</v>
      </c>
      <c r="K11" s="629">
        <f t="shared" si="1"/>
        <v>15263355.937934786</v>
      </c>
    </row>
    <row r="12" spans="1:11">
      <c r="A12" s="638">
        <v>4</v>
      </c>
      <c r="B12" s="622" t="s">
        <v>313</v>
      </c>
      <c r="C12" s="628">
        <v>0</v>
      </c>
      <c r="D12" s="628">
        <v>0</v>
      </c>
      <c r="E12" s="628">
        <f>SUM(C12:D12)</f>
        <v>0</v>
      </c>
      <c r="F12" s="628"/>
      <c r="G12" s="628"/>
      <c r="H12" s="628">
        <f t="shared" si="0"/>
        <v>0</v>
      </c>
      <c r="I12" s="628"/>
      <c r="J12" s="628"/>
      <c r="K12" s="629">
        <f t="shared" si="1"/>
        <v>0</v>
      </c>
    </row>
    <row r="13" spans="1:11">
      <c r="A13" s="638">
        <v>5</v>
      </c>
      <c r="B13" s="622" t="s">
        <v>314</v>
      </c>
      <c r="C13" s="628">
        <v>0</v>
      </c>
      <c r="D13" s="628">
        <v>0</v>
      </c>
      <c r="E13" s="628">
        <f t="shared" ref="E13:E16" si="2">SUM(C13:D13)</f>
        <v>0</v>
      </c>
      <c r="F13" s="628"/>
      <c r="G13" s="628"/>
      <c r="H13" s="628">
        <f t="shared" si="0"/>
        <v>0</v>
      </c>
      <c r="I13" s="628"/>
      <c r="J13" s="628"/>
      <c r="K13" s="629">
        <f t="shared" si="1"/>
        <v>0</v>
      </c>
    </row>
    <row r="14" spans="1:11">
      <c r="A14" s="638">
        <v>6</v>
      </c>
      <c r="B14" s="622" t="s">
        <v>329</v>
      </c>
      <c r="C14" s="628">
        <v>0</v>
      </c>
      <c r="D14" s="628">
        <v>0</v>
      </c>
      <c r="E14" s="628">
        <f t="shared" si="2"/>
        <v>0</v>
      </c>
      <c r="F14" s="628"/>
      <c r="G14" s="628"/>
      <c r="H14" s="628">
        <f t="shared" si="0"/>
        <v>0</v>
      </c>
      <c r="I14" s="628"/>
      <c r="J14" s="628"/>
      <c r="K14" s="629">
        <f t="shared" si="1"/>
        <v>0</v>
      </c>
    </row>
    <row r="15" spans="1:11">
      <c r="A15" s="638">
        <v>7</v>
      </c>
      <c r="B15" s="622" t="s">
        <v>316</v>
      </c>
      <c r="C15" s="628">
        <v>101325.97369565694</v>
      </c>
      <c r="D15" s="628">
        <v>8606654.7341304645</v>
      </c>
      <c r="E15" s="628">
        <f t="shared" si="2"/>
        <v>8707980.7078261208</v>
      </c>
      <c r="F15" s="628">
        <v>2909.3703260900015</v>
      </c>
      <c r="G15" s="628">
        <v>6952580.4815217629</v>
      </c>
      <c r="H15" s="628">
        <f t="shared" si="0"/>
        <v>6955489.8518478526</v>
      </c>
      <c r="I15" s="628">
        <v>2909.3703260900015</v>
      </c>
      <c r="J15" s="628">
        <v>6952580.4815217629</v>
      </c>
      <c r="K15" s="629">
        <f t="shared" si="1"/>
        <v>6955489.8518478526</v>
      </c>
    </row>
    <row r="16" spans="1:11">
      <c r="A16" s="638">
        <v>8</v>
      </c>
      <c r="B16" s="633" t="s">
        <v>317</v>
      </c>
      <c r="C16" s="628">
        <f>SUM(C10:C15)</f>
        <v>2580686.4116304461</v>
      </c>
      <c r="D16" s="628">
        <f t="shared" ref="D16:J16" si="3">SUM(D10:D15)</f>
        <v>67344614.006413087</v>
      </c>
      <c r="E16" s="628">
        <f t="shared" si="2"/>
        <v>69925300.418043539</v>
      </c>
      <c r="F16" s="628">
        <f t="shared" si="3"/>
        <v>1333436.0857690272</v>
      </c>
      <c r="G16" s="628">
        <f t="shared" si="3"/>
        <v>43660986.147470139</v>
      </c>
      <c r="H16" s="628">
        <f t="shared" si="0"/>
        <v>44994422.233239166</v>
      </c>
      <c r="I16" s="628">
        <f t="shared" si="3"/>
        <v>622749.47980978724</v>
      </c>
      <c r="J16" s="628">
        <f t="shared" si="3"/>
        <v>21596096.309972852</v>
      </c>
      <c r="K16" s="629">
        <f t="shared" si="1"/>
        <v>22218845.78978264</v>
      </c>
    </row>
    <row r="17" spans="1:11">
      <c r="A17" s="181" t="s">
        <v>318</v>
      </c>
      <c r="B17" s="620"/>
      <c r="C17" s="635"/>
      <c r="D17" s="635"/>
      <c r="E17" s="635"/>
      <c r="F17" s="635"/>
      <c r="G17" s="635"/>
      <c r="H17" s="635"/>
      <c r="I17" s="635"/>
      <c r="J17" s="635"/>
      <c r="K17" s="637"/>
    </row>
    <row r="18" spans="1:11">
      <c r="A18" s="638">
        <v>9</v>
      </c>
      <c r="B18" s="622" t="s">
        <v>319</v>
      </c>
      <c r="C18" s="621"/>
      <c r="D18" s="621"/>
      <c r="E18" s="621"/>
      <c r="F18" s="621"/>
      <c r="G18" s="621"/>
      <c r="H18" s="621"/>
      <c r="I18" s="621"/>
      <c r="J18" s="621"/>
      <c r="K18" s="623"/>
    </row>
    <row r="19" spans="1:11">
      <c r="A19" s="638">
        <v>10</v>
      </c>
      <c r="B19" s="622" t="s">
        <v>320</v>
      </c>
      <c r="C19" s="628">
        <v>8104628.9357609013</v>
      </c>
      <c r="D19" s="628">
        <v>24788621.302065235</v>
      </c>
      <c r="E19" s="628">
        <f t="shared" ref="E19" si="4">SUM(C19:D19)</f>
        <v>32893250.237826135</v>
      </c>
      <c r="F19" s="628">
        <v>0</v>
      </c>
      <c r="G19" s="628">
        <v>0</v>
      </c>
      <c r="H19" s="628">
        <f t="shared" ref="H19" si="5">F19+G19</f>
        <v>0</v>
      </c>
      <c r="I19" s="628">
        <v>8104628.9357609013</v>
      </c>
      <c r="J19" s="628">
        <v>24788621.302065235</v>
      </c>
      <c r="K19" s="629">
        <f t="shared" ref="K19" si="6">I19+J19</f>
        <v>32893250.237826135</v>
      </c>
    </row>
    <row r="20" spans="1:11">
      <c r="A20" s="638">
        <v>11</v>
      </c>
      <c r="B20" s="622" t="s">
        <v>321</v>
      </c>
      <c r="C20" s="628"/>
      <c r="D20" s="628"/>
      <c r="E20" s="628"/>
      <c r="F20" s="628"/>
      <c r="G20" s="628"/>
      <c r="H20" s="628"/>
      <c r="I20" s="628"/>
      <c r="J20" s="628"/>
      <c r="K20" s="629"/>
    </row>
    <row r="21" spans="1:11" ht="14.4" thickBot="1">
      <c r="A21" s="639">
        <v>12</v>
      </c>
      <c r="B21" s="634" t="s">
        <v>322</v>
      </c>
      <c r="C21" s="630">
        <f t="shared" ref="C21:E21" si="7">SUM(C18:C20)</f>
        <v>8104628.9357609013</v>
      </c>
      <c r="D21" s="630">
        <f t="shared" si="7"/>
        <v>24788621.302065235</v>
      </c>
      <c r="E21" s="630">
        <f t="shared" si="7"/>
        <v>32893250.237826135</v>
      </c>
      <c r="F21" s="630">
        <f>SUM(F18:F20)</f>
        <v>0</v>
      </c>
      <c r="G21" s="630">
        <f t="shared" ref="G21:K21" si="8">SUM(G18:G20)</f>
        <v>0</v>
      </c>
      <c r="H21" s="630">
        <f t="shared" si="8"/>
        <v>0</v>
      </c>
      <c r="I21" s="630">
        <f t="shared" si="8"/>
        <v>8104628.9357609013</v>
      </c>
      <c r="J21" s="630">
        <f t="shared" si="8"/>
        <v>24788621.302065235</v>
      </c>
      <c r="K21" s="631">
        <f t="shared" si="8"/>
        <v>32893250.237826135</v>
      </c>
    </row>
    <row r="22" spans="1:11" ht="38.25" customHeight="1" thickBot="1">
      <c r="A22" s="176"/>
      <c r="B22" s="177"/>
      <c r="C22" s="177"/>
      <c r="D22" s="177"/>
      <c r="E22" s="177"/>
      <c r="F22" s="724" t="s">
        <v>323</v>
      </c>
      <c r="G22" s="725"/>
      <c r="H22" s="725"/>
      <c r="I22" s="724" t="s">
        <v>324</v>
      </c>
      <c r="J22" s="725"/>
      <c r="K22" s="726"/>
    </row>
    <row r="23" spans="1:11">
      <c r="A23" s="170">
        <v>13</v>
      </c>
      <c r="B23" s="166" t="s">
        <v>309</v>
      </c>
      <c r="C23" s="175"/>
      <c r="D23" s="175"/>
      <c r="E23" s="175"/>
      <c r="F23" s="588">
        <f>F8</f>
        <v>10012432.080978276</v>
      </c>
      <c r="G23" s="588">
        <f t="shared" ref="G23:K23" si="9">G8</f>
        <v>53847892.444673933</v>
      </c>
      <c r="H23" s="588">
        <f t="shared" si="9"/>
        <v>63860324.525652207</v>
      </c>
      <c r="I23" s="588">
        <f t="shared" si="9"/>
        <v>1907803.1452173756</v>
      </c>
      <c r="J23" s="588">
        <f t="shared" si="9"/>
        <v>35419678.512934789</v>
      </c>
      <c r="K23" s="589">
        <f t="shared" si="9"/>
        <v>37327481.658152163</v>
      </c>
    </row>
    <row r="24" spans="1:11" ht="14.4" thickBot="1">
      <c r="A24" s="171">
        <v>14</v>
      </c>
      <c r="B24" s="167" t="s">
        <v>325</v>
      </c>
      <c r="C24" s="624"/>
      <c r="D24" s="625"/>
      <c r="E24" s="626"/>
      <c r="F24" s="627">
        <f>F16-F21</f>
        <v>1333436.0857690272</v>
      </c>
      <c r="G24" s="627">
        <f t="shared" ref="G24:K24" si="10">G16-G21</f>
        <v>43660986.147470139</v>
      </c>
      <c r="H24" s="627">
        <f t="shared" si="10"/>
        <v>44994422.233239166</v>
      </c>
      <c r="I24" s="627">
        <f t="shared" si="10"/>
        <v>-7481879.4559511142</v>
      </c>
      <c r="J24" s="627">
        <f t="shared" si="10"/>
        <v>-3192524.9920923822</v>
      </c>
      <c r="K24" s="590">
        <f t="shared" si="10"/>
        <v>-10674404.448043495</v>
      </c>
    </row>
    <row r="25" spans="1:11" ht="14.4" thickBot="1">
      <c r="A25" s="172">
        <v>15</v>
      </c>
      <c r="B25" s="168" t="s">
        <v>326</v>
      </c>
      <c r="C25" s="173"/>
      <c r="D25" s="173"/>
      <c r="E25" s="173"/>
      <c r="F25" s="591">
        <f t="shared" ref="F25:H25" si="11">IF(F24&gt;0,F23/F24,"N/A")</f>
        <v>7.5087454043242321</v>
      </c>
      <c r="G25" s="591">
        <f t="shared" si="11"/>
        <v>1.2333182824317415</v>
      </c>
      <c r="H25" s="591">
        <f t="shared" si="11"/>
        <v>1.4192942448425541</v>
      </c>
      <c r="I25" s="169" t="str">
        <f>IF(I24&gt;0,I23/I24,"N/A")</f>
        <v>N/A</v>
      </c>
      <c r="J25" s="169" t="str">
        <f>IF(J24&gt;0,J23/J24,"N/A")</f>
        <v>N/A</v>
      </c>
      <c r="K25" s="640" t="str">
        <f>IF(K24&gt;0,K23/K24,"N/A")</f>
        <v>N/A</v>
      </c>
    </row>
    <row r="28" spans="1:11" ht="41.4">
      <c r="B28" s="14" t="s">
        <v>370</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zoomScale="80" zoomScaleNormal="80" workbookViewId="0">
      <pane xSplit="1" ySplit="1" topLeftCell="B2" activePane="bottomRight" state="frozen"/>
      <selection pane="topRight" activeCell="B1" sqref="B1"/>
      <selection pane="bottomLeft" activeCell="A5" sqref="A5"/>
      <selection pane="bottomRight" activeCell="B1" sqref="B1"/>
    </sheetView>
  </sheetViews>
  <sheetFormatPr defaultColWidth="9.109375" defaultRowHeight="13.8"/>
  <cols>
    <col min="1" max="1" width="10.44140625" style="28" bestFit="1" customWidth="1"/>
    <col min="2" max="2" width="95" style="28" customWidth="1"/>
    <col min="3" max="9" width="15" style="28" customWidth="1"/>
    <col min="10" max="14" width="18.44140625" style="28" customWidth="1"/>
    <col min="15" max="17" width="18.44140625" style="5" customWidth="1"/>
    <col min="18" max="16384" width="9.109375" style="5"/>
  </cols>
  <sheetData>
    <row r="1" spans="1:17" ht="14.4">
      <c r="A1" s="9" t="s">
        <v>96</v>
      </c>
      <c r="B1" t="str">
        <f>Info!C2</f>
        <v>სს პეივ ბანკ ჯორჯია</v>
      </c>
    </row>
    <row r="2" spans="1:17">
      <c r="A2" s="28" t="s">
        <v>97</v>
      </c>
      <c r="B2" s="245">
        <f>'1. key ratios'!B2</f>
        <v>45930</v>
      </c>
    </row>
    <row r="3" spans="1:17">
      <c r="B3" s="5"/>
      <c r="C3" s="5"/>
      <c r="D3" s="5"/>
      <c r="E3" s="5"/>
      <c r="F3" s="5"/>
      <c r="G3" s="5"/>
      <c r="H3" s="5"/>
      <c r="I3" s="5"/>
      <c r="J3" s="5"/>
      <c r="K3" s="5"/>
      <c r="L3" s="5"/>
      <c r="M3" s="5"/>
      <c r="N3" s="5"/>
    </row>
    <row r="4" spans="1:17" ht="14.4">
      <c r="B4" s="551" t="s">
        <v>979</v>
      </c>
      <c r="C4" s="5"/>
      <c r="D4" s="5"/>
      <c r="E4" s="5"/>
      <c r="F4" s="5"/>
      <c r="G4" s="5"/>
      <c r="H4" s="5"/>
      <c r="I4" s="5"/>
      <c r="J4" s="5"/>
      <c r="K4" s="5"/>
      <c r="L4" s="5"/>
      <c r="M4" s="5"/>
      <c r="N4" s="5"/>
    </row>
    <row r="5" spans="1:17" ht="86.4">
      <c r="B5" s="552" t="s">
        <v>980</v>
      </c>
      <c r="C5" s="553" t="s">
        <v>981</v>
      </c>
      <c r="D5" s="553" t="s">
        <v>982</v>
      </c>
      <c r="E5" s="553" t="s">
        <v>983</v>
      </c>
      <c r="F5" s="553" t="s">
        <v>984</v>
      </c>
      <c r="G5" s="553" t="s">
        <v>985</v>
      </c>
      <c r="H5" s="553" t="s">
        <v>986</v>
      </c>
      <c r="I5" s="554" t="s">
        <v>987</v>
      </c>
      <c r="J5" s="555">
        <v>0.02</v>
      </c>
      <c r="K5" s="555">
        <v>0.2</v>
      </c>
      <c r="L5" s="555">
        <v>0.35</v>
      </c>
      <c r="M5" s="555">
        <v>0.5</v>
      </c>
      <c r="N5" s="555">
        <v>0.75</v>
      </c>
      <c r="O5" s="555">
        <v>1</v>
      </c>
      <c r="P5" s="555">
        <v>1.5</v>
      </c>
      <c r="Q5" s="556" t="s">
        <v>73</v>
      </c>
    </row>
    <row r="6" spans="1:17" ht="14.4">
      <c r="B6" s="557"/>
      <c r="C6" s="523" t="b">
        <f>IF(C7&gt;0,C7,IF(C8&gt;0,C8,IF(C9&gt;0,C9)))</f>
        <v>0</v>
      </c>
      <c r="D6" s="523" t="b">
        <f t="shared" ref="D6:Q6" si="0">IF(D7&gt;0,D7,IF(D8&gt;0,D8,IF(D9&gt;0,D9)))</f>
        <v>0</v>
      </c>
      <c r="E6" s="523" t="b">
        <f t="shared" si="0"/>
        <v>0</v>
      </c>
      <c r="F6" s="523" t="b">
        <f t="shared" si="0"/>
        <v>0</v>
      </c>
      <c r="G6" s="523" t="b">
        <f t="shared" si="0"/>
        <v>0</v>
      </c>
      <c r="H6" s="523"/>
      <c r="I6" s="523" t="b">
        <f t="shared" si="0"/>
        <v>0</v>
      </c>
      <c r="J6" s="523" t="b">
        <f t="shared" si="0"/>
        <v>0</v>
      </c>
      <c r="K6" s="523" t="b">
        <f t="shared" si="0"/>
        <v>0</v>
      </c>
      <c r="L6" s="523" t="b">
        <f t="shared" si="0"/>
        <v>0</v>
      </c>
      <c r="M6" s="523" t="b">
        <f t="shared" si="0"/>
        <v>0</v>
      </c>
      <c r="N6" s="523" t="b">
        <f t="shared" si="0"/>
        <v>0</v>
      </c>
      <c r="O6" s="523" t="b">
        <f t="shared" si="0"/>
        <v>0</v>
      </c>
      <c r="P6" s="523" t="b">
        <f t="shared" si="0"/>
        <v>0</v>
      </c>
      <c r="Q6" s="523" t="b">
        <f t="shared" si="0"/>
        <v>0</v>
      </c>
    </row>
    <row r="7" spans="1:17" ht="14.4">
      <c r="B7" s="558" t="s">
        <v>975</v>
      </c>
      <c r="C7" s="523">
        <f>C11+C15+C19+C23+C27+C31</f>
        <v>0</v>
      </c>
      <c r="D7" s="523"/>
      <c r="E7" s="523"/>
      <c r="F7" s="523">
        <f t="shared" ref="F7:G9" si="1">F11+F15+F19+F23+F27+F31</f>
        <v>0</v>
      </c>
      <c r="G7" s="523">
        <f t="shared" si="1"/>
        <v>0</v>
      </c>
      <c r="H7" s="559">
        <v>1.4</v>
      </c>
      <c r="I7" s="560">
        <f t="shared" ref="I7:I33" si="2">(F7+G7)*H7</f>
        <v>0</v>
      </c>
      <c r="J7" s="523">
        <f>J11+J15+J19+J23+J27+J31</f>
        <v>0</v>
      </c>
      <c r="K7" s="523">
        <f t="shared" ref="J7:Q9" si="3">K11+K15+K19+K23+K27+K31</f>
        <v>0</v>
      </c>
      <c r="L7" s="523">
        <f t="shared" si="3"/>
        <v>0</v>
      </c>
      <c r="M7" s="523">
        <f t="shared" si="3"/>
        <v>0</v>
      </c>
      <c r="N7" s="523">
        <f t="shared" si="3"/>
        <v>0</v>
      </c>
      <c r="O7" s="523">
        <f t="shared" si="3"/>
        <v>0</v>
      </c>
      <c r="P7" s="523">
        <f t="shared" si="3"/>
        <v>0</v>
      </c>
      <c r="Q7" s="523">
        <f>Q11+Q15+Q19+Q23+Q27+Q31</f>
        <v>0</v>
      </c>
    </row>
    <row r="8" spans="1:17" ht="14.4">
      <c r="B8" s="558" t="s">
        <v>976</v>
      </c>
      <c r="C8" s="523">
        <f>C12+C16+C20+C24+C28+C32</f>
        <v>0</v>
      </c>
      <c r="D8" s="523"/>
      <c r="E8" s="523"/>
      <c r="F8" s="523">
        <f t="shared" si="1"/>
        <v>0</v>
      </c>
      <c r="G8" s="523">
        <f t="shared" si="1"/>
        <v>0</v>
      </c>
      <c r="H8" s="559">
        <v>1.4</v>
      </c>
      <c r="I8" s="560">
        <f t="shared" si="2"/>
        <v>0</v>
      </c>
      <c r="J8" s="523">
        <f t="shared" si="3"/>
        <v>0</v>
      </c>
      <c r="K8" s="523">
        <f t="shared" si="3"/>
        <v>0</v>
      </c>
      <c r="L8" s="523">
        <f t="shared" si="3"/>
        <v>0</v>
      </c>
      <c r="M8" s="523">
        <f t="shared" si="3"/>
        <v>0</v>
      </c>
      <c r="N8" s="523">
        <f t="shared" si="3"/>
        <v>0</v>
      </c>
      <c r="O8" s="523">
        <f t="shared" si="3"/>
        <v>0</v>
      </c>
      <c r="P8" s="523">
        <f t="shared" si="3"/>
        <v>0</v>
      </c>
      <c r="Q8" s="523">
        <f>Q12+Q16+Q20+Q24+Q28+Q32</f>
        <v>0</v>
      </c>
    </row>
    <row r="9" spans="1:17" ht="14.4">
      <c r="B9" s="558" t="s">
        <v>977</v>
      </c>
      <c r="C9" s="523">
        <f>C13+C17+C21+C25+C29+C33</f>
        <v>0</v>
      </c>
      <c r="D9" s="523"/>
      <c r="E9" s="523"/>
      <c r="F9" s="523">
        <f t="shared" si="1"/>
        <v>0</v>
      </c>
      <c r="G9" s="523">
        <f t="shared" si="1"/>
        <v>0</v>
      </c>
      <c r="H9" s="559">
        <v>1.4</v>
      </c>
      <c r="I9" s="560">
        <f t="shared" si="2"/>
        <v>0</v>
      </c>
      <c r="J9" s="523">
        <f t="shared" si="3"/>
        <v>0</v>
      </c>
      <c r="K9" s="523">
        <f t="shared" si="3"/>
        <v>0</v>
      </c>
      <c r="L9" s="523">
        <f t="shared" si="3"/>
        <v>0</v>
      </c>
      <c r="M9" s="523">
        <f t="shared" si="3"/>
        <v>0</v>
      </c>
      <c r="N9" s="523">
        <f t="shared" si="3"/>
        <v>0</v>
      </c>
      <c r="O9" s="523">
        <f t="shared" si="3"/>
        <v>0</v>
      </c>
      <c r="P9" s="523">
        <f t="shared" si="3"/>
        <v>0</v>
      </c>
      <c r="Q9" s="523">
        <f t="shared" si="3"/>
        <v>0</v>
      </c>
    </row>
    <row r="10" spans="1:17" ht="14.4">
      <c r="B10" s="561" t="s">
        <v>988</v>
      </c>
      <c r="C10" s="562"/>
      <c r="D10" s="562"/>
      <c r="E10" s="562"/>
      <c r="F10" s="562"/>
      <c r="G10" s="562"/>
      <c r="H10" s="559">
        <v>1.4</v>
      </c>
      <c r="I10" s="560">
        <f t="shared" si="2"/>
        <v>0</v>
      </c>
      <c r="J10" s="520"/>
      <c r="K10" s="520"/>
      <c r="L10" s="520"/>
      <c r="M10" s="520"/>
      <c r="N10" s="520"/>
      <c r="O10" s="520"/>
      <c r="P10" s="520"/>
      <c r="Q10" s="523">
        <f>SUM(Q11:Q13)</f>
        <v>0</v>
      </c>
    </row>
    <row r="11" spans="1:17" ht="14.4">
      <c r="B11" s="563" t="s">
        <v>975</v>
      </c>
      <c r="C11" s="562"/>
      <c r="D11" s="562"/>
      <c r="E11" s="562"/>
      <c r="F11" s="562"/>
      <c r="G11" s="562"/>
      <c r="H11" s="559">
        <v>1.4</v>
      </c>
      <c r="I11" s="560">
        <f t="shared" si="2"/>
        <v>0</v>
      </c>
      <c r="J11" s="520"/>
      <c r="K11" s="520"/>
      <c r="L11" s="520"/>
      <c r="M11" s="520"/>
      <c r="N11" s="520"/>
      <c r="O11" s="520"/>
      <c r="P11" s="520"/>
      <c r="Q11" s="523">
        <f>SUMPRODUCT($J$5:$P$5,J11:P11)</f>
        <v>0</v>
      </c>
    </row>
    <row r="12" spans="1:17" ht="14.4">
      <c r="B12" s="563" t="s">
        <v>976</v>
      </c>
      <c r="C12" s="562"/>
      <c r="D12" s="562"/>
      <c r="E12" s="562"/>
      <c r="F12" s="562"/>
      <c r="G12" s="562"/>
      <c r="H12" s="559">
        <v>1.4</v>
      </c>
      <c r="I12" s="560">
        <f t="shared" si="2"/>
        <v>0</v>
      </c>
      <c r="J12" s="520"/>
      <c r="K12" s="520"/>
      <c r="L12" s="520"/>
      <c r="M12" s="520"/>
      <c r="N12" s="520"/>
      <c r="O12" s="520"/>
      <c r="P12" s="520"/>
      <c r="Q12" s="523">
        <f t="shared" ref="Q12:Q13" si="4">SUMPRODUCT($J$5:$P$5,J12:P12)</f>
        <v>0</v>
      </c>
    </row>
    <row r="13" spans="1:17" ht="14.4">
      <c r="B13" s="563" t="s">
        <v>977</v>
      </c>
      <c r="C13" s="562"/>
      <c r="D13" s="562"/>
      <c r="E13" s="562"/>
      <c r="F13" s="562"/>
      <c r="G13" s="562"/>
      <c r="H13" s="559">
        <v>1.4</v>
      </c>
      <c r="I13" s="560">
        <f t="shared" si="2"/>
        <v>0</v>
      </c>
      <c r="J13" s="520"/>
      <c r="K13" s="520"/>
      <c r="L13" s="520"/>
      <c r="M13" s="520"/>
      <c r="N13" s="520"/>
      <c r="O13" s="520"/>
      <c r="P13" s="520"/>
      <c r="Q13" s="523">
        <f t="shared" si="4"/>
        <v>0</v>
      </c>
    </row>
    <row r="14" spans="1:17" ht="14.4">
      <c r="B14" s="561" t="s">
        <v>989</v>
      </c>
      <c r="C14" s="562"/>
      <c r="D14" s="562"/>
      <c r="E14" s="562"/>
      <c r="F14" s="562"/>
      <c r="G14" s="562"/>
      <c r="H14" s="559">
        <v>1.4</v>
      </c>
      <c r="I14" s="560">
        <f t="shared" si="2"/>
        <v>0</v>
      </c>
      <c r="J14" s="520"/>
      <c r="K14" s="520"/>
      <c r="L14" s="520"/>
      <c r="M14" s="520"/>
      <c r="N14" s="520"/>
      <c r="O14" s="520"/>
      <c r="P14" s="520"/>
      <c r="Q14" s="523">
        <f>SUM(Q15:Q17)</f>
        <v>0</v>
      </c>
    </row>
    <row r="15" spans="1:17" ht="14.4">
      <c r="B15" s="563" t="s">
        <v>975</v>
      </c>
      <c r="C15" s="562"/>
      <c r="D15" s="562"/>
      <c r="E15" s="562"/>
      <c r="F15" s="562"/>
      <c r="G15" s="562"/>
      <c r="H15" s="559">
        <v>1.4</v>
      </c>
      <c r="I15" s="560">
        <f t="shared" si="2"/>
        <v>0</v>
      </c>
      <c r="J15" s="520"/>
      <c r="K15" s="520"/>
      <c r="L15" s="520"/>
      <c r="M15" s="520"/>
      <c r="N15" s="520"/>
      <c r="O15" s="520"/>
      <c r="P15" s="520"/>
      <c r="Q15" s="523">
        <f>SUMPRODUCT($J$5:$P$5,J15:P15)</f>
        <v>0</v>
      </c>
    </row>
    <row r="16" spans="1:17" ht="14.4">
      <c r="B16" s="563" t="s">
        <v>976</v>
      </c>
      <c r="C16" s="562"/>
      <c r="D16" s="562"/>
      <c r="E16" s="562"/>
      <c r="F16" s="562"/>
      <c r="G16" s="562"/>
      <c r="H16" s="559">
        <v>1.4</v>
      </c>
      <c r="I16" s="560">
        <f t="shared" si="2"/>
        <v>0</v>
      </c>
      <c r="J16" s="520"/>
      <c r="K16" s="520"/>
      <c r="L16" s="520"/>
      <c r="M16" s="520"/>
      <c r="N16" s="520"/>
      <c r="O16" s="520"/>
      <c r="P16" s="520"/>
      <c r="Q16" s="523">
        <f t="shared" ref="Q16:Q17" si="5">SUMPRODUCT($J$5:$P$5,J16:P16)</f>
        <v>0</v>
      </c>
    </row>
    <row r="17" spans="2:17" ht="14.4">
      <c r="B17" s="563" t="s">
        <v>977</v>
      </c>
      <c r="C17" s="562"/>
      <c r="D17" s="562"/>
      <c r="E17" s="562"/>
      <c r="F17" s="562"/>
      <c r="G17" s="562"/>
      <c r="H17" s="559">
        <v>1.4</v>
      </c>
      <c r="I17" s="560">
        <f t="shared" si="2"/>
        <v>0</v>
      </c>
      <c r="J17" s="520"/>
      <c r="K17" s="520"/>
      <c r="L17" s="520"/>
      <c r="M17" s="520"/>
      <c r="N17" s="520"/>
      <c r="O17" s="520"/>
      <c r="P17" s="520"/>
      <c r="Q17" s="523">
        <f t="shared" si="5"/>
        <v>0</v>
      </c>
    </row>
    <row r="18" spans="2:17" ht="14.4">
      <c r="B18" s="561" t="s">
        <v>990</v>
      </c>
      <c r="C18" s="562"/>
      <c r="D18" s="562"/>
      <c r="E18" s="562"/>
      <c r="F18" s="562"/>
      <c r="G18" s="562"/>
      <c r="H18" s="559">
        <v>1.4</v>
      </c>
      <c r="I18" s="560">
        <f t="shared" si="2"/>
        <v>0</v>
      </c>
      <c r="J18" s="520"/>
      <c r="K18" s="520"/>
      <c r="L18" s="520"/>
      <c r="M18" s="520"/>
      <c r="N18" s="520"/>
      <c r="O18" s="520"/>
      <c r="P18" s="520"/>
      <c r="Q18" s="523">
        <f>SUM(Q19:Q21)</f>
        <v>0</v>
      </c>
    </row>
    <row r="19" spans="2:17" ht="14.4">
      <c r="B19" s="563" t="s">
        <v>975</v>
      </c>
      <c r="C19" s="562"/>
      <c r="D19" s="562"/>
      <c r="E19" s="562"/>
      <c r="F19" s="562"/>
      <c r="G19" s="562"/>
      <c r="H19" s="559">
        <v>1.4</v>
      </c>
      <c r="I19" s="560">
        <f t="shared" si="2"/>
        <v>0</v>
      </c>
      <c r="J19" s="520"/>
      <c r="K19" s="520"/>
      <c r="L19" s="520"/>
      <c r="M19" s="520"/>
      <c r="N19" s="520"/>
      <c r="O19" s="520"/>
      <c r="P19" s="520"/>
      <c r="Q19" s="523">
        <f>SUMPRODUCT($J$5:$P$5,J19:P19)</f>
        <v>0</v>
      </c>
    </row>
    <row r="20" spans="2:17" ht="14.4">
      <c r="B20" s="563" t="s">
        <v>976</v>
      </c>
      <c r="C20" s="562"/>
      <c r="D20" s="562"/>
      <c r="E20" s="562"/>
      <c r="F20" s="562"/>
      <c r="G20" s="562"/>
      <c r="H20" s="559">
        <v>1.4</v>
      </c>
      <c r="I20" s="560">
        <f t="shared" si="2"/>
        <v>0</v>
      </c>
      <c r="J20" s="520"/>
      <c r="K20" s="520"/>
      <c r="L20" s="520"/>
      <c r="M20" s="520"/>
      <c r="N20" s="520"/>
      <c r="O20" s="520"/>
      <c r="P20" s="520"/>
      <c r="Q20" s="523">
        <f t="shared" ref="Q20:Q21" si="6">SUMPRODUCT($J$5:$P$5,J20:P20)</f>
        <v>0</v>
      </c>
    </row>
    <row r="21" spans="2:17" ht="14.4">
      <c r="B21" s="563" t="s">
        <v>977</v>
      </c>
      <c r="C21" s="562"/>
      <c r="D21" s="562"/>
      <c r="E21" s="562"/>
      <c r="F21" s="562"/>
      <c r="G21" s="562"/>
      <c r="H21" s="559">
        <v>1.4</v>
      </c>
      <c r="I21" s="560">
        <f t="shared" si="2"/>
        <v>0</v>
      </c>
      <c r="J21" s="520"/>
      <c r="K21" s="520"/>
      <c r="L21" s="520"/>
      <c r="M21" s="520"/>
      <c r="N21" s="520"/>
      <c r="O21" s="520"/>
      <c r="P21" s="520"/>
      <c r="Q21" s="523">
        <f t="shared" si="6"/>
        <v>0</v>
      </c>
    </row>
    <row r="22" spans="2:17" ht="14.4">
      <c r="B22" s="561" t="s">
        <v>991</v>
      </c>
      <c r="C22" s="562"/>
      <c r="D22" s="562"/>
      <c r="E22" s="562"/>
      <c r="F22" s="562"/>
      <c r="G22" s="562"/>
      <c r="H22" s="559">
        <v>1.4</v>
      </c>
      <c r="I22" s="560">
        <f t="shared" si="2"/>
        <v>0</v>
      </c>
      <c r="J22" s="520"/>
      <c r="K22" s="520"/>
      <c r="L22" s="520"/>
      <c r="M22" s="520"/>
      <c r="N22" s="520"/>
      <c r="O22" s="520"/>
      <c r="P22" s="520"/>
      <c r="Q22" s="523">
        <f>SUM(Q23:Q25)</f>
        <v>0</v>
      </c>
    </row>
    <row r="23" spans="2:17" ht="14.4">
      <c r="B23" s="563" t="s">
        <v>975</v>
      </c>
      <c r="C23" s="562"/>
      <c r="D23" s="562"/>
      <c r="E23" s="562"/>
      <c r="F23" s="562"/>
      <c r="G23" s="562"/>
      <c r="H23" s="559">
        <v>1.4</v>
      </c>
      <c r="I23" s="560">
        <f t="shared" si="2"/>
        <v>0</v>
      </c>
      <c r="J23" s="520"/>
      <c r="K23" s="520"/>
      <c r="L23" s="520"/>
      <c r="M23" s="520"/>
      <c r="N23" s="520"/>
      <c r="O23" s="520"/>
      <c r="P23" s="520"/>
      <c r="Q23" s="523">
        <f>SUMPRODUCT($J$5:$P$5,J23:P23)</f>
        <v>0</v>
      </c>
    </row>
    <row r="24" spans="2:17" ht="14.4">
      <c r="B24" s="563" t="s">
        <v>976</v>
      </c>
      <c r="C24" s="562"/>
      <c r="D24" s="562"/>
      <c r="E24" s="562"/>
      <c r="F24" s="562"/>
      <c r="G24" s="562"/>
      <c r="H24" s="559">
        <v>1.4</v>
      </c>
      <c r="I24" s="560">
        <f t="shared" si="2"/>
        <v>0</v>
      </c>
      <c r="J24" s="520"/>
      <c r="K24" s="520"/>
      <c r="L24" s="520"/>
      <c r="M24" s="520"/>
      <c r="N24" s="520"/>
      <c r="O24" s="520"/>
      <c r="P24" s="520"/>
      <c r="Q24" s="523">
        <f t="shared" ref="Q24:Q25" si="7">SUMPRODUCT($J$5:$P$5,J24:P24)</f>
        <v>0</v>
      </c>
    </row>
    <row r="25" spans="2:17" ht="14.4">
      <c r="B25" s="563" t="s">
        <v>977</v>
      </c>
      <c r="C25" s="562"/>
      <c r="D25" s="562"/>
      <c r="E25" s="562"/>
      <c r="F25" s="562"/>
      <c r="G25" s="562"/>
      <c r="H25" s="559">
        <v>1.4</v>
      </c>
      <c r="I25" s="560">
        <f t="shared" si="2"/>
        <v>0</v>
      </c>
      <c r="J25" s="520"/>
      <c r="K25" s="520"/>
      <c r="L25" s="520"/>
      <c r="M25" s="520"/>
      <c r="N25" s="520"/>
      <c r="O25" s="520"/>
      <c r="P25" s="520"/>
      <c r="Q25" s="523">
        <f t="shared" si="7"/>
        <v>0</v>
      </c>
    </row>
    <row r="26" spans="2:17" ht="14.4">
      <c r="B26" s="561" t="s">
        <v>992</v>
      </c>
      <c r="C26" s="562"/>
      <c r="D26" s="562"/>
      <c r="E26" s="562"/>
      <c r="F26" s="562"/>
      <c r="G26" s="562"/>
      <c r="H26" s="559">
        <v>1.4</v>
      </c>
      <c r="I26" s="560">
        <f t="shared" si="2"/>
        <v>0</v>
      </c>
      <c r="J26" s="520"/>
      <c r="K26" s="520"/>
      <c r="L26" s="520"/>
      <c r="M26" s="520"/>
      <c r="N26" s="520"/>
      <c r="O26" s="520"/>
      <c r="P26" s="520"/>
      <c r="Q26" s="523">
        <f>SUM(Q27:Q29)</f>
        <v>0</v>
      </c>
    </row>
    <row r="27" spans="2:17" ht="14.4">
      <c r="B27" s="563" t="s">
        <v>975</v>
      </c>
      <c r="C27" s="562"/>
      <c r="D27" s="562"/>
      <c r="E27" s="562"/>
      <c r="F27" s="562"/>
      <c r="G27" s="562"/>
      <c r="H27" s="559">
        <v>1.4</v>
      </c>
      <c r="I27" s="560">
        <f t="shared" si="2"/>
        <v>0</v>
      </c>
      <c r="J27" s="520"/>
      <c r="K27" s="520"/>
      <c r="L27" s="520"/>
      <c r="M27" s="520"/>
      <c r="N27" s="520"/>
      <c r="O27" s="520"/>
      <c r="P27" s="520"/>
      <c r="Q27" s="523">
        <f>SUMPRODUCT($J$5:$P$5,J27:P27)</f>
        <v>0</v>
      </c>
    </row>
    <row r="28" spans="2:17" ht="14.4">
      <c r="B28" s="563" t="s">
        <v>976</v>
      </c>
      <c r="C28" s="562"/>
      <c r="D28" s="562"/>
      <c r="E28" s="562"/>
      <c r="F28" s="562"/>
      <c r="G28" s="562"/>
      <c r="H28" s="559">
        <v>1.4</v>
      </c>
      <c r="I28" s="560">
        <f t="shared" si="2"/>
        <v>0</v>
      </c>
      <c r="J28" s="520"/>
      <c r="K28" s="520"/>
      <c r="L28" s="520"/>
      <c r="M28" s="520"/>
      <c r="N28" s="520"/>
      <c r="O28" s="520"/>
      <c r="P28" s="520"/>
      <c r="Q28" s="523">
        <f t="shared" ref="Q28:Q29" si="8">SUMPRODUCT($J$5:$P$5,J28:P28)</f>
        <v>0</v>
      </c>
    </row>
    <row r="29" spans="2:17" ht="14.4">
      <c r="B29" s="563" t="s">
        <v>977</v>
      </c>
      <c r="C29" s="562"/>
      <c r="D29" s="562"/>
      <c r="E29" s="562"/>
      <c r="F29" s="562"/>
      <c r="G29" s="562"/>
      <c r="H29" s="559">
        <v>1.4</v>
      </c>
      <c r="I29" s="560">
        <f t="shared" si="2"/>
        <v>0</v>
      </c>
      <c r="J29" s="520"/>
      <c r="K29" s="520"/>
      <c r="L29" s="520"/>
      <c r="M29" s="520"/>
      <c r="N29" s="520"/>
      <c r="O29" s="520"/>
      <c r="P29" s="520"/>
      <c r="Q29" s="523">
        <f t="shared" si="8"/>
        <v>0</v>
      </c>
    </row>
    <row r="30" spans="2:17" ht="14.4">
      <c r="B30" s="564" t="s">
        <v>993</v>
      </c>
      <c r="C30" s="562"/>
      <c r="D30" s="562"/>
      <c r="E30" s="562"/>
      <c r="F30" s="562"/>
      <c r="G30" s="562"/>
      <c r="H30" s="559">
        <v>1.4</v>
      </c>
      <c r="I30" s="560">
        <f t="shared" si="2"/>
        <v>0</v>
      </c>
      <c r="J30" s="520"/>
      <c r="K30" s="520"/>
      <c r="L30" s="520"/>
      <c r="M30" s="520"/>
      <c r="N30" s="520"/>
      <c r="O30" s="520"/>
      <c r="P30" s="520"/>
      <c r="Q30" s="523">
        <f>SUM(Q31:Q33)</f>
        <v>0</v>
      </c>
    </row>
    <row r="31" spans="2:17" ht="14.4">
      <c r="B31" s="563" t="s">
        <v>975</v>
      </c>
      <c r="C31" s="562"/>
      <c r="D31" s="562"/>
      <c r="E31" s="562"/>
      <c r="F31" s="562"/>
      <c r="G31" s="562"/>
      <c r="H31" s="559">
        <v>1.4</v>
      </c>
      <c r="I31" s="560">
        <f t="shared" si="2"/>
        <v>0</v>
      </c>
      <c r="J31" s="520"/>
      <c r="K31" s="520"/>
      <c r="L31" s="520"/>
      <c r="M31" s="520"/>
      <c r="N31" s="520"/>
      <c r="O31" s="520"/>
      <c r="P31" s="520"/>
      <c r="Q31" s="523">
        <f>SUMPRODUCT($J$5:$P$5,J31:P31)</f>
        <v>0</v>
      </c>
    </row>
    <row r="32" spans="2:17" ht="14.4">
      <c r="B32" s="563" t="s">
        <v>976</v>
      </c>
      <c r="C32" s="562"/>
      <c r="D32" s="562"/>
      <c r="E32" s="562"/>
      <c r="F32" s="562"/>
      <c r="G32" s="562"/>
      <c r="H32" s="559">
        <v>1.4</v>
      </c>
      <c r="I32" s="560">
        <f t="shared" si="2"/>
        <v>0</v>
      </c>
      <c r="J32" s="520"/>
      <c r="K32" s="520"/>
      <c r="L32" s="520"/>
      <c r="M32" s="520"/>
      <c r="N32" s="520"/>
      <c r="O32" s="520"/>
      <c r="P32" s="520"/>
      <c r="Q32" s="523">
        <f t="shared" ref="Q32:Q33" si="9">SUMPRODUCT($J$5:$P$5,J32:P32)</f>
        <v>0</v>
      </c>
    </row>
    <row r="33" spans="2:17" ht="14.4">
      <c r="B33" s="563" t="s">
        <v>977</v>
      </c>
      <c r="C33" s="562"/>
      <c r="D33" s="562"/>
      <c r="E33" s="562"/>
      <c r="F33" s="562"/>
      <c r="G33" s="562"/>
      <c r="H33" s="559">
        <v>1.4</v>
      </c>
      <c r="I33" s="560">
        <f t="shared" si="2"/>
        <v>0</v>
      </c>
      <c r="J33" s="520"/>
      <c r="K33" s="520"/>
      <c r="L33" s="520"/>
      <c r="M33" s="520"/>
      <c r="N33" s="520"/>
      <c r="O33" s="520"/>
      <c r="P33" s="520"/>
      <c r="Q33" s="523">
        <f t="shared" si="9"/>
        <v>0</v>
      </c>
    </row>
    <row r="34" spans="2:17" ht="14.4">
      <c r="B34" s="565" t="s">
        <v>66</v>
      </c>
      <c r="C34" s="566" t="b">
        <f>C6</f>
        <v>0</v>
      </c>
      <c r="D34" s="566" t="b">
        <f t="shared" ref="D34:G34" si="10">D6</f>
        <v>0</v>
      </c>
      <c r="E34" s="566" t="b">
        <f t="shared" si="10"/>
        <v>0</v>
      </c>
      <c r="F34" s="566" t="b">
        <f t="shared" si="10"/>
        <v>0</v>
      </c>
      <c r="G34" s="566" t="b">
        <f t="shared" si="10"/>
        <v>0</v>
      </c>
      <c r="H34" s="559">
        <v>1.4</v>
      </c>
      <c r="I34" s="560">
        <f>(F34+G34)*H34</f>
        <v>0</v>
      </c>
      <c r="J34" s="566" t="b">
        <f t="shared" ref="J34:Q34" si="11">J6</f>
        <v>0</v>
      </c>
      <c r="K34" s="566" t="b">
        <f t="shared" si="11"/>
        <v>0</v>
      </c>
      <c r="L34" s="566" t="b">
        <f t="shared" si="11"/>
        <v>0</v>
      </c>
      <c r="M34" s="566" t="b">
        <f t="shared" si="11"/>
        <v>0</v>
      </c>
      <c r="N34" s="566" t="b">
        <f t="shared" si="11"/>
        <v>0</v>
      </c>
      <c r="O34" s="566" t="b">
        <f t="shared" si="11"/>
        <v>0</v>
      </c>
      <c r="P34" s="566" t="b">
        <f t="shared" si="11"/>
        <v>0</v>
      </c>
      <c r="Q34" s="566" t="b">
        <f t="shared" si="11"/>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G53"/>
  <sheetViews>
    <sheetView zoomScale="80" zoomScaleNormal="80" workbookViewId="0">
      <pane xSplit="1" ySplit="5" topLeftCell="B6" activePane="bottomRight" state="frozen"/>
      <selection pane="topRight" activeCell="B1" sqref="B1"/>
      <selection pane="bottomLeft" activeCell="A6" sqref="A6"/>
      <selection pane="bottomRight" activeCell="K15" sqref="K15"/>
    </sheetView>
  </sheetViews>
  <sheetFormatPr defaultRowHeight="14.4"/>
  <cols>
    <col min="1" max="1" width="9.44140625" style="11" bestFit="1" customWidth="1"/>
    <col min="2" max="2" width="88.33203125" style="9" customWidth="1"/>
    <col min="3" max="3" width="12.88671875" style="9" customWidth="1"/>
    <col min="4" max="7" width="12.88671875" style="1" customWidth="1"/>
  </cols>
  <sheetData>
    <row r="1" spans="1:7">
      <c r="A1" s="10" t="s">
        <v>96</v>
      </c>
      <c r="B1" s="224" t="str">
        <f>Info!C2</f>
        <v>სს პეივ ბანკ ჯორჯია</v>
      </c>
    </row>
    <row r="2" spans="1:7">
      <c r="A2" s="10" t="s">
        <v>97</v>
      </c>
      <c r="B2" s="245">
        <v>45930</v>
      </c>
    </row>
    <row r="3" spans="1:7" ht="15" thickBot="1">
      <c r="A3" s="10"/>
    </row>
    <row r="4" spans="1:7" ht="15" customHeight="1" thickBot="1">
      <c r="A4" s="29" t="s">
        <v>240</v>
      </c>
      <c r="B4" s="109" t="s">
        <v>127</v>
      </c>
      <c r="C4" s="110"/>
      <c r="D4" s="681" t="s">
        <v>903</v>
      </c>
      <c r="E4" s="682"/>
      <c r="F4" s="682"/>
      <c r="G4" s="683"/>
    </row>
    <row r="5" spans="1:7">
      <c r="A5" s="162" t="s">
        <v>25</v>
      </c>
      <c r="B5" s="163"/>
      <c r="C5" s="243" t="str">
        <f>INT((MONTH($B$2))/3)&amp;"Q"&amp;"-"&amp;YEAR($B$2)</f>
        <v>3Q-2025</v>
      </c>
      <c r="D5" s="243" t="str">
        <f>IF(INT(MONTH($B$2))=3, "4"&amp;"Q"&amp;"-"&amp;YEAR($B$2)-1, IF(INT(MONTH($B$2))=6, "1"&amp;"Q"&amp;"-"&amp;YEAR($B$2), IF(INT(MONTH($B$2))=9, "2"&amp;"Q"&amp;"-"&amp;YEAR($B$2),IF(INT(MONTH($B$2))=12, "3"&amp;"Q"&amp;"-"&amp;YEAR($B$2), 0))))</f>
        <v>2Q-2025</v>
      </c>
      <c r="E5" s="243" t="str">
        <f>IF(INT(MONTH($B$2))=3, "3"&amp;"Q"&amp;"-"&amp;YEAR($B$2)-1, IF(INT(MONTH($B$2))=6, "4"&amp;"Q"&amp;"-"&amp;YEAR($B$2)-1, IF(INT(MONTH($B$2))=9, "1"&amp;"Q"&amp;"-"&amp;YEAR($B$2),IF(INT(MONTH($B$2))=12, "2"&amp;"Q"&amp;"-"&amp;YEAR($B$2), 0))))</f>
        <v>1Q-2025</v>
      </c>
      <c r="F5" s="243" t="str">
        <f>IF(INT(MONTH($B$2))=3, "2"&amp;"Q"&amp;"-"&amp;YEAR($B$2)-1, IF(INT(MONTH($B$2))=6, "3"&amp;"Q"&amp;"-"&amp;YEAR($B$2)-1, IF(INT(MONTH($B$2))=9, "4"&amp;"Q"&amp;"-"&amp;YEAR($B$2)-1,IF(INT(MONTH($B$2))=12, "1"&amp;"Q"&amp;"-"&amp;YEAR($B$2), 0))))</f>
        <v>4Q-2024</v>
      </c>
      <c r="G5" s="244" t="str">
        <f>IF(INT(MONTH($B$2))=3, "1"&amp;"Q"&amp;"-"&amp;YEAR($B$2)-1, IF(INT(MONTH($B$2))=6, "2"&amp;"Q"&amp;"-"&amp;YEAR($B$2)-1, IF(INT(MONTH($B$2))=9, "3"&amp;"Q"&amp;"-"&amp;YEAR($B$2)-1,IF(INT(MONTH($B$2))=12, "4"&amp;"Q"&amp;"-"&amp;YEAR($B$2)-1, 0))))</f>
        <v>3Q-2024</v>
      </c>
    </row>
    <row r="6" spans="1:7">
      <c r="A6" s="645"/>
      <c r="B6" s="646" t="s">
        <v>94</v>
      </c>
      <c r="C6" s="647"/>
      <c r="D6" s="647"/>
      <c r="E6" s="647"/>
      <c r="F6" s="647"/>
      <c r="G6" s="164"/>
    </row>
    <row r="7" spans="1:7">
      <c r="A7" s="645"/>
      <c r="B7" s="648" t="s">
        <v>98</v>
      </c>
      <c r="C7" s="647"/>
      <c r="D7" s="647"/>
      <c r="E7" s="647"/>
      <c r="F7" s="647"/>
      <c r="G7" s="164"/>
    </row>
    <row r="8" spans="1:7">
      <c r="A8" s="649">
        <v>1</v>
      </c>
      <c r="B8" s="650" t="s">
        <v>22</v>
      </c>
      <c r="C8" s="651">
        <v>7975242.8100000024</v>
      </c>
      <c r="D8" s="652">
        <v>7278615.2800000012</v>
      </c>
      <c r="E8" s="652">
        <v>6989690.96</v>
      </c>
      <c r="F8" s="652">
        <v>7160433.9499999993</v>
      </c>
      <c r="G8" s="653">
        <v>7354346.4798980001</v>
      </c>
    </row>
    <row r="9" spans="1:7">
      <c r="A9" s="649">
        <v>2</v>
      </c>
      <c r="B9" s="650" t="s">
        <v>75</v>
      </c>
      <c r="C9" s="651">
        <v>7975242.8100000024</v>
      </c>
      <c r="D9" s="652">
        <v>7278615.2800000012</v>
      </c>
      <c r="E9" s="652">
        <v>6989690.96</v>
      </c>
      <c r="F9" s="652">
        <v>7160433.9499999993</v>
      </c>
      <c r="G9" s="653">
        <v>7354346.4798980001</v>
      </c>
    </row>
    <row r="10" spans="1:7">
      <c r="A10" s="649">
        <v>3</v>
      </c>
      <c r="B10" s="650" t="s">
        <v>74</v>
      </c>
      <c r="C10" s="651">
        <v>7975242.8100000024</v>
      </c>
      <c r="D10" s="652">
        <v>7278615.2800000012</v>
      </c>
      <c r="E10" s="652">
        <v>6989690.96</v>
      </c>
      <c r="F10" s="652">
        <v>7160433.9499999993</v>
      </c>
      <c r="G10" s="653">
        <v>7354346.4798980001</v>
      </c>
    </row>
    <row r="11" spans="1:7">
      <c r="A11" s="649">
        <v>4</v>
      </c>
      <c r="B11" s="650" t="s">
        <v>413</v>
      </c>
      <c r="C11" s="651">
        <v>3138306.0333923986</v>
      </c>
      <c r="D11" s="652">
        <v>1689687.3876280002</v>
      </c>
      <c r="E11" s="652">
        <v>1641422.3575679979</v>
      </c>
      <c r="F11" s="652">
        <v>245827.35145959997</v>
      </c>
      <c r="G11" s="653">
        <v>868093.87419494521</v>
      </c>
    </row>
    <row r="12" spans="1:7">
      <c r="A12" s="649">
        <v>5</v>
      </c>
      <c r="B12" s="650" t="s">
        <v>414</v>
      </c>
      <c r="C12" s="651">
        <v>3789269.2773748785</v>
      </c>
      <c r="D12" s="652">
        <v>2033903.3130383999</v>
      </c>
      <c r="E12" s="652">
        <v>1970274.5119583975</v>
      </c>
      <c r="F12" s="652">
        <v>299227.50325399998</v>
      </c>
      <c r="G12" s="653">
        <v>1002100.4958864752</v>
      </c>
    </row>
    <row r="13" spans="1:7">
      <c r="A13" s="649">
        <v>6</v>
      </c>
      <c r="B13" s="650" t="s">
        <v>415</v>
      </c>
      <c r="C13" s="651">
        <v>4656224.4557915181</v>
      </c>
      <c r="D13" s="652">
        <v>2492589.5705136</v>
      </c>
      <c r="E13" s="652">
        <v>2408719.791193597</v>
      </c>
      <c r="F13" s="652">
        <v>370313.53464919992</v>
      </c>
      <c r="G13" s="653">
        <v>1180761.4276885153</v>
      </c>
    </row>
    <row r="14" spans="1:7">
      <c r="A14" s="645"/>
      <c r="B14" s="646" t="s">
        <v>417</v>
      </c>
      <c r="C14" s="647"/>
      <c r="D14" s="647"/>
      <c r="E14" s="647"/>
      <c r="F14" s="647"/>
      <c r="G14" s="164"/>
    </row>
    <row r="15" spans="1:7" ht="21.9" customHeight="1">
      <c r="A15" s="649">
        <v>7</v>
      </c>
      <c r="B15" s="650" t="s">
        <v>416</v>
      </c>
      <c r="C15" s="654">
        <v>39613458.070831984</v>
      </c>
      <c r="D15" s="652">
        <v>21928151.35376</v>
      </c>
      <c r="E15" s="652">
        <v>21831289.141759973</v>
      </c>
      <c r="F15" s="652">
        <v>3126160.3297599996</v>
      </c>
      <c r="G15" s="653">
        <v>8878432.3901020009</v>
      </c>
    </row>
    <row r="16" spans="1:7">
      <c r="A16" s="645"/>
      <c r="B16" s="646" t="s">
        <v>420</v>
      </c>
      <c r="C16" s="647"/>
      <c r="D16" s="647"/>
      <c r="E16" s="647"/>
      <c r="F16" s="647"/>
      <c r="G16" s="164"/>
    </row>
    <row r="17" spans="1:7">
      <c r="A17" s="649"/>
      <c r="B17" s="648" t="s">
        <v>966</v>
      </c>
      <c r="C17" s="647"/>
      <c r="D17" s="647"/>
      <c r="E17" s="647"/>
      <c r="F17" s="647"/>
      <c r="G17" s="164"/>
    </row>
    <row r="18" spans="1:7">
      <c r="A18" s="649">
        <v>8</v>
      </c>
      <c r="B18" s="650" t="s">
        <v>411</v>
      </c>
      <c r="C18" s="655">
        <v>0.20132659955461701</v>
      </c>
      <c r="D18" s="656">
        <v>0.33193018246619971</v>
      </c>
      <c r="E18" s="656">
        <v>0.32016849369787204</v>
      </c>
      <c r="F18" s="656">
        <v>2.2904883930088502</v>
      </c>
      <c r="G18" s="657">
        <v>0.82833839992934932</v>
      </c>
    </row>
    <row r="19" spans="1:7" ht="15" customHeight="1">
      <c r="A19" s="649">
        <v>9</v>
      </c>
      <c r="B19" s="650" t="s">
        <v>410</v>
      </c>
      <c r="C19" s="655">
        <v>0.20132659955461701</v>
      </c>
      <c r="D19" s="656">
        <v>0.33193018246619971</v>
      </c>
      <c r="E19" s="656">
        <v>0.32016849369787204</v>
      </c>
      <c r="F19" s="656">
        <v>2.2904883930088502</v>
      </c>
      <c r="G19" s="657">
        <v>0.82833839992934932</v>
      </c>
    </row>
    <row r="20" spans="1:7">
      <c r="A20" s="649">
        <v>10</v>
      </c>
      <c r="B20" s="650" t="s">
        <v>412</v>
      </c>
      <c r="C20" s="655">
        <v>0.20132659955461701</v>
      </c>
      <c r="D20" s="656">
        <v>0.33193018246619971</v>
      </c>
      <c r="E20" s="656">
        <v>0.32016849369787204</v>
      </c>
      <c r="F20" s="656">
        <v>2.2904883930088502</v>
      </c>
      <c r="G20" s="657">
        <v>0.82833839992934932</v>
      </c>
    </row>
    <row r="21" spans="1:7">
      <c r="A21" s="649">
        <v>11</v>
      </c>
      <c r="B21" s="650" t="s">
        <v>413</v>
      </c>
      <c r="C21" s="655">
        <v>7.9223228322578151E-2</v>
      </c>
      <c r="D21" s="656">
        <v>7.7055624086536184E-2</v>
      </c>
      <c r="E21" s="656">
        <v>7.5186689476262017E-2</v>
      </c>
      <c r="F21" s="656">
        <v>7.8635554651310072E-2</v>
      </c>
      <c r="G21" s="657">
        <v>9.777557974792124E-2</v>
      </c>
    </row>
    <row r="22" spans="1:7">
      <c r="A22" s="649">
        <v>12</v>
      </c>
      <c r="B22" s="650" t="s">
        <v>414</v>
      </c>
      <c r="C22" s="655">
        <v>9.5656109360595751E-2</v>
      </c>
      <c r="D22" s="656">
        <v>9.2753067973039519E-2</v>
      </c>
      <c r="E22" s="656">
        <v>9.0250030548565202E-2</v>
      </c>
      <c r="F22" s="656">
        <v>9.5717260693718845E-2</v>
      </c>
      <c r="G22" s="657">
        <v>0.11286908001953737</v>
      </c>
    </row>
    <row r="23" spans="1:7">
      <c r="A23" s="649">
        <v>13</v>
      </c>
      <c r="B23" s="650" t="s">
        <v>415</v>
      </c>
      <c r="C23" s="655">
        <v>0.11754147914746099</v>
      </c>
      <c r="D23" s="656">
        <v>0.11367075729738603</v>
      </c>
      <c r="E23" s="656">
        <v>0.11033337406475362</v>
      </c>
      <c r="F23" s="656">
        <v>0.11845634759162513</v>
      </c>
      <c r="G23" s="657">
        <v>0.13299210669271649</v>
      </c>
    </row>
    <row r="24" spans="1:7">
      <c r="A24" s="645"/>
      <c r="B24" s="646" t="s">
        <v>951</v>
      </c>
      <c r="C24" s="647"/>
      <c r="D24" s="647"/>
      <c r="E24" s="647"/>
      <c r="F24" s="647"/>
      <c r="G24" s="164"/>
    </row>
    <row r="25" spans="1:7" ht="27.6">
      <c r="A25" s="649">
        <v>14</v>
      </c>
      <c r="B25" s="650" t="s">
        <v>952</v>
      </c>
      <c r="C25" s="655"/>
      <c r="D25" s="656"/>
      <c r="E25" s="656"/>
      <c r="F25" s="656"/>
      <c r="G25" s="657"/>
    </row>
    <row r="26" spans="1:7">
      <c r="A26" s="645"/>
      <c r="B26" s="646" t="s">
        <v>6</v>
      </c>
      <c r="C26" s="647"/>
      <c r="D26" s="647"/>
      <c r="E26" s="647"/>
      <c r="F26" s="647"/>
      <c r="G26" s="164"/>
    </row>
    <row r="27" spans="1:7" ht="15" customHeight="1">
      <c r="A27" s="658">
        <v>15</v>
      </c>
      <c r="B27" s="659" t="s">
        <v>7</v>
      </c>
      <c r="C27" s="660">
        <v>3.1625921347424125E-2</v>
      </c>
      <c r="D27" s="661">
        <v>3.3444606629717308E-2</v>
      </c>
      <c r="E27" s="661">
        <v>3.9426109350534477E-2</v>
      </c>
      <c r="F27" s="661">
        <v>6.7858347769004401E-2</v>
      </c>
      <c r="G27" s="662">
        <v>6.6197990778702365E-2</v>
      </c>
    </row>
    <row r="28" spans="1:7">
      <c r="A28" s="658">
        <v>16</v>
      </c>
      <c r="B28" s="659" t="s">
        <v>8</v>
      </c>
      <c r="C28" s="660">
        <v>-9.7574239910175288E-4</v>
      </c>
      <c r="D28" s="661">
        <v>-1.7667935160975798E-3</v>
      </c>
      <c r="E28" s="661">
        <v>-2.2029359931625644E-3</v>
      </c>
      <c r="F28" s="661">
        <v>0</v>
      </c>
      <c r="G28" s="662">
        <v>0</v>
      </c>
    </row>
    <row r="29" spans="1:7">
      <c r="A29" s="658">
        <v>17</v>
      </c>
      <c r="B29" s="659" t="s">
        <v>9</v>
      </c>
      <c r="C29" s="660">
        <v>2.4040414395681595E-2</v>
      </c>
      <c r="D29" s="661">
        <v>7.6029477815666522E-3</v>
      </c>
      <c r="E29" s="661">
        <v>-3.0312867553151223E-2</v>
      </c>
      <c r="F29" s="661">
        <v>-0.1411580828955431</v>
      </c>
      <c r="G29" s="662">
        <v>-7.4045213076350452E-2</v>
      </c>
    </row>
    <row r="30" spans="1:7">
      <c r="A30" s="658">
        <v>18</v>
      </c>
      <c r="B30" s="659" t="s">
        <v>128</v>
      </c>
      <c r="C30" s="660">
        <v>3.0650178948322379E-2</v>
      </c>
      <c r="D30" s="661">
        <v>3.1677813113619731E-2</v>
      </c>
      <c r="E30" s="661">
        <v>3.7223173357371915E-2</v>
      </c>
      <c r="F30" s="661">
        <v>6.7858347769004401E-2</v>
      </c>
      <c r="G30" s="662">
        <v>6.6197990778702365E-2</v>
      </c>
    </row>
    <row r="31" spans="1:7">
      <c r="A31" s="658">
        <v>19</v>
      </c>
      <c r="B31" s="659" t="s">
        <v>10</v>
      </c>
      <c r="C31" s="660">
        <v>-6.5600040687275431E-3</v>
      </c>
      <c r="D31" s="661">
        <v>-3.7500289232912556E-2</v>
      </c>
      <c r="E31" s="661">
        <v>-8.5324391157459809E-2</v>
      </c>
      <c r="F31" s="661">
        <v>-0.1334865588347669</v>
      </c>
      <c r="G31" s="662">
        <v>-2.3705041155177686E-2</v>
      </c>
    </row>
    <row r="32" spans="1:7">
      <c r="A32" s="658">
        <v>20</v>
      </c>
      <c r="B32" s="659" t="s">
        <v>11</v>
      </c>
      <c r="C32" s="660">
        <v>0.14139785993085688</v>
      </c>
      <c r="D32" s="661">
        <v>3.0352202020605169E-2</v>
      </c>
      <c r="E32" s="661">
        <v>-9.4668587918606537E-2</v>
      </c>
      <c r="F32" s="661">
        <v>-0.15516494467684588</v>
      </c>
      <c r="G32" s="662">
        <v>-7.9571960876634262E-2</v>
      </c>
    </row>
    <row r="33" spans="1:7">
      <c r="A33" s="645"/>
      <c r="B33" s="646" t="s">
        <v>12</v>
      </c>
      <c r="C33" s="663"/>
      <c r="D33" s="663"/>
      <c r="E33" s="663"/>
      <c r="F33" s="663"/>
      <c r="G33" s="578"/>
    </row>
    <row r="34" spans="1:7">
      <c r="A34" s="658">
        <v>21</v>
      </c>
      <c r="B34" s="659" t="s">
        <v>13</v>
      </c>
      <c r="C34" s="664">
        <v>0</v>
      </c>
      <c r="D34" s="661">
        <v>0</v>
      </c>
      <c r="E34" s="661">
        <v>0</v>
      </c>
      <c r="F34" s="661">
        <v>0</v>
      </c>
      <c r="G34" s="662">
        <v>0</v>
      </c>
    </row>
    <row r="35" spans="1:7" ht="15" customHeight="1">
      <c r="A35" s="658">
        <v>22</v>
      </c>
      <c r="B35" s="659" t="s">
        <v>916</v>
      </c>
      <c r="C35" s="664">
        <v>0</v>
      </c>
      <c r="D35" s="661">
        <v>0</v>
      </c>
      <c r="E35" s="661">
        <v>0</v>
      </c>
      <c r="F35" s="661">
        <v>0</v>
      </c>
      <c r="G35" s="662">
        <v>0</v>
      </c>
    </row>
    <row r="36" spans="1:7">
      <c r="A36" s="658">
        <v>23</v>
      </c>
      <c r="B36" s="659" t="s">
        <v>14</v>
      </c>
      <c r="C36" s="664">
        <v>0</v>
      </c>
      <c r="D36" s="661">
        <v>0</v>
      </c>
      <c r="E36" s="661">
        <v>0</v>
      </c>
      <c r="F36" s="661">
        <v>0</v>
      </c>
      <c r="G36" s="662">
        <v>0</v>
      </c>
    </row>
    <row r="37" spans="1:7" ht="15" customHeight="1">
      <c r="A37" s="658">
        <v>24</v>
      </c>
      <c r="B37" s="659" t="s">
        <v>15</v>
      </c>
      <c r="C37" s="664">
        <v>0</v>
      </c>
      <c r="D37" s="661">
        <v>0</v>
      </c>
      <c r="E37" s="661">
        <v>0</v>
      </c>
      <c r="F37" s="661">
        <v>0</v>
      </c>
      <c r="G37" s="662">
        <v>0</v>
      </c>
    </row>
    <row r="38" spans="1:7">
      <c r="A38" s="658">
        <v>25</v>
      </c>
      <c r="B38" s="659" t="s">
        <v>16</v>
      </c>
      <c r="C38" s="664">
        <v>0</v>
      </c>
      <c r="D38" s="661">
        <v>0</v>
      </c>
      <c r="E38" s="661">
        <v>0</v>
      </c>
      <c r="F38" s="661">
        <v>0</v>
      </c>
      <c r="G38" s="662">
        <v>0</v>
      </c>
    </row>
    <row r="39" spans="1:7" ht="15" customHeight="1">
      <c r="A39" s="645"/>
      <c r="B39" s="646" t="s">
        <v>17</v>
      </c>
      <c r="C39" s="647"/>
      <c r="D39" s="647"/>
      <c r="E39" s="647"/>
      <c r="F39" s="647"/>
      <c r="G39" s="164"/>
    </row>
    <row r="40" spans="1:7" ht="15" customHeight="1">
      <c r="A40" s="658">
        <v>26</v>
      </c>
      <c r="B40" s="659" t="s">
        <v>18</v>
      </c>
      <c r="C40" s="664">
        <v>1.0150575361659335</v>
      </c>
      <c r="D40" s="661">
        <v>1.0599622620317031</v>
      </c>
      <c r="E40" s="661">
        <v>1.0004729249427069</v>
      </c>
      <c r="F40" s="661">
        <v>0.9074778163511128</v>
      </c>
      <c r="G40" s="662">
        <v>0.94954649786269707</v>
      </c>
    </row>
    <row r="41" spans="1:7" ht="15" customHeight="1">
      <c r="A41" s="658">
        <v>27</v>
      </c>
      <c r="B41" s="659" t="s">
        <v>19</v>
      </c>
      <c r="C41" s="664">
        <v>0.96318004441312577</v>
      </c>
      <c r="D41" s="661">
        <v>0.94849184699537159</v>
      </c>
      <c r="E41" s="661">
        <v>0.9219849053143333</v>
      </c>
      <c r="F41" s="661">
        <v>0.35670614966880487</v>
      </c>
      <c r="G41" s="662">
        <v>0.99307669473340854</v>
      </c>
    </row>
    <row r="42" spans="1:7" ht="15" customHeight="1">
      <c r="A42" s="658">
        <v>28</v>
      </c>
      <c r="B42" s="665" t="s">
        <v>20</v>
      </c>
      <c r="C42" s="666">
        <v>0.78783390440027279</v>
      </c>
      <c r="D42" s="661">
        <v>0.79554974233544384</v>
      </c>
      <c r="E42" s="661">
        <v>0.72732388463905229</v>
      </c>
      <c r="F42" s="661">
        <v>0.14441667991948853</v>
      </c>
      <c r="G42" s="662">
        <v>0</v>
      </c>
    </row>
    <row r="43" spans="1:7" ht="15" customHeight="1">
      <c r="A43" s="667"/>
      <c r="B43" s="646" t="s">
        <v>343</v>
      </c>
      <c r="C43" s="647"/>
      <c r="D43" s="647"/>
      <c r="E43" s="647"/>
      <c r="F43" s="647"/>
      <c r="G43" s="164"/>
    </row>
    <row r="44" spans="1:7" ht="15" customHeight="1">
      <c r="A44" s="658">
        <v>29</v>
      </c>
      <c r="B44" s="668" t="s">
        <v>327</v>
      </c>
      <c r="C44" s="665">
        <f>'14. LCR'!H23</f>
        <v>63860324.525652207</v>
      </c>
      <c r="D44" s="669">
        <v>33965287.319450565</v>
      </c>
      <c r="E44" s="669">
        <v>14122641.891666673</v>
      </c>
      <c r="F44" s="669">
        <v>452655.96401639312</v>
      </c>
      <c r="G44" s="670">
        <v>3268.8172043010754</v>
      </c>
    </row>
    <row r="45" spans="1:7">
      <c r="A45" s="658">
        <v>30</v>
      </c>
      <c r="B45" s="659" t="s">
        <v>328</v>
      </c>
      <c r="C45" s="665">
        <f>'14. LCR'!H24</f>
        <v>44994422.233239166</v>
      </c>
      <c r="D45" s="669">
        <v>21293432.011329591</v>
      </c>
      <c r="E45" s="669">
        <v>10377351.318083346</v>
      </c>
      <c r="F45" s="669">
        <v>-7279430.0585573772</v>
      </c>
      <c r="G45" s="670">
        <v>-7487783.5431182776</v>
      </c>
    </row>
    <row r="46" spans="1:7">
      <c r="A46" s="278">
        <v>31</v>
      </c>
      <c r="B46" s="671" t="s">
        <v>326</v>
      </c>
      <c r="C46" s="664">
        <f>'14. LCR'!H25</f>
        <v>1.4192942448425541</v>
      </c>
      <c r="D46" s="672">
        <v>1.5951062891777457</v>
      </c>
      <c r="E46" s="672">
        <v>1.3609100683578925</v>
      </c>
      <c r="F46" s="669" t="s">
        <v>1015</v>
      </c>
      <c r="G46" s="670" t="s">
        <v>1015</v>
      </c>
    </row>
    <row r="47" spans="1:7">
      <c r="A47" s="278"/>
      <c r="B47" s="646" t="s">
        <v>421</v>
      </c>
      <c r="C47" s="647"/>
      <c r="D47" s="647"/>
      <c r="E47" s="647"/>
      <c r="F47" s="647"/>
      <c r="G47" s="164"/>
    </row>
    <row r="48" spans="1:7">
      <c r="A48" s="278">
        <v>32</v>
      </c>
      <c r="B48" s="671" t="s">
        <v>428</v>
      </c>
      <c r="C48" s="673">
        <v>40305116.644999996</v>
      </c>
      <c r="D48" s="669">
        <v>28955681.285000008</v>
      </c>
      <c r="E48" s="669">
        <v>18928741.454999998</v>
      </c>
      <c r="F48" s="669">
        <v>7796839.9099999992</v>
      </c>
      <c r="G48" s="670">
        <v>7354346.4798980001</v>
      </c>
    </row>
    <row r="49" spans="1:7">
      <c r="A49" s="278">
        <v>33</v>
      </c>
      <c r="B49" s="671" t="s">
        <v>441</v>
      </c>
      <c r="C49" s="673">
        <v>8165557.1829999974</v>
      </c>
      <c r="D49" s="669">
        <v>4615256.9434999954</v>
      </c>
      <c r="E49" s="669">
        <v>3021815.1269999989</v>
      </c>
      <c r="F49" s="669">
        <v>1729785.8715000001</v>
      </c>
      <c r="G49" s="670">
        <v>1417466.1060000027</v>
      </c>
    </row>
    <row r="50" spans="1:7" ht="15" thickBot="1">
      <c r="A50" s="674">
        <v>34</v>
      </c>
      <c r="B50" s="675" t="s">
        <v>455</v>
      </c>
      <c r="C50" s="676">
        <v>4.9359909852706503</v>
      </c>
      <c r="D50" s="677">
        <v>6.2739044953456853</v>
      </c>
      <c r="E50" s="677">
        <v>6.2640302796392762</v>
      </c>
      <c r="F50" s="677">
        <v>4.5074017764053629</v>
      </c>
      <c r="G50" s="678">
        <v>5.1883755447609881</v>
      </c>
    </row>
    <row r="51" spans="1:7">
      <c r="A51" s="12"/>
    </row>
    <row r="52" spans="1:7">
      <c r="B52" s="14"/>
    </row>
    <row r="53" spans="1:7" ht="69">
      <c r="B53" s="186" t="s">
        <v>342</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C39"/>
  <sheetViews>
    <sheetView zoomScale="80" zoomScaleNormal="80" workbookViewId="0">
      <selection activeCell="C1" sqref="C1"/>
    </sheetView>
  </sheetViews>
  <sheetFormatPr defaultRowHeight="14.4"/>
  <cols>
    <col min="1" max="1" width="11.44140625" customWidth="1"/>
    <col min="2" max="2" width="76.88671875" style="2" customWidth="1"/>
    <col min="3" max="3" width="22.88671875" customWidth="1"/>
  </cols>
  <sheetData>
    <row r="1" spans="1:3">
      <c r="A1" s="1" t="s">
        <v>96</v>
      </c>
      <c r="B1" t="str">
        <f>Info!C2</f>
        <v>სს პეივ ბანკ ჯორჯია</v>
      </c>
    </row>
    <row r="2" spans="1:3">
      <c r="A2" s="1" t="s">
        <v>97</v>
      </c>
      <c r="B2" s="245">
        <f>'1. key ratios'!B2</f>
        <v>45930</v>
      </c>
    </row>
    <row r="3" spans="1:3">
      <c r="A3" s="1"/>
      <c r="B3"/>
    </row>
    <row r="4" spans="1:3">
      <c r="A4" s="1" t="s">
        <v>405</v>
      </c>
      <c r="B4" t="s">
        <v>374</v>
      </c>
    </row>
    <row r="5" spans="1:3">
      <c r="A5" s="527"/>
      <c r="B5" s="527" t="s">
        <v>375</v>
      </c>
      <c r="C5" s="528"/>
    </row>
    <row r="6" spans="1:3">
      <c r="A6" s="529">
        <v>1</v>
      </c>
      <c r="B6" s="530" t="s">
        <v>375</v>
      </c>
      <c r="C6" s="531">
        <v>82065852.090000004</v>
      </c>
    </row>
    <row r="7" spans="1:3">
      <c r="A7" s="529">
        <v>2</v>
      </c>
      <c r="B7" s="530" t="s">
        <v>376</v>
      </c>
      <c r="C7" s="531">
        <v>-252640.53</v>
      </c>
    </row>
    <row r="8" spans="1:3">
      <c r="A8" s="532">
        <v>3</v>
      </c>
      <c r="B8" s="533" t="s">
        <v>377</v>
      </c>
      <c r="C8" s="534">
        <f>C6+C7</f>
        <v>81813211.560000002</v>
      </c>
    </row>
    <row r="9" spans="1:3">
      <c r="A9" s="535"/>
      <c r="B9" s="535" t="s">
        <v>378</v>
      </c>
      <c r="C9" s="536"/>
    </row>
    <row r="10" spans="1:3">
      <c r="A10" s="537">
        <v>4</v>
      </c>
      <c r="B10" s="538" t="s">
        <v>379</v>
      </c>
      <c r="C10" s="531">
        <f>IF('15. CCR'!F34=FALSE,0,'15. CCR'!F34)</f>
        <v>0</v>
      </c>
    </row>
    <row r="11" spans="1:3">
      <c r="A11" s="537">
        <v>5</v>
      </c>
      <c r="B11" s="539" t="s">
        <v>380</v>
      </c>
      <c r="C11" s="531">
        <f>IF('15. CCR'!G34=FALSE,0,'15. CCR'!G34)</f>
        <v>0</v>
      </c>
    </row>
    <row r="12" spans="1:3">
      <c r="A12" s="537">
        <v>6</v>
      </c>
      <c r="B12" s="540" t="s">
        <v>978</v>
      </c>
      <c r="C12" s="534">
        <f>'15. CCR'!I34</f>
        <v>0</v>
      </c>
    </row>
    <row r="13" spans="1:3">
      <c r="A13" s="541">
        <v>7</v>
      </c>
      <c r="B13" s="542" t="s">
        <v>381</v>
      </c>
      <c r="C13" s="531">
        <f>IF('15. CCR'!E34=FALSE,0,'15. CCR'!E34)</f>
        <v>0</v>
      </c>
    </row>
    <row r="14" spans="1:3">
      <c r="A14" s="543">
        <v>8</v>
      </c>
      <c r="B14" s="544" t="s">
        <v>382</v>
      </c>
      <c r="C14" s="534">
        <f>C12</f>
        <v>0</v>
      </c>
    </row>
    <row r="15" spans="1:3">
      <c r="A15" s="535"/>
      <c r="B15" s="535" t="s">
        <v>383</v>
      </c>
      <c r="C15" s="545"/>
    </row>
    <row r="16" spans="1:3">
      <c r="A16" s="541">
        <v>9</v>
      </c>
      <c r="B16" s="546" t="s">
        <v>384</v>
      </c>
      <c r="C16" s="531"/>
    </row>
    <row r="17" spans="1:3">
      <c r="A17" s="537">
        <v>10</v>
      </c>
      <c r="B17" s="530" t="s">
        <v>385</v>
      </c>
      <c r="C17" s="531"/>
    </row>
    <row r="18" spans="1:3">
      <c r="A18" s="537">
        <v>11</v>
      </c>
      <c r="B18" s="530" t="s">
        <v>386</v>
      </c>
      <c r="C18" s="531"/>
    </row>
    <row r="19" spans="1:3" ht="22.8">
      <c r="A19" s="541">
        <v>12</v>
      </c>
      <c r="B19" s="546" t="s">
        <v>387</v>
      </c>
      <c r="C19" s="531"/>
    </row>
    <row r="20" spans="1:3">
      <c r="A20" s="541">
        <v>13</v>
      </c>
      <c r="B20" s="546" t="s">
        <v>388</v>
      </c>
      <c r="C20" s="531"/>
    </row>
    <row r="21" spans="1:3">
      <c r="A21" s="541">
        <v>14</v>
      </c>
      <c r="B21" s="530" t="s">
        <v>389</v>
      </c>
      <c r="C21" s="531"/>
    </row>
    <row r="22" spans="1:3">
      <c r="A22" s="543">
        <v>15</v>
      </c>
      <c r="B22" s="544" t="s">
        <v>390</v>
      </c>
      <c r="C22" s="534">
        <f>SUM(C16:C21)</f>
        <v>0</v>
      </c>
    </row>
    <row r="23" spans="1:3">
      <c r="A23" s="535"/>
      <c r="B23" s="535" t="s">
        <v>391</v>
      </c>
      <c r="C23" s="536"/>
    </row>
    <row r="24" spans="1:3">
      <c r="A24" s="537">
        <v>16</v>
      </c>
      <c r="B24" s="530" t="s">
        <v>392</v>
      </c>
      <c r="C24" s="531"/>
    </row>
    <row r="25" spans="1:3">
      <c r="A25" s="537">
        <v>17</v>
      </c>
      <c r="B25" s="530" t="s">
        <v>393</v>
      </c>
      <c r="C25" s="531"/>
    </row>
    <row r="26" spans="1:3">
      <c r="A26" s="543">
        <v>18</v>
      </c>
      <c r="B26" s="544" t="s">
        <v>394</v>
      </c>
      <c r="C26" s="534">
        <f>C24+C25</f>
        <v>0</v>
      </c>
    </row>
    <row r="27" spans="1:3">
      <c r="A27" s="535"/>
      <c r="B27" s="535" t="s">
        <v>395</v>
      </c>
      <c r="C27" s="545"/>
    </row>
    <row r="28" spans="1:3">
      <c r="A28" s="537">
        <v>19</v>
      </c>
      <c r="B28" s="530" t="s">
        <v>396</v>
      </c>
      <c r="C28" s="531"/>
    </row>
    <row r="29" spans="1:3">
      <c r="A29" s="537">
        <v>20</v>
      </c>
      <c r="B29" s="530" t="s">
        <v>397</v>
      </c>
      <c r="C29" s="531"/>
    </row>
    <row r="30" spans="1:3">
      <c r="A30" s="535"/>
      <c r="B30" s="535" t="s">
        <v>398</v>
      </c>
      <c r="C30" s="536"/>
    </row>
    <row r="31" spans="1:3">
      <c r="A31" s="543">
        <v>21</v>
      </c>
      <c r="B31" s="544" t="s">
        <v>75</v>
      </c>
      <c r="C31" s="534">
        <f>'1. key ratios'!C9</f>
        <v>7975242.8100000024</v>
      </c>
    </row>
    <row r="32" spans="1:3">
      <c r="A32" s="543">
        <v>22</v>
      </c>
      <c r="B32" s="544" t="s">
        <v>399</v>
      </c>
      <c r="C32" s="534">
        <f>C8+C14+C22+C26</f>
        <v>81813211.560000002</v>
      </c>
    </row>
    <row r="33" spans="1:3">
      <c r="A33" s="547"/>
      <c r="B33" s="547" t="s">
        <v>374</v>
      </c>
      <c r="C33" s="536"/>
    </row>
    <row r="34" spans="1:3">
      <c r="A34" s="543">
        <v>23</v>
      </c>
      <c r="B34" s="544" t="s">
        <v>374</v>
      </c>
      <c r="C34" s="575">
        <f>IFERROR(C31/C32,0)</f>
        <v>9.74811116435777E-2</v>
      </c>
    </row>
    <row r="35" spans="1:3">
      <c r="A35" s="547"/>
      <c r="B35" s="547" t="s">
        <v>400</v>
      </c>
      <c r="C35" s="536"/>
    </row>
    <row r="36" spans="1:3">
      <c r="A36" s="541" t="s">
        <v>401</v>
      </c>
      <c r="B36" s="546" t="s">
        <v>402</v>
      </c>
      <c r="C36" s="548"/>
    </row>
    <row r="37" spans="1:3">
      <c r="A37" s="549" t="s">
        <v>403</v>
      </c>
      <c r="B37" s="550" t="s">
        <v>404</v>
      </c>
      <c r="C37" s="548"/>
    </row>
    <row r="39" spans="1:3">
      <c r="B39" s="225"/>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heetViews>
  <sheetFormatPr defaultRowHeight="14.4"/>
  <cols>
    <col min="1" max="1" width="11.44140625" customWidth="1"/>
    <col min="2" max="2" width="76.88671875" style="2" customWidth="1"/>
    <col min="3" max="6" width="24.44140625" customWidth="1"/>
  </cols>
  <sheetData>
    <row r="1" spans="1:6">
      <c r="A1" s="9" t="s">
        <v>96</v>
      </c>
      <c r="B1" t="str">
        <f>Info!C2</f>
        <v>სს პეივ ბანკ ჯორჯია</v>
      </c>
    </row>
    <row r="2" spans="1:6">
      <c r="A2" s="1" t="s">
        <v>97</v>
      </c>
      <c r="B2" s="245">
        <f>'1. key ratios'!B2</f>
        <v>45930</v>
      </c>
    </row>
    <row r="3" spans="1:6">
      <c r="A3" s="1"/>
      <c r="B3"/>
    </row>
    <row r="4" spans="1:6">
      <c r="A4" s="526" t="s">
        <v>970</v>
      </c>
    </row>
    <row r="5" spans="1:6" ht="86.4">
      <c r="B5" s="520"/>
      <c r="C5" s="521" t="s">
        <v>971</v>
      </c>
      <c r="D5" s="521" t="s">
        <v>972</v>
      </c>
      <c r="E5" s="521" t="s">
        <v>973</v>
      </c>
      <c r="F5" s="521" t="s">
        <v>974</v>
      </c>
    </row>
    <row r="6" spans="1:6">
      <c r="B6" s="522" t="s">
        <v>969</v>
      </c>
      <c r="C6" s="523" t="b">
        <f>IF(C7&gt;0,C7,IF(C8&gt;0,C8,IF(C9&gt;0,C9)))</f>
        <v>0</v>
      </c>
      <c r="D6" s="523" t="b">
        <f>IF(D7&gt;0,D7,IF(D8&gt;0,D8,IF(D9&gt;0,D9)))</f>
        <v>0</v>
      </c>
      <c r="E6" s="523" t="b">
        <f>IF(E7&gt;0,E7,IF(E8&gt;0,E8,IF(E9&gt;0,E9)))</f>
        <v>0</v>
      </c>
      <c r="F6" s="523" t="b">
        <f>IF(F7&gt;0,F7,IF(F8&gt;0,F8,IF(F9&gt;0,F9)))</f>
        <v>0</v>
      </c>
    </row>
    <row r="7" spans="1:6">
      <c r="B7" s="524" t="s">
        <v>975</v>
      </c>
      <c r="C7" s="525"/>
      <c r="D7" s="525"/>
      <c r="E7" s="525"/>
      <c r="F7" s="525"/>
    </row>
    <row r="8" spans="1:6">
      <c r="B8" s="524" t="s">
        <v>976</v>
      </c>
      <c r="C8" s="525"/>
      <c r="D8" s="525"/>
      <c r="E8" s="525"/>
      <c r="F8" s="525"/>
    </row>
    <row r="9" spans="1:6">
      <c r="B9" s="524" t="s">
        <v>977</v>
      </c>
      <c r="C9" s="525"/>
      <c r="D9" s="525"/>
      <c r="E9" s="525"/>
      <c r="F9" s="525"/>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G42"/>
  <sheetViews>
    <sheetView zoomScale="80" zoomScaleNormal="80" workbookViewId="0">
      <pane xSplit="2" ySplit="6" topLeftCell="C7" activePane="bottomRight" state="frozen"/>
      <selection pane="topRight" activeCell="C1" sqref="C1"/>
      <selection pane="bottomLeft" activeCell="A7" sqref="A7"/>
      <selection pane="bottomRight" activeCell="J44" sqref="J44"/>
    </sheetView>
  </sheetViews>
  <sheetFormatPr defaultRowHeight="14.4"/>
  <cols>
    <col min="1" max="1" width="9.88671875" style="1" bestFit="1" customWidth="1"/>
    <col min="2" max="2" width="82.6640625" style="14" customWidth="1"/>
    <col min="3" max="7" width="17.44140625" style="1" customWidth="1"/>
  </cols>
  <sheetData>
    <row r="1" spans="1:7">
      <c r="A1" s="1" t="s">
        <v>96</v>
      </c>
      <c r="B1" s="1" t="str">
        <f>Info!C2</f>
        <v>სს პეივ ბანკ ჯორჯია</v>
      </c>
    </row>
    <row r="2" spans="1:7">
      <c r="A2" s="1" t="s">
        <v>97</v>
      </c>
      <c r="B2" s="245">
        <f>'1. key ratios'!B2</f>
        <v>45930</v>
      </c>
    </row>
    <row r="3" spans="1:7">
      <c r="B3" s="245"/>
    </row>
    <row r="4" spans="1:7" ht="15" thickBot="1">
      <c r="A4" s="1" t="s">
        <v>456</v>
      </c>
      <c r="B4" s="159" t="s">
        <v>421</v>
      </c>
    </row>
    <row r="5" spans="1:7">
      <c r="A5" s="246"/>
      <c r="B5" s="247"/>
      <c r="C5" s="731" t="s">
        <v>422</v>
      </c>
      <c r="D5" s="731"/>
      <c r="E5" s="731"/>
      <c r="F5" s="731"/>
      <c r="G5" s="732" t="s">
        <v>423</v>
      </c>
    </row>
    <row r="6" spans="1:7">
      <c r="A6" s="248"/>
      <c r="B6" s="249"/>
      <c r="C6" s="250" t="s">
        <v>424</v>
      </c>
      <c r="D6" s="250" t="s">
        <v>425</v>
      </c>
      <c r="E6" s="250" t="s">
        <v>426</v>
      </c>
      <c r="F6" s="250" t="s">
        <v>427</v>
      </c>
      <c r="G6" s="733"/>
    </row>
    <row r="7" spans="1:7">
      <c r="A7" s="251"/>
      <c r="B7" s="252" t="s">
        <v>428</v>
      </c>
      <c r="C7" s="253"/>
      <c r="D7" s="253"/>
      <c r="E7" s="253"/>
      <c r="F7" s="253"/>
      <c r="G7" s="254"/>
    </row>
    <row r="8" spans="1:7">
      <c r="A8" s="255">
        <v>1</v>
      </c>
      <c r="B8" s="256" t="s">
        <v>429</v>
      </c>
      <c r="C8" s="257">
        <f>SUM(C9:C10)</f>
        <v>7975242.8099999959</v>
      </c>
      <c r="D8" s="257">
        <f>SUM(D9:D10)</f>
        <v>0</v>
      </c>
      <c r="E8" s="257">
        <f>SUM(E9:E10)</f>
        <v>0</v>
      </c>
      <c r="F8" s="257">
        <f>SUM(F9:F10)</f>
        <v>2743.5</v>
      </c>
      <c r="G8" s="258">
        <f>SUM(G9:G10)</f>
        <v>7977986.3099999959</v>
      </c>
    </row>
    <row r="9" spans="1:7">
      <c r="A9" s="255">
        <v>2</v>
      </c>
      <c r="B9" s="259" t="s">
        <v>74</v>
      </c>
      <c r="C9" s="257">
        <v>7975242.8099999959</v>
      </c>
      <c r="D9" s="257"/>
      <c r="E9" s="257"/>
      <c r="F9" s="257"/>
      <c r="G9" s="576">
        <f>C9</f>
        <v>7975242.8099999959</v>
      </c>
    </row>
    <row r="10" spans="1:7">
      <c r="A10" s="255">
        <v>3</v>
      </c>
      <c r="B10" s="259" t="s">
        <v>430</v>
      </c>
      <c r="C10" s="260"/>
      <c r="D10" s="260"/>
      <c r="E10" s="260"/>
      <c r="F10" s="257">
        <v>2743.5</v>
      </c>
      <c r="G10" s="576">
        <f>F10</f>
        <v>2743.5</v>
      </c>
    </row>
    <row r="11" spans="1:7" ht="27.6">
      <c r="A11" s="255">
        <v>4</v>
      </c>
      <c r="B11" s="256" t="s">
        <v>431</v>
      </c>
      <c r="C11" s="257">
        <f t="shared" ref="C11:F11" si="0">SUM(C12:C13)</f>
        <v>0</v>
      </c>
      <c r="D11" s="257">
        <f t="shared" si="0"/>
        <v>0</v>
      </c>
      <c r="E11" s="257">
        <f t="shared" si="0"/>
        <v>0</v>
      </c>
      <c r="F11" s="257">
        <f t="shared" si="0"/>
        <v>0</v>
      </c>
      <c r="G11" s="258">
        <f>SUM(G12:G13)</f>
        <v>0</v>
      </c>
    </row>
    <row r="12" spans="1:7">
      <c r="A12" s="255">
        <v>5</v>
      </c>
      <c r="B12" s="259" t="s">
        <v>432</v>
      </c>
      <c r="C12" s="257"/>
      <c r="D12" s="261"/>
      <c r="E12" s="257"/>
      <c r="F12" s="257"/>
      <c r="G12" s="258"/>
    </row>
    <row r="13" spans="1:7">
      <c r="A13" s="255">
        <v>6</v>
      </c>
      <c r="B13" s="259" t="s">
        <v>433</v>
      </c>
      <c r="C13" s="257"/>
      <c r="D13" s="261"/>
      <c r="E13" s="257"/>
      <c r="F13" s="257"/>
      <c r="G13" s="258"/>
    </row>
    <row r="14" spans="1:7">
      <c r="A14" s="255">
        <v>7</v>
      </c>
      <c r="B14" s="256" t="s">
        <v>434</v>
      </c>
      <c r="C14" s="257">
        <f t="shared" ref="C14:F14" si="1">SUM(C15:C16)</f>
        <v>0</v>
      </c>
      <c r="D14" s="257">
        <f t="shared" si="1"/>
        <v>64654260.670000002</v>
      </c>
      <c r="E14" s="257">
        <f t="shared" si="1"/>
        <v>0</v>
      </c>
      <c r="F14" s="257">
        <f t="shared" si="1"/>
        <v>0</v>
      </c>
      <c r="G14" s="258">
        <f>SUM(G15:G16)</f>
        <v>32327130.335000001</v>
      </c>
    </row>
    <row r="15" spans="1:7" ht="55.2">
      <c r="A15" s="255">
        <v>8</v>
      </c>
      <c r="B15" s="259" t="s">
        <v>435</v>
      </c>
      <c r="C15" s="257"/>
      <c r="D15" s="261">
        <v>64654260.670000002</v>
      </c>
      <c r="E15" s="257"/>
      <c r="F15" s="257"/>
      <c r="G15" s="576">
        <f>D15*0.5</f>
        <v>32327130.335000001</v>
      </c>
    </row>
    <row r="16" spans="1:7" ht="27.6">
      <c r="A16" s="255">
        <v>9</v>
      </c>
      <c r="B16" s="259" t="s">
        <v>436</v>
      </c>
      <c r="C16" s="257"/>
      <c r="D16" s="261"/>
      <c r="E16" s="257"/>
      <c r="F16" s="257"/>
      <c r="G16" s="258"/>
    </row>
    <row r="17" spans="1:7">
      <c r="A17" s="255">
        <v>10</v>
      </c>
      <c r="B17" s="256" t="s">
        <v>437</v>
      </c>
      <c r="C17" s="257"/>
      <c r="D17" s="261"/>
      <c r="E17" s="257"/>
      <c r="F17" s="257"/>
      <c r="G17" s="258"/>
    </row>
    <row r="18" spans="1:7">
      <c r="A18" s="255">
        <v>11</v>
      </c>
      <c r="B18" s="256" t="s">
        <v>78</v>
      </c>
      <c r="C18" s="257">
        <f>SUM(C19:C20)</f>
        <v>0</v>
      </c>
      <c r="D18" s="261">
        <f t="shared" ref="D18:G18" si="2">SUM(D19:D20)</f>
        <v>9180964.5799999982</v>
      </c>
      <c r="E18" s="257">
        <f t="shared" si="2"/>
        <v>0</v>
      </c>
      <c r="F18" s="257">
        <f t="shared" si="2"/>
        <v>0</v>
      </c>
      <c r="G18" s="258">
        <f t="shared" si="2"/>
        <v>0</v>
      </c>
    </row>
    <row r="19" spans="1:7">
      <c r="A19" s="255">
        <v>12</v>
      </c>
      <c r="B19" s="259" t="s">
        <v>438</v>
      </c>
      <c r="C19" s="260"/>
      <c r="D19" s="261"/>
      <c r="E19" s="257"/>
      <c r="F19" s="257"/>
      <c r="G19" s="258"/>
    </row>
    <row r="20" spans="1:7" ht="27.6">
      <c r="A20" s="255">
        <v>13</v>
      </c>
      <c r="B20" s="259" t="s">
        <v>439</v>
      </c>
      <c r="C20" s="257"/>
      <c r="D20" s="257">
        <v>9180964.5799999982</v>
      </c>
      <c r="E20" s="257"/>
      <c r="F20" s="257"/>
      <c r="G20" s="576">
        <f>D20*0</f>
        <v>0</v>
      </c>
    </row>
    <row r="21" spans="1:7">
      <c r="A21" s="262">
        <v>14</v>
      </c>
      <c r="B21" s="263" t="s">
        <v>440</v>
      </c>
      <c r="C21" s="260"/>
      <c r="D21" s="260"/>
      <c r="E21" s="260"/>
      <c r="F21" s="260"/>
      <c r="G21" s="264">
        <f>SUM(G8,G11,G14,G17,G18)</f>
        <v>40305116.644999996</v>
      </c>
    </row>
    <row r="22" spans="1:7">
      <c r="A22" s="265"/>
      <c r="B22" s="279" t="s">
        <v>441</v>
      </c>
      <c r="C22" s="266"/>
      <c r="D22" s="267"/>
      <c r="E22" s="266"/>
      <c r="F22" s="266"/>
      <c r="G22" s="268"/>
    </row>
    <row r="23" spans="1:7">
      <c r="A23" s="255">
        <v>15</v>
      </c>
      <c r="B23" s="256" t="s">
        <v>309</v>
      </c>
      <c r="C23" s="269"/>
      <c r="D23" s="270">
        <v>24619763.620000005</v>
      </c>
      <c r="E23" s="269"/>
      <c r="F23" s="269"/>
      <c r="G23" s="576">
        <f>D23*0.05</f>
        <v>1230988.1810000003</v>
      </c>
    </row>
    <row r="24" spans="1:7">
      <c r="A24" s="255">
        <v>16</v>
      </c>
      <c r="B24" s="256" t="s">
        <v>442</v>
      </c>
      <c r="C24" s="257">
        <f>SUM(C25:C27,C29,C31)</f>
        <v>0</v>
      </c>
      <c r="D24" s="261">
        <f t="shared" ref="D24:G24" si="3">SUM(D25:D27,D29,D31)</f>
        <v>20544855.280000001</v>
      </c>
      <c r="E24" s="257">
        <f t="shared" si="3"/>
        <v>0</v>
      </c>
      <c r="F24" s="257">
        <f t="shared" si="3"/>
        <v>0</v>
      </c>
      <c r="G24" s="258">
        <f t="shared" si="3"/>
        <v>3081728.2919999999</v>
      </c>
    </row>
    <row r="25" spans="1:7" ht="27.6">
      <c r="A25" s="255">
        <v>17</v>
      </c>
      <c r="B25" s="259" t="s">
        <v>443</v>
      </c>
      <c r="C25" s="257"/>
      <c r="D25" s="261"/>
      <c r="E25" s="257"/>
      <c r="F25" s="257"/>
      <c r="G25" s="258"/>
    </row>
    <row r="26" spans="1:7" ht="27.6">
      <c r="A26" s="255">
        <v>18</v>
      </c>
      <c r="B26" s="259" t="s">
        <v>444</v>
      </c>
      <c r="C26" s="257"/>
      <c r="D26" s="261">
        <v>20544855.280000001</v>
      </c>
      <c r="E26" s="257"/>
      <c r="F26" s="257"/>
      <c r="G26" s="576">
        <f>D26*0.15</f>
        <v>3081728.2919999999</v>
      </c>
    </row>
    <row r="27" spans="1:7">
      <c r="A27" s="255">
        <v>19</v>
      </c>
      <c r="B27" s="259" t="s">
        <v>445</v>
      </c>
      <c r="C27" s="257"/>
      <c r="D27" s="261"/>
      <c r="E27" s="257"/>
      <c r="F27" s="257"/>
      <c r="G27" s="258"/>
    </row>
    <row r="28" spans="1:7">
      <c r="A28" s="255">
        <v>20</v>
      </c>
      <c r="B28" s="271" t="s">
        <v>446</v>
      </c>
      <c r="C28" s="257"/>
      <c r="D28" s="261"/>
      <c r="E28" s="257"/>
      <c r="F28" s="257"/>
      <c r="G28" s="258"/>
    </row>
    <row r="29" spans="1:7">
      <c r="A29" s="255">
        <v>21</v>
      </c>
      <c r="B29" s="259" t="s">
        <v>447</v>
      </c>
      <c r="C29" s="257"/>
      <c r="D29" s="261"/>
      <c r="E29" s="257"/>
      <c r="F29" s="257"/>
      <c r="G29" s="258"/>
    </row>
    <row r="30" spans="1:7">
      <c r="A30" s="255">
        <v>22</v>
      </c>
      <c r="B30" s="271" t="s">
        <v>446</v>
      </c>
      <c r="C30" s="257"/>
      <c r="D30" s="261"/>
      <c r="E30" s="257"/>
      <c r="F30" s="257"/>
      <c r="G30" s="258"/>
    </row>
    <row r="31" spans="1:7" ht="27.6">
      <c r="A31" s="255">
        <v>23</v>
      </c>
      <c r="B31" s="259" t="s">
        <v>448</v>
      </c>
      <c r="C31" s="257"/>
      <c r="D31" s="261"/>
      <c r="E31" s="257"/>
      <c r="F31" s="257"/>
      <c r="G31" s="258"/>
    </row>
    <row r="32" spans="1:7">
      <c r="A32" s="255">
        <v>24</v>
      </c>
      <c r="B32" s="256" t="s">
        <v>449</v>
      </c>
      <c r="C32" s="257"/>
      <c r="D32" s="261"/>
      <c r="E32" s="257"/>
      <c r="F32" s="257"/>
      <c r="G32" s="258"/>
    </row>
    <row r="33" spans="1:7">
      <c r="A33" s="255">
        <v>25</v>
      </c>
      <c r="B33" s="256" t="s">
        <v>88</v>
      </c>
      <c r="C33" s="257">
        <f>SUM(C34:C35)</f>
        <v>0</v>
      </c>
      <c r="D33" s="257">
        <f>SUM(D34:D35)</f>
        <v>0</v>
      </c>
      <c r="E33" s="257">
        <f>SUM(E34:E35)</f>
        <v>0</v>
      </c>
      <c r="F33" s="257">
        <f>SUM(F34:F35)</f>
        <v>3852840.7099999972</v>
      </c>
      <c r="G33" s="258">
        <f>SUM(G34:G35)</f>
        <v>3852840.7099999972</v>
      </c>
    </row>
    <row r="34" spans="1:7">
      <c r="A34" s="255">
        <v>26</v>
      </c>
      <c r="B34" s="259" t="s">
        <v>450</v>
      </c>
      <c r="C34" s="260"/>
      <c r="D34" s="261"/>
      <c r="E34" s="257"/>
      <c r="F34" s="257"/>
      <c r="G34" s="258"/>
    </row>
    <row r="35" spans="1:7">
      <c r="A35" s="255">
        <v>27</v>
      </c>
      <c r="B35" s="259" t="s">
        <v>451</v>
      </c>
      <c r="C35" s="257"/>
      <c r="D35" s="261"/>
      <c r="E35" s="257"/>
      <c r="F35" s="577">
        <v>3852840.7099999972</v>
      </c>
      <c r="G35" s="576">
        <f>F35</f>
        <v>3852840.7099999972</v>
      </c>
    </row>
    <row r="36" spans="1:7">
      <c r="A36" s="255">
        <v>28</v>
      </c>
      <c r="B36" s="256" t="s">
        <v>452</v>
      </c>
      <c r="C36" s="257"/>
      <c r="D36" s="261"/>
      <c r="E36" s="257"/>
      <c r="F36" s="257"/>
      <c r="G36" s="258"/>
    </row>
    <row r="37" spans="1:7">
      <c r="A37" s="262">
        <v>29</v>
      </c>
      <c r="B37" s="263" t="s">
        <v>453</v>
      </c>
      <c r="C37" s="260"/>
      <c r="D37" s="260"/>
      <c r="E37" s="260"/>
      <c r="F37" s="260"/>
      <c r="G37" s="264">
        <f>SUM(G23:G24,G32:G33,G36)</f>
        <v>8165557.1829999974</v>
      </c>
    </row>
    <row r="38" spans="1:7">
      <c r="A38" s="251"/>
      <c r="B38" s="272"/>
      <c r="C38" s="273"/>
      <c r="D38" s="273"/>
      <c r="E38" s="273"/>
      <c r="F38" s="273"/>
      <c r="G38" s="274"/>
    </row>
    <row r="39" spans="1:7" ht="15" thickBot="1">
      <c r="A39" s="275">
        <v>30</v>
      </c>
      <c r="B39" s="276" t="s">
        <v>421</v>
      </c>
      <c r="C39" s="182"/>
      <c r="D39" s="174"/>
      <c r="E39" s="174"/>
      <c r="F39" s="277"/>
      <c r="G39" s="641">
        <f>IFERROR(G21/G37,0)</f>
        <v>4.9359909852706503</v>
      </c>
    </row>
    <row r="42" spans="1:7" ht="41.4">
      <c r="B42" s="14" t="s">
        <v>454</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zoomScale="80" zoomScaleNormal="80" workbookViewId="0">
      <selection activeCell="H30" sqref="H30"/>
    </sheetView>
  </sheetViews>
  <sheetFormatPr defaultColWidth="9.109375" defaultRowHeight="12"/>
  <cols>
    <col min="1" max="1" width="11.88671875" style="284" bestFit="1" customWidth="1"/>
    <col min="2" max="2" width="105.109375" style="284" bestFit="1" customWidth="1"/>
    <col min="3" max="4" width="14.109375" style="284" bestFit="1" customWidth="1"/>
    <col min="5" max="5" width="17.44140625" style="284" bestFit="1" customWidth="1"/>
    <col min="6" max="6" width="10.44140625" style="284" bestFit="1" customWidth="1"/>
    <col min="7" max="7" width="30.44140625" style="284" customWidth="1"/>
    <col min="8" max="8" width="14.109375" style="284" bestFit="1" customWidth="1"/>
    <col min="9" max="16384" width="9.109375" style="284"/>
  </cols>
  <sheetData>
    <row r="1" spans="1:8" ht="13.8">
      <c r="A1" s="283" t="s">
        <v>96</v>
      </c>
      <c r="B1" s="224" t="str">
        <f>Info!C2</f>
        <v>სს პეივ ბანკ ჯორჯია</v>
      </c>
    </row>
    <row r="2" spans="1:8">
      <c r="A2" s="283" t="s">
        <v>97</v>
      </c>
      <c r="B2" s="286">
        <f>'1. key ratios'!B2</f>
        <v>45930</v>
      </c>
    </row>
    <row r="3" spans="1:8">
      <c r="A3" s="285" t="s">
        <v>461</v>
      </c>
    </row>
    <row r="5" spans="1:8">
      <c r="A5" s="734" t="s">
        <v>462</v>
      </c>
      <c r="B5" s="735"/>
      <c r="C5" s="740" t="s">
        <v>463</v>
      </c>
      <c r="D5" s="741"/>
      <c r="E5" s="741"/>
      <c r="F5" s="741"/>
      <c r="G5" s="741"/>
      <c r="H5" s="742"/>
    </row>
    <row r="6" spans="1:8">
      <c r="A6" s="736"/>
      <c r="B6" s="737"/>
      <c r="C6" s="743"/>
      <c r="D6" s="744"/>
      <c r="E6" s="744"/>
      <c r="F6" s="744"/>
      <c r="G6" s="744"/>
      <c r="H6" s="745"/>
    </row>
    <row r="7" spans="1:8" ht="24">
      <c r="A7" s="738"/>
      <c r="B7" s="739"/>
      <c r="C7" s="343" t="s">
        <v>464</v>
      </c>
      <c r="D7" s="343" t="s">
        <v>465</v>
      </c>
      <c r="E7" s="343" t="s">
        <v>466</v>
      </c>
      <c r="F7" s="343" t="s">
        <v>467</v>
      </c>
      <c r="G7" s="343" t="s">
        <v>647</v>
      </c>
      <c r="H7" s="343" t="s">
        <v>66</v>
      </c>
    </row>
    <row r="8" spans="1:8">
      <c r="A8" s="339">
        <v>1</v>
      </c>
      <c r="B8" s="338" t="s">
        <v>122</v>
      </c>
      <c r="C8" s="587">
        <v>32795751.950000003</v>
      </c>
      <c r="D8" s="587">
        <v>24619763.620000005</v>
      </c>
      <c r="E8" s="587"/>
      <c r="F8" s="587"/>
      <c r="G8" s="587"/>
      <c r="H8" s="587">
        <f t="shared" ref="H8:H20" si="0">SUM(C8:G8)</f>
        <v>57415515.570000008</v>
      </c>
    </row>
    <row r="9" spans="1:8">
      <c r="A9" s="339">
        <v>2</v>
      </c>
      <c r="B9" s="338" t="s">
        <v>123</v>
      </c>
      <c r="C9" s="587"/>
      <c r="D9" s="587"/>
      <c r="E9" s="587"/>
      <c r="F9" s="587"/>
      <c r="G9" s="587"/>
      <c r="H9" s="587">
        <f t="shared" si="0"/>
        <v>0</v>
      </c>
    </row>
    <row r="10" spans="1:8">
      <c r="A10" s="339">
        <v>3</v>
      </c>
      <c r="B10" s="338" t="s">
        <v>124</v>
      </c>
      <c r="C10" s="587"/>
      <c r="D10" s="587"/>
      <c r="E10" s="587"/>
      <c r="F10" s="587"/>
      <c r="G10" s="587"/>
      <c r="H10" s="587">
        <f t="shared" si="0"/>
        <v>0</v>
      </c>
    </row>
    <row r="11" spans="1:8">
      <c r="A11" s="339">
        <v>4</v>
      </c>
      <c r="B11" s="338" t="s">
        <v>125</v>
      </c>
      <c r="C11" s="587"/>
      <c r="D11" s="587"/>
      <c r="E11" s="587"/>
      <c r="F11" s="587"/>
      <c r="G11" s="587"/>
      <c r="H11" s="587">
        <f t="shared" si="0"/>
        <v>0</v>
      </c>
    </row>
    <row r="12" spans="1:8">
      <c r="A12" s="339">
        <v>5</v>
      </c>
      <c r="B12" s="338" t="s">
        <v>911</v>
      </c>
      <c r="C12" s="587"/>
      <c r="D12" s="587"/>
      <c r="E12" s="587"/>
      <c r="F12" s="587"/>
      <c r="G12" s="587"/>
      <c r="H12" s="587">
        <f t="shared" si="0"/>
        <v>0</v>
      </c>
    </row>
    <row r="13" spans="1:8">
      <c r="A13" s="339">
        <v>6</v>
      </c>
      <c r="B13" s="338" t="s">
        <v>126</v>
      </c>
      <c r="C13" s="587">
        <v>9794557.1900000013</v>
      </c>
      <c r="D13" s="587">
        <v>10750298.09</v>
      </c>
      <c r="E13" s="587"/>
      <c r="F13" s="587"/>
      <c r="G13" s="587"/>
      <c r="H13" s="587">
        <f t="shared" si="0"/>
        <v>20544855.280000001</v>
      </c>
    </row>
    <row r="14" spans="1:8">
      <c r="A14" s="339">
        <v>7</v>
      </c>
      <c r="B14" s="338" t="s">
        <v>71</v>
      </c>
      <c r="C14" s="587"/>
      <c r="D14" s="587"/>
      <c r="E14" s="587"/>
      <c r="F14" s="587"/>
      <c r="G14" s="587"/>
      <c r="H14" s="587">
        <f t="shared" si="0"/>
        <v>0</v>
      </c>
    </row>
    <row r="15" spans="1:8">
      <c r="A15" s="339">
        <v>8</v>
      </c>
      <c r="B15" s="340" t="s">
        <v>72</v>
      </c>
      <c r="C15" s="587"/>
      <c r="D15" s="587"/>
      <c r="E15" s="587"/>
      <c r="F15" s="587"/>
      <c r="G15" s="587"/>
      <c r="H15" s="587">
        <f t="shared" si="0"/>
        <v>0</v>
      </c>
    </row>
    <row r="16" spans="1:8">
      <c r="A16" s="339">
        <v>9</v>
      </c>
      <c r="B16" s="338" t="s">
        <v>912</v>
      </c>
      <c r="C16" s="587"/>
      <c r="D16" s="587"/>
      <c r="E16" s="587"/>
      <c r="F16" s="587"/>
      <c r="G16" s="587"/>
      <c r="H16" s="587">
        <f t="shared" si="0"/>
        <v>0</v>
      </c>
    </row>
    <row r="17" spans="1:8">
      <c r="A17" s="339">
        <v>10</v>
      </c>
      <c r="B17" s="342" t="s">
        <v>482</v>
      </c>
      <c r="C17" s="587"/>
      <c r="D17" s="587"/>
      <c r="E17" s="587"/>
      <c r="F17" s="587"/>
      <c r="G17" s="587"/>
      <c r="H17" s="587">
        <f t="shared" si="0"/>
        <v>0</v>
      </c>
    </row>
    <row r="18" spans="1:8">
      <c r="A18" s="339">
        <v>11</v>
      </c>
      <c r="B18" s="338" t="s">
        <v>68</v>
      </c>
      <c r="C18" s="587"/>
      <c r="D18" s="587"/>
      <c r="E18" s="587"/>
      <c r="F18" s="587"/>
      <c r="G18" s="587"/>
      <c r="H18" s="587">
        <f t="shared" si="0"/>
        <v>0</v>
      </c>
    </row>
    <row r="19" spans="1:8">
      <c r="A19" s="339">
        <v>12</v>
      </c>
      <c r="B19" s="338" t="s">
        <v>69</v>
      </c>
      <c r="C19" s="587"/>
      <c r="D19" s="587"/>
      <c r="E19" s="587"/>
      <c r="F19" s="587"/>
      <c r="G19" s="587"/>
      <c r="H19" s="587">
        <f t="shared" si="0"/>
        <v>0</v>
      </c>
    </row>
    <row r="20" spans="1:8">
      <c r="A20" s="341">
        <v>13</v>
      </c>
      <c r="B20" s="340" t="s">
        <v>70</v>
      </c>
      <c r="C20" s="587"/>
      <c r="D20" s="587"/>
      <c r="E20" s="587"/>
      <c r="F20" s="587"/>
      <c r="G20" s="587"/>
      <c r="H20" s="587">
        <f t="shared" si="0"/>
        <v>0</v>
      </c>
    </row>
    <row r="21" spans="1:8">
      <c r="A21" s="339">
        <v>14</v>
      </c>
      <c r="B21" s="338" t="s">
        <v>468</v>
      </c>
      <c r="C21" s="587">
        <v>2882287.9</v>
      </c>
      <c r="D21" s="587">
        <v>0</v>
      </c>
      <c r="E21" s="587">
        <v>19459.38</v>
      </c>
      <c r="F21" s="587">
        <v>0</v>
      </c>
      <c r="G21" s="587">
        <v>951093.43</v>
      </c>
      <c r="H21" s="587">
        <f>SUM(C21:G21)</f>
        <v>3852840.71</v>
      </c>
    </row>
    <row r="22" spans="1:8">
      <c r="A22" s="337">
        <v>15</v>
      </c>
      <c r="B22" s="336" t="s">
        <v>66</v>
      </c>
      <c r="C22" s="587">
        <f>SUM(C18:C21)+SUM(C8:C16)</f>
        <v>45472597.039999999</v>
      </c>
      <c r="D22" s="587">
        <f t="shared" ref="D22:H22" si="1">SUM(D18:D21)+SUM(D8:D16)</f>
        <v>35370061.710000008</v>
      </c>
      <c r="E22" s="587">
        <f t="shared" si="1"/>
        <v>19459.38</v>
      </c>
      <c r="F22" s="587">
        <f t="shared" si="1"/>
        <v>0</v>
      </c>
      <c r="G22" s="587">
        <f t="shared" si="1"/>
        <v>951093.43</v>
      </c>
      <c r="H22" s="587">
        <f t="shared" si="1"/>
        <v>81813211.560000002</v>
      </c>
    </row>
    <row r="26" spans="1:8" ht="36">
      <c r="B26" s="301" t="s">
        <v>646</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26"/>
  <sheetViews>
    <sheetView showGridLines="0" zoomScale="80" zoomScaleNormal="80" workbookViewId="0">
      <selection activeCell="H26" sqref="H26"/>
    </sheetView>
  </sheetViews>
  <sheetFormatPr defaultColWidth="9.109375" defaultRowHeight="12"/>
  <cols>
    <col min="1" max="1" width="11.88671875" style="287" bestFit="1" customWidth="1"/>
    <col min="2" max="2" width="86.88671875" style="284" customWidth="1"/>
    <col min="3" max="4" width="31.44140625" style="284" customWidth="1"/>
    <col min="5" max="5" width="16.44140625" style="284" bestFit="1" customWidth="1"/>
    <col min="6" max="6" width="14.109375" style="284" bestFit="1" customWidth="1"/>
    <col min="7" max="7" width="20" style="284" bestFit="1" customWidth="1"/>
    <col min="8" max="8" width="25.109375" style="284" bestFit="1" customWidth="1"/>
    <col min="9" max="16384" width="9.109375" style="284"/>
  </cols>
  <sheetData>
    <row r="1" spans="1:8" ht="13.8">
      <c r="A1" s="283" t="s">
        <v>96</v>
      </c>
      <c r="B1" s="224" t="str">
        <f>Info!C2</f>
        <v>სს პეივ ბანკ ჯორჯია</v>
      </c>
      <c r="C1" s="355"/>
      <c r="D1" s="355"/>
      <c r="E1" s="355"/>
      <c r="F1" s="355"/>
      <c r="G1" s="355"/>
      <c r="H1" s="355"/>
    </row>
    <row r="2" spans="1:8">
      <c r="A2" s="283" t="s">
        <v>97</v>
      </c>
      <c r="B2" s="286">
        <f>'1. key ratios'!B2</f>
        <v>45930</v>
      </c>
      <c r="C2" s="355"/>
      <c r="D2" s="355"/>
      <c r="E2" s="355"/>
      <c r="F2" s="355"/>
      <c r="G2" s="355"/>
      <c r="H2" s="355"/>
    </row>
    <row r="3" spans="1:8">
      <c r="A3" s="285" t="s">
        <v>469</v>
      </c>
      <c r="B3" s="355"/>
      <c r="C3" s="355"/>
      <c r="D3" s="355"/>
      <c r="E3" s="355"/>
      <c r="F3" s="355"/>
      <c r="G3" s="355"/>
      <c r="H3" s="355"/>
    </row>
    <row r="4" spans="1:8">
      <c r="A4" s="356"/>
      <c r="B4" s="355"/>
      <c r="C4" s="354" t="s">
        <v>470</v>
      </c>
      <c r="D4" s="354" t="s">
        <v>471</v>
      </c>
      <c r="E4" s="354" t="s">
        <v>472</v>
      </c>
      <c r="F4" s="354" t="s">
        <v>473</v>
      </c>
      <c r="G4" s="354" t="s">
        <v>474</v>
      </c>
      <c r="H4" s="354" t="s">
        <v>475</v>
      </c>
    </row>
    <row r="5" spans="1:8" ht="33.9" customHeight="1">
      <c r="A5" s="734" t="s">
        <v>834</v>
      </c>
      <c r="B5" s="735"/>
      <c r="C5" s="748" t="s">
        <v>564</v>
      </c>
      <c r="D5" s="748"/>
      <c r="E5" s="748" t="s">
        <v>833</v>
      </c>
      <c r="F5" s="746" t="s">
        <v>832</v>
      </c>
      <c r="G5" s="746" t="s">
        <v>479</v>
      </c>
      <c r="H5" s="352" t="s">
        <v>831</v>
      </c>
    </row>
    <row r="6" spans="1:8" ht="24">
      <c r="A6" s="738"/>
      <c r="B6" s="739"/>
      <c r="C6" s="353" t="s">
        <v>480</v>
      </c>
      <c r="D6" s="353" t="s">
        <v>481</v>
      </c>
      <c r="E6" s="748"/>
      <c r="F6" s="747"/>
      <c r="G6" s="747"/>
      <c r="H6" s="352" t="s">
        <v>830</v>
      </c>
    </row>
    <row r="7" spans="1:8">
      <c r="A7" s="350">
        <v>1</v>
      </c>
      <c r="B7" s="338" t="s">
        <v>122</v>
      </c>
      <c r="C7" s="345"/>
      <c r="D7" s="642">
        <v>57415515.570000008</v>
      </c>
      <c r="E7" s="642"/>
      <c r="F7" s="642"/>
      <c r="G7" s="642"/>
      <c r="H7" s="643">
        <f t="shared" ref="H7:H20" si="0">C7+D7-E7-F7</f>
        <v>57415515.570000008</v>
      </c>
    </row>
    <row r="8" spans="1:8" ht="14.4" customHeight="1">
      <c r="A8" s="350">
        <v>2</v>
      </c>
      <c r="B8" s="338" t="s">
        <v>123</v>
      </c>
      <c r="C8" s="345"/>
      <c r="D8" s="642"/>
      <c r="E8" s="642"/>
      <c r="F8" s="642"/>
      <c r="G8" s="642"/>
      <c r="H8" s="643">
        <f t="shared" si="0"/>
        <v>0</v>
      </c>
    </row>
    <row r="9" spans="1:8">
      <c r="A9" s="350">
        <v>3</v>
      </c>
      <c r="B9" s="338" t="s">
        <v>124</v>
      </c>
      <c r="C9" s="345"/>
      <c r="D9" s="642"/>
      <c r="E9" s="642"/>
      <c r="F9" s="642"/>
      <c r="G9" s="642"/>
      <c r="H9" s="643">
        <f t="shared" si="0"/>
        <v>0</v>
      </c>
    </row>
    <row r="10" spans="1:8">
      <c r="A10" s="350">
        <v>4</v>
      </c>
      <c r="B10" s="338" t="s">
        <v>125</v>
      </c>
      <c r="C10" s="345"/>
      <c r="D10" s="642"/>
      <c r="E10" s="642"/>
      <c r="F10" s="642"/>
      <c r="G10" s="642"/>
      <c r="H10" s="643">
        <f t="shared" si="0"/>
        <v>0</v>
      </c>
    </row>
    <row r="11" spans="1:8">
      <c r="A11" s="350">
        <v>5</v>
      </c>
      <c r="B11" s="338" t="s">
        <v>911</v>
      </c>
      <c r="C11" s="345"/>
      <c r="D11" s="642"/>
      <c r="E11" s="642"/>
      <c r="F11" s="642"/>
      <c r="G11" s="642"/>
      <c r="H11" s="643">
        <f t="shared" si="0"/>
        <v>0</v>
      </c>
    </row>
    <row r="12" spans="1:8">
      <c r="A12" s="350">
        <v>6</v>
      </c>
      <c r="B12" s="338" t="s">
        <v>126</v>
      </c>
      <c r="C12" s="345"/>
      <c r="D12" s="642">
        <v>20544855.279999997</v>
      </c>
      <c r="E12" s="642"/>
      <c r="F12" s="642"/>
      <c r="G12" s="642"/>
      <c r="H12" s="643">
        <f t="shared" si="0"/>
        <v>20544855.279999997</v>
      </c>
    </row>
    <row r="13" spans="1:8">
      <c r="A13" s="350">
        <v>7</v>
      </c>
      <c r="B13" s="338" t="s">
        <v>71</v>
      </c>
      <c r="C13" s="345"/>
      <c r="D13" s="642"/>
      <c r="E13" s="642"/>
      <c r="F13" s="642"/>
      <c r="G13" s="642"/>
      <c r="H13" s="643">
        <f t="shared" si="0"/>
        <v>0</v>
      </c>
    </row>
    <row r="14" spans="1:8">
      <c r="A14" s="350">
        <v>8</v>
      </c>
      <c r="B14" s="340" t="s">
        <v>72</v>
      </c>
      <c r="C14" s="345"/>
      <c r="D14" s="642"/>
      <c r="E14" s="642"/>
      <c r="F14" s="642"/>
      <c r="G14" s="642"/>
      <c r="H14" s="643">
        <f t="shared" si="0"/>
        <v>0</v>
      </c>
    </row>
    <row r="15" spans="1:8">
      <c r="A15" s="350">
        <v>9</v>
      </c>
      <c r="B15" s="338" t="s">
        <v>912</v>
      </c>
      <c r="C15" s="345"/>
      <c r="D15" s="642"/>
      <c r="E15" s="642"/>
      <c r="F15" s="642"/>
      <c r="G15" s="642"/>
      <c r="H15" s="643">
        <f t="shared" si="0"/>
        <v>0</v>
      </c>
    </row>
    <row r="16" spans="1:8">
      <c r="A16" s="350">
        <v>10</v>
      </c>
      <c r="B16" s="342" t="s">
        <v>482</v>
      </c>
      <c r="C16" s="345"/>
      <c r="D16" s="642"/>
      <c r="E16" s="642"/>
      <c r="F16" s="642"/>
      <c r="G16" s="642"/>
      <c r="H16" s="643">
        <f t="shared" si="0"/>
        <v>0</v>
      </c>
    </row>
    <row r="17" spans="1:8">
      <c r="A17" s="350">
        <v>11</v>
      </c>
      <c r="B17" s="338" t="s">
        <v>68</v>
      </c>
      <c r="C17" s="345"/>
      <c r="D17" s="642"/>
      <c r="E17" s="642"/>
      <c r="F17" s="642"/>
      <c r="G17" s="642"/>
      <c r="H17" s="643">
        <f t="shared" si="0"/>
        <v>0</v>
      </c>
    </row>
    <row r="18" spans="1:8">
      <c r="A18" s="350">
        <v>12</v>
      </c>
      <c r="B18" s="338" t="s">
        <v>69</v>
      </c>
      <c r="C18" s="345"/>
      <c r="D18" s="642"/>
      <c r="E18" s="642"/>
      <c r="F18" s="642"/>
      <c r="G18" s="642"/>
      <c r="H18" s="643">
        <f t="shared" si="0"/>
        <v>0</v>
      </c>
    </row>
    <row r="19" spans="1:8">
      <c r="A19" s="351">
        <v>13</v>
      </c>
      <c r="B19" s="340" t="s">
        <v>70</v>
      </c>
      <c r="C19" s="345"/>
      <c r="D19" s="642"/>
      <c r="E19" s="642"/>
      <c r="F19" s="642"/>
      <c r="G19" s="642"/>
      <c r="H19" s="643">
        <f t="shared" si="0"/>
        <v>0</v>
      </c>
    </row>
    <row r="20" spans="1:8">
      <c r="A20" s="350">
        <v>14</v>
      </c>
      <c r="B20" s="338" t="s">
        <v>468</v>
      </c>
      <c r="C20" s="345"/>
      <c r="D20" s="642">
        <v>4105481.2399999998</v>
      </c>
      <c r="E20" s="642"/>
      <c r="F20" s="642"/>
      <c r="G20" s="642"/>
      <c r="H20" s="643">
        <f t="shared" si="0"/>
        <v>4105481.2399999998</v>
      </c>
    </row>
    <row r="21" spans="1:8" s="288" customFormat="1">
      <c r="A21" s="349">
        <v>15</v>
      </c>
      <c r="B21" s="348" t="s">
        <v>66</v>
      </c>
      <c r="C21" s="348">
        <f t="shared" ref="C21:H21" si="1">SUM(C7:C15)+SUM(C17:C20)</f>
        <v>0</v>
      </c>
      <c r="D21" s="644">
        <f t="shared" si="1"/>
        <v>82065852.090000004</v>
      </c>
      <c r="E21" s="644">
        <f t="shared" si="1"/>
        <v>0</v>
      </c>
      <c r="F21" s="644">
        <f t="shared" si="1"/>
        <v>0</v>
      </c>
      <c r="G21" s="644">
        <f t="shared" si="1"/>
        <v>0</v>
      </c>
      <c r="H21" s="643">
        <f t="shared" si="1"/>
        <v>82065852.090000004</v>
      </c>
    </row>
    <row r="22" spans="1:8">
      <c r="A22" s="347">
        <v>16</v>
      </c>
      <c r="B22" s="346" t="s">
        <v>483</v>
      </c>
      <c r="C22" s="345"/>
      <c r="D22" s="345"/>
      <c r="E22" s="345"/>
      <c r="F22" s="345"/>
      <c r="G22" s="345"/>
      <c r="H22" s="344">
        <f>C22+D22-E22-F22</f>
        <v>0</v>
      </c>
    </row>
    <row r="23" spans="1:8">
      <c r="A23" s="347">
        <v>17</v>
      </c>
      <c r="B23" s="346" t="s">
        <v>484</v>
      </c>
      <c r="C23" s="345"/>
      <c r="D23" s="345"/>
      <c r="E23" s="345"/>
      <c r="F23" s="345"/>
      <c r="G23" s="345"/>
      <c r="H23" s="344">
        <f>C23+D23-E23-F23</f>
        <v>0</v>
      </c>
    </row>
    <row r="26" spans="1:8" ht="42.6" customHeight="1">
      <c r="B26" s="301" t="s">
        <v>646</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H36"/>
  <sheetViews>
    <sheetView showGridLines="0" zoomScale="80" zoomScaleNormal="80" workbookViewId="0">
      <selection activeCell="B41" sqref="B41"/>
    </sheetView>
  </sheetViews>
  <sheetFormatPr defaultColWidth="9.109375" defaultRowHeight="12"/>
  <cols>
    <col min="1" max="1" width="11" style="284" bestFit="1" customWidth="1"/>
    <col min="2" max="2" width="93.44140625" style="284" customWidth="1"/>
    <col min="3" max="4" width="35" style="284" customWidth="1"/>
    <col min="5" max="7" width="22" style="284" customWidth="1"/>
    <col min="8" max="8" width="42.109375" style="284" bestFit="1" customWidth="1"/>
    <col min="9" max="16384" width="9.109375" style="284"/>
  </cols>
  <sheetData>
    <row r="1" spans="1:8" ht="13.8">
      <c r="A1" s="283" t="s">
        <v>96</v>
      </c>
      <c r="B1" s="224" t="str">
        <f>Info!C2</f>
        <v>სს პეივ ბანკ ჯორჯია</v>
      </c>
      <c r="C1" s="355"/>
      <c r="D1" s="355"/>
      <c r="E1" s="355"/>
      <c r="F1" s="355"/>
      <c r="G1" s="355"/>
      <c r="H1" s="355"/>
    </row>
    <row r="2" spans="1:8">
      <c r="A2" s="283" t="s">
        <v>97</v>
      </c>
      <c r="B2" s="286">
        <f>'1. key ratios'!B2</f>
        <v>45930</v>
      </c>
      <c r="C2" s="355"/>
      <c r="D2" s="355"/>
      <c r="E2" s="355"/>
      <c r="F2" s="355"/>
      <c r="G2" s="355"/>
      <c r="H2" s="355"/>
    </row>
    <row r="3" spans="1:8">
      <c r="A3" s="285" t="s">
        <v>485</v>
      </c>
      <c r="B3" s="355"/>
      <c r="C3" s="355"/>
      <c r="D3" s="355"/>
      <c r="E3" s="355"/>
      <c r="F3" s="355"/>
      <c r="G3" s="355"/>
      <c r="H3" s="355"/>
    </row>
    <row r="4" spans="1:8">
      <c r="A4" s="355"/>
      <c r="B4" s="355"/>
      <c r="C4" s="354" t="s">
        <v>470</v>
      </c>
      <c r="D4" s="354" t="s">
        <v>471</v>
      </c>
      <c r="E4" s="354" t="s">
        <v>472</v>
      </c>
      <c r="F4" s="354" t="s">
        <v>473</v>
      </c>
      <c r="G4" s="354" t="s">
        <v>474</v>
      </c>
      <c r="H4" s="354" t="s">
        <v>475</v>
      </c>
    </row>
    <row r="5" spans="1:8" ht="41.4" customHeight="1">
      <c r="A5" s="734" t="s">
        <v>836</v>
      </c>
      <c r="B5" s="735"/>
      <c r="C5" s="749" t="s">
        <v>564</v>
      </c>
      <c r="D5" s="750"/>
      <c r="E5" s="746" t="s">
        <v>833</v>
      </c>
      <c r="F5" s="746" t="s">
        <v>832</v>
      </c>
      <c r="G5" s="746" t="s">
        <v>479</v>
      </c>
      <c r="H5" s="352" t="s">
        <v>831</v>
      </c>
    </row>
    <row r="6" spans="1:8" ht="24">
      <c r="A6" s="738"/>
      <c r="B6" s="739"/>
      <c r="C6" s="353" t="s">
        <v>480</v>
      </c>
      <c r="D6" s="353" t="s">
        <v>481</v>
      </c>
      <c r="E6" s="747"/>
      <c r="F6" s="747"/>
      <c r="G6" s="747"/>
      <c r="H6" s="352" t="s">
        <v>830</v>
      </c>
    </row>
    <row r="7" spans="1:8">
      <c r="A7" s="345">
        <v>1</v>
      </c>
      <c r="B7" s="358" t="s">
        <v>486</v>
      </c>
      <c r="C7" s="345"/>
      <c r="D7" s="642">
        <f>'18. Assets by Exposure classes'!D7</f>
        <v>57415515.570000008</v>
      </c>
      <c r="E7" s="642"/>
      <c r="F7" s="642"/>
      <c r="G7" s="642"/>
      <c r="H7" s="643">
        <f t="shared" ref="H7:H34" si="0">C7+D7-E7-F7</f>
        <v>57415515.570000008</v>
      </c>
    </row>
    <row r="8" spans="1:8">
      <c r="A8" s="345">
        <v>2</v>
      </c>
      <c r="B8" s="358" t="s">
        <v>487</v>
      </c>
      <c r="C8" s="345"/>
      <c r="D8" s="642">
        <f>'18. Assets by Exposure classes'!D12</f>
        <v>20544855.279999997</v>
      </c>
      <c r="E8" s="642"/>
      <c r="F8" s="642"/>
      <c r="G8" s="642"/>
      <c r="H8" s="643">
        <f t="shared" si="0"/>
        <v>20544855.279999997</v>
      </c>
    </row>
    <row r="9" spans="1:8">
      <c r="A9" s="345">
        <v>3</v>
      </c>
      <c r="B9" s="358" t="s">
        <v>835</v>
      </c>
      <c r="C9" s="345"/>
      <c r="D9" s="642"/>
      <c r="E9" s="642"/>
      <c r="F9" s="642"/>
      <c r="G9" s="642"/>
      <c r="H9" s="643">
        <f t="shared" si="0"/>
        <v>0</v>
      </c>
    </row>
    <row r="10" spans="1:8">
      <c r="A10" s="345">
        <v>4</v>
      </c>
      <c r="B10" s="358" t="s">
        <v>488</v>
      </c>
      <c r="C10" s="345"/>
      <c r="D10" s="642"/>
      <c r="E10" s="642"/>
      <c r="F10" s="642"/>
      <c r="G10" s="642"/>
      <c r="H10" s="643">
        <f t="shared" si="0"/>
        <v>0</v>
      </c>
    </row>
    <row r="11" spans="1:8">
      <c r="A11" s="345">
        <v>5</v>
      </c>
      <c r="B11" s="358" t="s">
        <v>489</v>
      </c>
      <c r="C11" s="345"/>
      <c r="D11" s="642"/>
      <c r="E11" s="642"/>
      <c r="F11" s="642"/>
      <c r="G11" s="642"/>
      <c r="H11" s="643">
        <f t="shared" si="0"/>
        <v>0</v>
      </c>
    </row>
    <row r="12" spans="1:8">
      <c r="A12" s="345">
        <v>6</v>
      </c>
      <c r="B12" s="358" t="s">
        <v>490</v>
      </c>
      <c r="C12" s="345"/>
      <c r="D12" s="642"/>
      <c r="E12" s="642"/>
      <c r="F12" s="642"/>
      <c r="G12" s="642"/>
      <c r="H12" s="643">
        <f t="shared" si="0"/>
        <v>0</v>
      </c>
    </row>
    <row r="13" spans="1:8">
      <c r="A13" s="345">
        <v>7</v>
      </c>
      <c r="B13" s="358" t="s">
        <v>491</v>
      </c>
      <c r="C13" s="345"/>
      <c r="D13" s="642"/>
      <c r="E13" s="642"/>
      <c r="F13" s="642"/>
      <c r="G13" s="642"/>
      <c r="H13" s="643">
        <f t="shared" si="0"/>
        <v>0</v>
      </c>
    </row>
    <row r="14" spans="1:8">
      <c r="A14" s="345">
        <v>8</v>
      </c>
      <c r="B14" s="358" t="s">
        <v>492</v>
      </c>
      <c r="C14" s="345"/>
      <c r="D14" s="642"/>
      <c r="E14" s="642"/>
      <c r="F14" s="642"/>
      <c r="G14" s="642"/>
      <c r="H14" s="643">
        <f t="shared" si="0"/>
        <v>0</v>
      </c>
    </row>
    <row r="15" spans="1:8">
      <c r="A15" s="345">
        <v>9</v>
      </c>
      <c r="B15" s="358" t="s">
        <v>493</v>
      </c>
      <c r="C15" s="345"/>
      <c r="D15" s="642"/>
      <c r="E15" s="642"/>
      <c r="F15" s="642"/>
      <c r="G15" s="642"/>
      <c r="H15" s="643">
        <f t="shared" si="0"/>
        <v>0</v>
      </c>
    </row>
    <row r="16" spans="1:8">
      <c r="A16" s="345">
        <v>10</v>
      </c>
      <c r="B16" s="358" t="s">
        <v>494</v>
      </c>
      <c r="C16" s="345"/>
      <c r="D16" s="642"/>
      <c r="E16" s="642"/>
      <c r="F16" s="642"/>
      <c r="G16" s="642"/>
      <c r="H16" s="643">
        <f t="shared" si="0"/>
        <v>0</v>
      </c>
    </row>
    <row r="17" spans="1:8">
      <c r="A17" s="345">
        <v>11</v>
      </c>
      <c r="B17" s="358" t="s">
        <v>495</v>
      </c>
      <c r="C17" s="345"/>
      <c r="D17" s="642"/>
      <c r="E17" s="642"/>
      <c r="F17" s="642"/>
      <c r="G17" s="642"/>
      <c r="H17" s="643">
        <f t="shared" si="0"/>
        <v>0</v>
      </c>
    </row>
    <row r="18" spans="1:8">
      <c r="A18" s="345">
        <v>12</v>
      </c>
      <c r="B18" s="358" t="s">
        <v>496</v>
      </c>
      <c r="C18" s="345"/>
      <c r="D18" s="642"/>
      <c r="E18" s="642"/>
      <c r="F18" s="642"/>
      <c r="G18" s="642"/>
      <c r="H18" s="643">
        <f t="shared" si="0"/>
        <v>0</v>
      </c>
    </row>
    <row r="19" spans="1:8">
      <c r="A19" s="345">
        <v>13</v>
      </c>
      <c r="B19" s="358" t="s">
        <v>497</v>
      </c>
      <c r="C19" s="345"/>
      <c r="D19" s="642"/>
      <c r="E19" s="642"/>
      <c r="F19" s="642"/>
      <c r="G19" s="642"/>
      <c r="H19" s="643">
        <f t="shared" si="0"/>
        <v>0</v>
      </c>
    </row>
    <row r="20" spans="1:8">
      <c r="A20" s="345">
        <v>14</v>
      </c>
      <c r="B20" s="358" t="s">
        <v>498</v>
      </c>
      <c r="C20" s="345"/>
      <c r="D20" s="642"/>
      <c r="E20" s="642"/>
      <c r="F20" s="642"/>
      <c r="G20" s="642"/>
      <c r="H20" s="643">
        <f t="shared" si="0"/>
        <v>0</v>
      </c>
    </row>
    <row r="21" spans="1:8">
      <c r="A21" s="345">
        <v>15</v>
      </c>
      <c r="B21" s="358" t="s">
        <v>499</v>
      </c>
      <c r="C21" s="345"/>
      <c r="D21" s="642"/>
      <c r="E21" s="642"/>
      <c r="F21" s="642"/>
      <c r="G21" s="642"/>
      <c r="H21" s="643">
        <f t="shared" si="0"/>
        <v>0</v>
      </c>
    </row>
    <row r="22" spans="1:8">
      <c r="A22" s="345">
        <v>16</v>
      </c>
      <c r="B22" s="358" t="s">
        <v>500</v>
      </c>
      <c r="C22" s="345"/>
      <c r="D22" s="642"/>
      <c r="E22" s="642"/>
      <c r="F22" s="642"/>
      <c r="G22" s="642"/>
      <c r="H22" s="643">
        <f t="shared" si="0"/>
        <v>0</v>
      </c>
    </row>
    <row r="23" spans="1:8">
      <c r="A23" s="345">
        <v>17</v>
      </c>
      <c r="B23" s="358" t="s">
        <v>501</v>
      </c>
      <c r="C23" s="345"/>
      <c r="D23" s="642"/>
      <c r="E23" s="642"/>
      <c r="F23" s="642"/>
      <c r="G23" s="642"/>
      <c r="H23" s="643">
        <f t="shared" si="0"/>
        <v>0</v>
      </c>
    </row>
    <row r="24" spans="1:8">
      <c r="A24" s="345">
        <v>18</v>
      </c>
      <c r="B24" s="358" t="s">
        <v>502</v>
      </c>
      <c r="C24" s="345"/>
      <c r="D24" s="642"/>
      <c r="E24" s="642"/>
      <c r="F24" s="642"/>
      <c r="G24" s="642"/>
      <c r="H24" s="643">
        <f t="shared" si="0"/>
        <v>0</v>
      </c>
    </row>
    <row r="25" spans="1:8">
      <c r="A25" s="345">
        <v>19</v>
      </c>
      <c r="B25" s="358" t="s">
        <v>503</v>
      </c>
      <c r="C25" s="345"/>
      <c r="D25" s="642"/>
      <c r="E25" s="642"/>
      <c r="F25" s="642"/>
      <c r="G25" s="642"/>
      <c r="H25" s="643">
        <f t="shared" si="0"/>
        <v>0</v>
      </c>
    </row>
    <row r="26" spans="1:8">
      <c r="A26" s="345">
        <v>20</v>
      </c>
      <c r="B26" s="358" t="s">
        <v>504</v>
      </c>
      <c r="C26" s="345"/>
      <c r="D26" s="642"/>
      <c r="E26" s="642"/>
      <c r="F26" s="642"/>
      <c r="G26" s="642"/>
      <c r="H26" s="643">
        <f t="shared" si="0"/>
        <v>0</v>
      </c>
    </row>
    <row r="27" spans="1:8">
      <c r="A27" s="345">
        <v>21</v>
      </c>
      <c r="B27" s="358" t="s">
        <v>505</v>
      </c>
      <c r="C27" s="345"/>
      <c r="D27" s="642"/>
      <c r="E27" s="642"/>
      <c r="F27" s="642"/>
      <c r="G27" s="642"/>
      <c r="H27" s="643">
        <f t="shared" si="0"/>
        <v>0</v>
      </c>
    </row>
    <row r="28" spans="1:8">
      <c r="A28" s="345">
        <v>22</v>
      </c>
      <c r="B28" s="358" t="s">
        <v>506</v>
      </c>
      <c r="C28" s="345"/>
      <c r="D28" s="642"/>
      <c r="E28" s="642"/>
      <c r="F28" s="642"/>
      <c r="G28" s="642"/>
      <c r="H28" s="643">
        <f t="shared" si="0"/>
        <v>0</v>
      </c>
    </row>
    <row r="29" spans="1:8">
      <c r="A29" s="345">
        <v>23</v>
      </c>
      <c r="B29" s="358" t="s">
        <v>507</v>
      </c>
      <c r="C29" s="345"/>
      <c r="D29" s="642"/>
      <c r="E29" s="642"/>
      <c r="F29" s="642"/>
      <c r="G29" s="642"/>
      <c r="H29" s="643">
        <f t="shared" si="0"/>
        <v>0</v>
      </c>
    </row>
    <row r="30" spans="1:8">
      <c r="A30" s="345">
        <v>24</v>
      </c>
      <c r="B30" s="358" t="s">
        <v>508</v>
      </c>
      <c r="C30" s="345"/>
      <c r="D30" s="642"/>
      <c r="E30" s="642"/>
      <c r="F30" s="642"/>
      <c r="G30" s="642"/>
      <c r="H30" s="643">
        <f t="shared" si="0"/>
        <v>0</v>
      </c>
    </row>
    <row r="31" spans="1:8">
      <c r="A31" s="345">
        <v>25</v>
      </c>
      <c r="B31" s="358" t="s">
        <v>509</v>
      </c>
      <c r="C31" s="345"/>
      <c r="D31" s="642"/>
      <c r="E31" s="642"/>
      <c r="F31" s="642"/>
      <c r="G31" s="642"/>
      <c r="H31" s="643">
        <f t="shared" si="0"/>
        <v>0</v>
      </c>
    </row>
    <row r="32" spans="1:8">
      <c r="A32" s="345">
        <v>26</v>
      </c>
      <c r="B32" s="358" t="s">
        <v>510</v>
      </c>
      <c r="C32" s="345"/>
      <c r="D32" s="642"/>
      <c r="E32" s="642"/>
      <c r="F32" s="642"/>
      <c r="G32" s="642"/>
      <c r="H32" s="643">
        <f t="shared" si="0"/>
        <v>0</v>
      </c>
    </row>
    <row r="33" spans="1:8">
      <c r="A33" s="345">
        <v>27</v>
      </c>
      <c r="B33" s="345" t="s">
        <v>88</v>
      </c>
      <c r="C33" s="345"/>
      <c r="D33" s="642">
        <f>'18. Assets by Exposure classes'!D20</f>
        <v>4105481.2399999998</v>
      </c>
      <c r="E33" s="642"/>
      <c r="F33" s="642"/>
      <c r="G33" s="642"/>
      <c r="H33" s="643">
        <f t="shared" si="0"/>
        <v>4105481.2399999998</v>
      </c>
    </row>
    <row r="34" spans="1:8">
      <c r="A34" s="345">
        <v>28</v>
      </c>
      <c r="B34" s="348" t="s">
        <v>66</v>
      </c>
      <c r="C34" s="348">
        <f>SUM(C7:C33)</f>
        <v>0</v>
      </c>
      <c r="D34" s="644">
        <f>SUM(D7:D33)</f>
        <v>82065852.090000004</v>
      </c>
      <c r="E34" s="644">
        <f>SUM(E7:E33)</f>
        <v>0</v>
      </c>
      <c r="F34" s="644">
        <f>SUM(F7:F33)</f>
        <v>0</v>
      </c>
      <c r="G34" s="644">
        <f>SUM(G7:G33)</f>
        <v>0</v>
      </c>
      <c r="H34" s="643">
        <f t="shared" si="0"/>
        <v>82065852.090000004</v>
      </c>
    </row>
    <row r="36" spans="1:8">
      <c r="B36" s="289"/>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5"/>
  <sheetViews>
    <sheetView showGridLines="0" zoomScale="80" zoomScaleNormal="80" workbookViewId="0">
      <selection activeCell="D13" sqref="D13"/>
    </sheetView>
  </sheetViews>
  <sheetFormatPr defaultColWidth="9.109375" defaultRowHeight="12"/>
  <cols>
    <col min="1" max="1" width="11.88671875" style="284" bestFit="1" customWidth="1"/>
    <col min="2" max="2" width="108" style="284" bestFit="1" customWidth="1"/>
    <col min="3" max="3" width="35.44140625" style="284" customWidth="1"/>
    <col min="4" max="4" width="38.44140625" style="284" customWidth="1"/>
    <col min="5" max="16384" width="9.109375" style="284"/>
  </cols>
  <sheetData>
    <row r="1" spans="1:4" ht="13.8">
      <c r="A1" s="283" t="s">
        <v>96</v>
      </c>
      <c r="B1" s="224" t="str">
        <f>Info!C2</f>
        <v>სს პეივ ბანკ ჯორჯია</v>
      </c>
    </row>
    <row r="2" spans="1:4">
      <c r="A2" s="283" t="s">
        <v>97</v>
      </c>
      <c r="B2" s="286">
        <f>'1. key ratios'!B2</f>
        <v>45930</v>
      </c>
    </row>
    <row r="3" spans="1:4">
      <c r="A3" s="285" t="s">
        <v>511</v>
      </c>
    </row>
    <row r="5" spans="1:4">
      <c r="A5" s="751" t="s">
        <v>847</v>
      </c>
      <c r="B5" s="751"/>
      <c r="C5" s="368" t="s">
        <v>530</v>
      </c>
      <c r="D5" s="368" t="s">
        <v>846</v>
      </c>
    </row>
    <row r="6" spans="1:4">
      <c r="A6" s="367">
        <v>1</v>
      </c>
      <c r="B6" s="360" t="s">
        <v>845</v>
      </c>
      <c r="C6" s="362"/>
      <c r="D6" s="362"/>
    </row>
    <row r="7" spans="1:4">
      <c r="A7" s="364">
        <v>2</v>
      </c>
      <c r="B7" s="360" t="s">
        <v>844</v>
      </c>
      <c r="C7" s="362">
        <f>SUM(C8:C9)</f>
        <v>0</v>
      </c>
      <c r="D7" s="362">
        <f>SUM(D8:D9)</f>
        <v>0</v>
      </c>
    </row>
    <row r="8" spans="1:4">
      <c r="A8" s="366">
        <v>2.1</v>
      </c>
      <c r="B8" s="365" t="s">
        <v>843</v>
      </c>
      <c r="C8" s="362"/>
      <c r="D8" s="362"/>
    </row>
    <row r="9" spans="1:4">
      <c r="A9" s="366">
        <v>2.2000000000000002</v>
      </c>
      <c r="B9" s="365" t="s">
        <v>842</v>
      </c>
      <c r="C9" s="362"/>
      <c r="D9" s="362"/>
    </row>
    <row r="10" spans="1:4">
      <c r="A10" s="367">
        <v>3</v>
      </c>
      <c r="B10" s="360" t="s">
        <v>841</v>
      </c>
      <c r="C10" s="362">
        <f>SUM(C11:C13)</f>
        <v>0</v>
      </c>
      <c r="D10" s="362">
        <f>SUM(D11:D13)</f>
        <v>0</v>
      </c>
    </row>
    <row r="11" spans="1:4">
      <c r="A11" s="366">
        <v>3.1</v>
      </c>
      <c r="B11" s="365" t="s">
        <v>512</v>
      </c>
      <c r="C11" s="362"/>
      <c r="D11" s="362"/>
    </row>
    <row r="12" spans="1:4">
      <c r="A12" s="366">
        <v>3.2</v>
      </c>
      <c r="B12" s="365" t="s">
        <v>840</v>
      </c>
      <c r="C12" s="362"/>
      <c r="D12" s="362"/>
    </row>
    <row r="13" spans="1:4">
      <c r="A13" s="366">
        <v>3.3</v>
      </c>
      <c r="B13" s="365" t="s">
        <v>839</v>
      </c>
      <c r="C13" s="362"/>
      <c r="D13" s="362"/>
    </row>
    <row r="14" spans="1:4">
      <c r="A14" s="364">
        <v>4</v>
      </c>
      <c r="B14" s="363" t="s">
        <v>838</v>
      </c>
      <c r="C14" s="362"/>
      <c r="D14" s="362"/>
    </row>
    <row r="15" spans="1:4">
      <c r="A15" s="361">
        <v>5</v>
      </c>
      <c r="B15" s="360" t="s">
        <v>837</v>
      </c>
      <c r="C15" s="359">
        <f>C6+C7-C10+C14</f>
        <v>0</v>
      </c>
      <c r="D15" s="359">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23"/>
  <sheetViews>
    <sheetView showGridLines="0" zoomScale="80" zoomScaleNormal="80" workbookViewId="0">
      <selection activeCell="B2" sqref="B2"/>
    </sheetView>
  </sheetViews>
  <sheetFormatPr defaultColWidth="9.109375" defaultRowHeight="12"/>
  <cols>
    <col min="1" max="1" width="11.88671875" style="355" bestFit="1" customWidth="1"/>
    <col min="2" max="2" width="128.88671875" style="355" bestFit="1" customWidth="1"/>
    <col min="3" max="3" width="37" style="355" customWidth="1"/>
    <col min="4" max="4" width="50.44140625" style="355" customWidth="1"/>
    <col min="5" max="16384" width="9.109375" style="355"/>
  </cols>
  <sheetData>
    <row r="1" spans="1:4" ht="13.8">
      <c r="A1" s="283" t="s">
        <v>96</v>
      </c>
      <c r="B1" s="224" t="str">
        <f>Info!C2</f>
        <v>სს პეივ ბანკ ჯორჯია</v>
      </c>
    </row>
    <row r="2" spans="1:4">
      <c r="A2" s="283" t="s">
        <v>97</v>
      </c>
      <c r="B2" s="286">
        <f>'1. key ratios'!B2</f>
        <v>45930</v>
      </c>
    </row>
    <row r="3" spans="1:4">
      <c r="A3" s="285" t="s">
        <v>513</v>
      </c>
    </row>
    <row r="4" spans="1:4">
      <c r="A4" s="285"/>
    </row>
    <row r="5" spans="1:4" ht="15" customHeight="1">
      <c r="A5" s="752" t="s">
        <v>514</v>
      </c>
      <c r="B5" s="753"/>
      <c r="C5" s="756" t="s">
        <v>515</v>
      </c>
      <c r="D5" s="756" t="s">
        <v>516</v>
      </c>
    </row>
    <row r="6" spans="1:4">
      <c r="A6" s="754"/>
      <c r="B6" s="755"/>
      <c r="C6" s="756"/>
      <c r="D6" s="756"/>
    </row>
    <row r="7" spans="1:4">
      <c r="A7" s="348">
        <v>1</v>
      </c>
      <c r="B7" s="348" t="s">
        <v>517</v>
      </c>
      <c r="C7" s="345"/>
      <c r="D7" s="369"/>
    </row>
    <row r="8" spans="1:4">
      <c r="A8" s="345">
        <v>2</v>
      </c>
      <c r="B8" s="345" t="s">
        <v>518</v>
      </c>
      <c r="C8" s="345"/>
      <c r="D8" s="369"/>
    </row>
    <row r="9" spans="1:4">
      <c r="A9" s="345">
        <v>3</v>
      </c>
      <c r="B9" s="372" t="s">
        <v>519</v>
      </c>
      <c r="C9" s="345"/>
      <c r="D9" s="369"/>
    </row>
    <row r="10" spans="1:4">
      <c r="A10" s="345">
        <v>4</v>
      </c>
      <c r="B10" s="345" t="s">
        <v>520</v>
      </c>
      <c r="C10" s="345">
        <f>SUM(C11:C17)</f>
        <v>0</v>
      </c>
      <c r="D10" s="369"/>
    </row>
    <row r="11" spans="1:4">
      <c r="A11" s="345">
        <v>5</v>
      </c>
      <c r="B11" s="371" t="s">
        <v>848</v>
      </c>
      <c r="C11" s="345"/>
      <c r="D11" s="369"/>
    </row>
    <row r="12" spans="1:4">
      <c r="A12" s="345">
        <v>6</v>
      </c>
      <c r="B12" s="371" t="s">
        <v>521</v>
      </c>
      <c r="C12" s="345"/>
      <c r="D12" s="369"/>
    </row>
    <row r="13" spans="1:4">
      <c r="A13" s="345">
        <v>7</v>
      </c>
      <c r="B13" s="371" t="s">
        <v>524</v>
      </c>
      <c r="C13" s="345"/>
      <c r="D13" s="369"/>
    </row>
    <row r="14" spans="1:4">
      <c r="A14" s="345">
        <v>8</v>
      </c>
      <c r="B14" s="371" t="s">
        <v>522</v>
      </c>
      <c r="C14" s="345"/>
      <c r="D14" s="345"/>
    </row>
    <row r="15" spans="1:4">
      <c r="A15" s="345">
        <v>9</v>
      </c>
      <c r="B15" s="371" t="s">
        <v>523</v>
      </c>
      <c r="C15" s="345"/>
      <c r="D15" s="345"/>
    </row>
    <row r="16" spans="1:4">
      <c r="A16" s="345">
        <v>10</v>
      </c>
      <c r="B16" s="371" t="s">
        <v>525</v>
      </c>
      <c r="C16" s="345"/>
      <c r="D16" s="345"/>
    </row>
    <row r="17" spans="1:4">
      <c r="A17" s="345">
        <v>11</v>
      </c>
      <c r="B17" s="371" t="s">
        <v>526</v>
      </c>
      <c r="C17" s="345"/>
      <c r="D17" s="369"/>
    </row>
    <row r="18" spans="1:4">
      <c r="A18" s="348">
        <v>12</v>
      </c>
      <c r="B18" s="370" t="s">
        <v>527</v>
      </c>
      <c r="C18" s="348">
        <f>C7+C8+C9-C10</f>
        <v>0</v>
      </c>
      <c r="D18" s="369"/>
    </row>
    <row r="21" spans="1:4">
      <c r="B21" s="283"/>
    </row>
    <row r="22" spans="1:4">
      <c r="B22" s="283"/>
    </row>
    <row r="23" spans="1:4">
      <c r="B23" s="285"/>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zoomScale="80" zoomScaleNormal="80" workbookViewId="0">
      <selection activeCell="B2" sqref="B2"/>
    </sheetView>
  </sheetViews>
  <sheetFormatPr defaultColWidth="9.109375" defaultRowHeight="12"/>
  <cols>
    <col min="1" max="1" width="11.88671875" style="355" bestFit="1" customWidth="1"/>
    <col min="2" max="2" width="63.88671875" style="355" customWidth="1"/>
    <col min="3" max="3" width="15.44140625" style="355" customWidth="1"/>
    <col min="4" max="18" width="22.109375" style="355" customWidth="1"/>
    <col min="19" max="19" width="23.109375" style="355" bestFit="1" customWidth="1"/>
    <col min="20" max="26" width="22.109375" style="355" customWidth="1"/>
    <col min="27" max="27" width="23.109375" style="355" bestFit="1" customWidth="1"/>
    <col min="28" max="28" width="20" style="355" customWidth="1"/>
    <col min="29" max="16384" width="9.109375" style="355"/>
  </cols>
  <sheetData>
    <row r="1" spans="1:28" ht="13.8">
      <c r="A1" s="283" t="s">
        <v>96</v>
      </c>
      <c r="B1" s="224" t="str">
        <f>Info!C2</f>
        <v>სს პეივ ბანკ ჯორჯია</v>
      </c>
    </row>
    <row r="2" spans="1:28">
      <c r="A2" s="283" t="s">
        <v>97</v>
      </c>
      <c r="B2" s="286">
        <f>'1. key ratios'!B2</f>
        <v>45930</v>
      </c>
      <c r="C2" s="356"/>
    </row>
    <row r="3" spans="1:28">
      <c r="A3" s="285" t="s">
        <v>528</v>
      </c>
    </row>
    <row r="5" spans="1:28" ht="15" customHeight="1">
      <c r="A5" s="757" t="s">
        <v>861</v>
      </c>
      <c r="B5" s="758"/>
      <c r="C5" s="749" t="s">
        <v>860</v>
      </c>
      <c r="D5" s="763"/>
      <c r="E5" s="763"/>
      <c r="F5" s="763"/>
      <c r="G5" s="763"/>
      <c r="H5" s="763"/>
      <c r="I5" s="763"/>
      <c r="J5" s="763"/>
      <c r="K5" s="763"/>
      <c r="L5" s="763"/>
      <c r="M5" s="763"/>
      <c r="N5" s="763"/>
      <c r="O5" s="763"/>
      <c r="P5" s="763"/>
      <c r="Q5" s="763"/>
      <c r="R5" s="763"/>
      <c r="S5" s="763"/>
      <c r="T5" s="383"/>
      <c r="U5" s="383"/>
      <c r="V5" s="383"/>
      <c r="W5" s="383"/>
      <c r="X5" s="383"/>
      <c r="Y5" s="383"/>
      <c r="Z5" s="383"/>
      <c r="AA5" s="382"/>
      <c r="AB5" s="375"/>
    </row>
    <row r="6" spans="1:28">
      <c r="A6" s="759"/>
      <c r="B6" s="760"/>
      <c r="C6" s="764" t="s">
        <v>66</v>
      </c>
      <c r="D6" s="766" t="s">
        <v>859</v>
      </c>
      <c r="E6" s="766"/>
      <c r="F6" s="766"/>
      <c r="G6" s="766"/>
      <c r="H6" s="767" t="s">
        <v>858</v>
      </c>
      <c r="I6" s="768"/>
      <c r="J6" s="768"/>
      <c r="K6" s="769"/>
      <c r="L6" s="380"/>
      <c r="M6" s="770" t="s">
        <v>857</v>
      </c>
      <c r="N6" s="770"/>
      <c r="O6" s="770"/>
      <c r="P6" s="770"/>
      <c r="Q6" s="770"/>
      <c r="R6" s="770"/>
      <c r="S6" s="747"/>
      <c r="T6" s="381"/>
      <c r="U6" s="750" t="s">
        <v>856</v>
      </c>
      <c r="V6" s="750"/>
      <c r="W6" s="750"/>
      <c r="X6" s="750"/>
      <c r="Y6" s="750"/>
      <c r="Z6" s="750"/>
      <c r="AA6" s="748"/>
      <c r="AB6" s="380"/>
    </row>
    <row r="7" spans="1:28" ht="24">
      <c r="A7" s="761"/>
      <c r="B7" s="762"/>
      <c r="C7" s="765"/>
      <c r="D7" s="379"/>
      <c r="E7" s="352" t="s">
        <v>529</v>
      </c>
      <c r="F7" s="352" t="s">
        <v>854</v>
      </c>
      <c r="G7" s="352" t="s">
        <v>855</v>
      </c>
      <c r="H7" s="378"/>
      <c r="I7" s="352" t="s">
        <v>529</v>
      </c>
      <c r="J7" s="352" t="s">
        <v>854</v>
      </c>
      <c r="K7" s="352" t="s">
        <v>855</v>
      </c>
      <c r="L7" s="377"/>
      <c r="M7" s="352" t="s">
        <v>529</v>
      </c>
      <c r="N7" s="352" t="s">
        <v>854</v>
      </c>
      <c r="O7" s="352" t="s">
        <v>853</v>
      </c>
      <c r="P7" s="352" t="s">
        <v>852</v>
      </c>
      <c r="Q7" s="352" t="s">
        <v>851</v>
      </c>
      <c r="R7" s="352" t="s">
        <v>850</v>
      </c>
      <c r="S7" s="352" t="s">
        <v>849</v>
      </c>
      <c r="T7" s="376"/>
      <c r="U7" s="352" t="s">
        <v>529</v>
      </c>
      <c r="V7" s="352" t="s">
        <v>854</v>
      </c>
      <c r="W7" s="352" t="s">
        <v>853</v>
      </c>
      <c r="X7" s="352" t="s">
        <v>852</v>
      </c>
      <c r="Y7" s="352" t="s">
        <v>851</v>
      </c>
      <c r="Z7" s="352" t="s">
        <v>850</v>
      </c>
      <c r="AA7" s="352" t="s">
        <v>849</v>
      </c>
      <c r="AB7" s="375"/>
    </row>
    <row r="8" spans="1:28">
      <c r="A8" s="374">
        <v>1</v>
      </c>
      <c r="B8" s="348" t="s">
        <v>530</v>
      </c>
      <c r="C8" s="348"/>
      <c r="D8" s="345"/>
      <c r="E8" s="345"/>
      <c r="F8" s="345"/>
      <c r="G8" s="345"/>
      <c r="H8" s="345"/>
      <c r="I8" s="345"/>
      <c r="J8" s="345"/>
      <c r="K8" s="345"/>
      <c r="L8" s="345"/>
      <c r="M8" s="345"/>
      <c r="N8" s="345"/>
      <c r="O8" s="345"/>
      <c r="P8" s="345"/>
      <c r="Q8" s="345"/>
      <c r="R8" s="345"/>
      <c r="S8" s="345"/>
      <c r="T8" s="345"/>
      <c r="U8" s="345"/>
      <c r="V8" s="345"/>
      <c r="W8" s="345"/>
      <c r="X8" s="345"/>
      <c r="Y8" s="345"/>
      <c r="Z8" s="345"/>
      <c r="AA8" s="345"/>
    </row>
    <row r="9" spans="1:28">
      <c r="A9" s="345">
        <v>1.1000000000000001</v>
      </c>
      <c r="B9" s="364" t="s">
        <v>531</v>
      </c>
      <c r="C9" s="364"/>
      <c r="D9" s="345"/>
      <c r="E9" s="345"/>
      <c r="F9" s="345"/>
      <c r="G9" s="345"/>
      <c r="H9" s="345"/>
      <c r="I9" s="345"/>
      <c r="J9" s="345"/>
      <c r="K9" s="345"/>
      <c r="L9" s="345"/>
      <c r="M9" s="345"/>
      <c r="N9" s="345"/>
      <c r="O9" s="345"/>
      <c r="P9" s="345"/>
      <c r="Q9" s="345"/>
      <c r="R9" s="345"/>
      <c r="S9" s="345"/>
      <c r="T9" s="345"/>
      <c r="U9" s="345"/>
      <c r="V9" s="345"/>
      <c r="W9" s="345"/>
      <c r="X9" s="345"/>
      <c r="Y9" s="345"/>
      <c r="Z9" s="345"/>
      <c r="AA9" s="345"/>
    </row>
    <row r="10" spans="1:28">
      <c r="A10" s="345">
        <v>1.2</v>
      </c>
      <c r="B10" s="364" t="s">
        <v>532</v>
      </c>
      <c r="C10" s="364"/>
      <c r="D10" s="345"/>
      <c r="E10" s="345"/>
      <c r="F10" s="345"/>
      <c r="G10" s="345"/>
      <c r="H10" s="345"/>
      <c r="I10" s="345"/>
      <c r="J10" s="345"/>
      <c r="K10" s="345"/>
      <c r="L10" s="345"/>
      <c r="M10" s="345"/>
      <c r="N10" s="345"/>
      <c r="O10" s="345"/>
      <c r="P10" s="345"/>
      <c r="Q10" s="345"/>
      <c r="R10" s="345"/>
      <c r="S10" s="345"/>
      <c r="T10" s="345"/>
      <c r="U10" s="345"/>
      <c r="V10" s="345"/>
      <c r="W10" s="345"/>
      <c r="X10" s="345"/>
      <c r="Y10" s="345"/>
      <c r="Z10" s="345"/>
      <c r="AA10" s="345"/>
    </row>
    <row r="11" spans="1:28">
      <c r="A11" s="345">
        <v>1.3</v>
      </c>
      <c r="B11" s="364" t="s">
        <v>533</v>
      </c>
      <c r="C11" s="364"/>
      <c r="D11" s="345"/>
      <c r="E11" s="345"/>
      <c r="F11" s="345"/>
      <c r="G11" s="345"/>
      <c r="H11" s="345"/>
      <c r="I11" s="345"/>
      <c r="J11" s="345"/>
      <c r="K11" s="345"/>
      <c r="L11" s="345"/>
      <c r="M11" s="345"/>
      <c r="N11" s="345"/>
      <c r="O11" s="345"/>
      <c r="P11" s="345"/>
      <c r="Q11" s="345"/>
      <c r="R11" s="345"/>
      <c r="S11" s="345"/>
      <c r="T11" s="345"/>
      <c r="U11" s="345"/>
      <c r="V11" s="345"/>
      <c r="W11" s="345"/>
      <c r="X11" s="345"/>
      <c r="Y11" s="345"/>
      <c r="Z11" s="345"/>
      <c r="AA11" s="345"/>
    </row>
    <row r="12" spans="1:28">
      <c r="A12" s="345">
        <v>1.4</v>
      </c>
      <c r="B12" s="364" t="s">
        <v>534</v>
      </c>
      <c r="C12" s="364"/>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5"/>
    </row>
    <row r="13" spans="1:28">
      <c r="A13" s="345">
        <v>1.5</v>
      </c>
      <c r="B13" s="364" t="s">
        <v>535</v>
      </c>
      <c r="C13" s="364"/>
      <c r="D13" s="345"/>
      <c r="E13" s="345"/>
      <c r="F13" s="345"/>
      <c r="G13" s="345"/>
      <c r="H13" s="345"/>
      <c r="I13" s="345"/>
      <c r="J13" s="345"/>
      <c r="K13" s="345"/>
      <c r="L13" s="345"/>
      <c r="M13" s="345"/>
      <c r="N13" s="345"/>
      <c r="O13" s="345"/>
      <c r="P13" s="345"/>
      <c r="Q13" s="345"/>
      <c r="R13" s="345"/>
      <c r="S13" s="345"/>
      <c r="T13" s="345"/>
      <c r="U13" s="345"/>
      <c r="V13" s="345"/>
      <c r="W13" s="345"/>
      <c r="X13" s="345"/>
      <c r="Y13" s="345"/>
      <c r="Z13" s="345"/>
      <c r="AA13" s="345"/>
    </row>
    <row r="14" spans="1:28">
      <c r="A14" s="345">
        <v>1.6</v>
      </c>
      <c r="B14" s="364" t="s">
        <v>536</v>
      </c>
      <c r="C14" s="364"/>
      <c r="D14" s="345"/>
      <c r="E14" s="345"/>
      <c r="F14" s="345"/>
      <c r="G14" s="345"/>
      <c r="H14" s="345"/>
      <c r="I14" s="345"/>
      <c r="J14" s="345"/>
      <c r="K14" s="345"/>
      <c r="L14" s="345"/>
      <c r="M14" s="345"/>
      <c r="N14" s="345"/>
      <c r="O14" s="345"/>
      <c r="P14" s="345"/>
      <c r="Q14" s="345"/>
      <c r="R14" s="345"/>
      <c r="S14" s="345"/>
      <c r="T14" s="345"/>
      <c r="U14" s="345"/>
      <c r="V14" s="345"/>
      <c r="W14" s="345"/>
      <c r="X14" s="345"/>
      <c r="Y14" s="345"/>
      <c r="Z14" s="345"/>
      <c r="AA14" s="345"/>
    </row>
    <row r="15" spans="1:28">
      <c r="A15" s="374">
        <v>2</v>
      </c>
      <c r="B15" s="348" t="s">
        <v>537</v>
      </c>
      <c r="C15" s="348"/>
      <c r="D15" s="345"/>
      <c r="E15" s="345"/>
      <c r="F15" s="345"/>
      <c r="G15" s="345"/>
      <c r="H15" s="345"/>
      <c r="I15" s="345"/>
      <c r="J15" s="345"/>
      <c r="K15" s="345"/>
      <c r="L15" s="345"/>
      <c r="M15" s="345"/>
      <c r="N15" s="345"/>
      <c r="O15" s="345"/>
      <c r="P15" s="345"/>
      <c r="Q15" s="345"/>
      <c r="R15" s="345"/>
      <c r="S15" s="345"/>
      <c r="T15" s="345"/>
      <c r="U15" s="345"/>
      <c r="V15" s="345"/>
      <c r="W15" s="345"/>
      <c r="X15" s="345"/>
      <c r="Y15" s="345"/>
      <c r="Z15" s="345"/>
      <c r="AA15" s="345"/>
    </row>
    <row r="16" spans="1:28">
      <c r="A16" s="345">
        <v>2.1</v>
      </c>
      <c r="B16" s="364" t="s">
        <v>531</v>
      </c>
      <c r="C16" s="364"/>
      <c r="D16" s="345"/>
      <c r="E16" s="345"/>
      <c r="F16" s="345"/>
      <c r="G16" s="345"/>
      <c r="H16" s="345"/>
      <c r="I16" s="345"/>
      <c r="J16" s="345"/>
      <c r="K16" s="345"/>
      <c r="L16" s="345"/>
      <c r="M16" s="345"/>
      <c r="N16" s="345"/>
      <c r="O16" s="345"/>
      <c r="P16" s="345"/>
      <c r="Q16" s="345"/>
      <c r="R16" s="345"/>
      <c r="S16" s="345"/>
      <c r="T16" s="345"/>
      <c r="U16" s="345"/>
      <c r="V16" s="345"/>
      <c r="W16" s="345"/>
      <c r="X16" s="345"/>
      <c r="Y16" s="345"/>
      <c r="Z16" s="345"/>
      <c r="AA16" s="345"/>
    </row>
    <row r="17" spans="1:27">
      <c r="A17" s="345">
        <v>2.2000000000000002</v>
      </c>
      <c r="B17" s="364" t="s">
        <v>532</v>
      </c>
      <c r="C17" s="364"/>
      <c r="D17" s="345"/>
      <c r="E17" s="345"/>
      <c r="F17" s="345"/>
      <c r="G17" s="345"/>
      <c r="H17" s="345"/>
      <c r="I17" s="345"/>
      <c r="J17" s="345"/>
      <c r="K17" s="345"/>
      <c r="L17" s="345"/>
      <c r="M17" s="345"/>
      <c r="N17" s="345"/>
      <c r="O17" s="345"/>
      <c r="P17" s="345"/>
      <c r="Q17" s="345"/>
      <c r="R17" s="345"/>
      <c r="S17" s="345"/>
      <c r="T17" s="345"/>
      <c r="U17" s="345"/>
      <c r="V17" s="345"/>
      <c r="W17" s="345"/>
      <c r="X17" s="345"/>
      <c r="Y17" s="345"/>
      <c r="Z17" s="345"/>
      <c r="AA17" s="345"/>
    </row>
    <row r="18" spans="1:27">
      <c r="A18" s="345">
        <v>2.2999999999999998</v>
      </c>
      <c r="B18" s="364" t="s">
        <v>533</v>
      </c>
      <c r="C18" s="364"/>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row>
    <row r="19" spans="1:27">
      <c r="A19" s="345">
        <v>2.4</v>
      </c>
      <c r="B19" s="364" t="s">
        <v>534</v>
      </c>
      <c r="C19" s="364"/>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row>
    <row r="20" spans="1:27">
      <c r="A20" s="345">
        <v>2.5</v>
      </c>
      <c r="B20" s="364" t="s">
        <v>535</v>
      </c>
      <c r="C20" s="364"/>
      <c r="D20" s="345"/>
      <c r="E20" s="345"/>
      <c r="F20" s="345"/>
      <c r="G20" s="345"/>
      <c r="H20" s="345"/>
      <c r="I20" s="345"/>
      <c r="J20" s="345"/>
      <c r="K20" s="345"/>
      <c r="L20" s="345"/>
      <c r="M20" s="345"/>
      <c r="N20" s="345"/>
      <c r="O20" s="345"/>
      <c r="P20" s="345"/>
      <c r="Q20" s="345"/>
      <c r="R20" s="345"/>
      <c r="S20" s="345"/>
      <c r="T20" s="345"/>
      <c r="U20" s="345"/>
      <c r="V20" s="345"/>
      <c r="W20" s="345"/>
      <c r="X20" s="345"/>
      <c r="Y20" s="345"/>
      <c r="Z20" s="345"/>
      <c r="AA20" s="345"/>
    </row>
    <row r="21" spans="1:27">
      <c r="A21" s="345">
        <v>2.6</v>
      </c>
      <c r="B21" s="364" t="s">
        <v>536</v>
      </c>
      <c r="C21" s="364"/>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45"/>
    </row>
    <row r="22" spans="1:27">
      <c r="A22" s="374">
        <v>3</v>
      </c>
      <c r="B22" s="348" t="s">
        <v>538</v>
      </c>
      <c r="C22" s="348"/>
      <c r="D22" s="348"/>
      <c r="E22" s="373"/>
      <c r="F22" s="373"/>
      <c r="G22" s="373"/>
      <c r="H22" s="348"/>
      <c r="I22" s="373"/>
      <c r="J22" s="373"/>
      <c r="K22" s="373"/>
      <c r="L22" s="348"/>
      <c r="M22" s="373"/>
      <c r="N22" s="373"/>
      <c r="O22" s="373"/>
      <c r="P22" s="373"/>
      <c r="Q22" s="373"/>
      <c r="R22" s="373"/>
      <c r="S22" s="373"/>
      <c r="T22" s="348"/>
      <c r="U22" s="373"/>
      <c r="V22" s="373"/>
      <c r="W22" s="373"/>
      <c r="X22" s="373"/>
      <c r="Y22" s="373"/>
      <c r="Z22" s="373"/>
      <c r="AA22" s="373"/>
    </row>
    <row r="23" spans="1:27">
      <c r="A23" s="345">
        <v>3.1</v>
      </c>
      <c r="B23" s="364" t="s">
        <v>531</v>
      </c>
      <c r="C23" s="364"/>
      <c r="D23" s="348"/>
      <c r="E23" s="373"/>
      <c r="F23" s="373"/>
      <c r="G23" s="373"/>
      <c r="H23" s="348"/>
      <c r="I23" s="373"/>
      <c r="J23" s="373"/>
      <c r="K23" s="373"/>
      <c r="L23" s="348"/>
      <c r="M23" s="373"/>
      <c r="N23" s="373"/>
      <c r="O23" s="373"/>
      <c r="P23" s="373"/>
      <c r="Q23" s="373"/>
      <c r="R23" s="373"/>
      <c r="S23" s="373"/>
      <c r="T23" s="348"/>
      <c r="U23" s="373"/>
      <c r="V23" s="373"/>
      <c r="W23" s="373"/>
      <c r="X23" s="373"/>
      <c r="Y23" s="373"/>
      <c r="Z23" s="373"/>
      <c r="AA23" s="373"/>
    </row>
    <row r="24" spans="1:27">
      <c r="A24" s="345">
        <v>3.2</v>
      </c>
      <c r="B24" s="364" t="s">
        <v>532</v>
      </c>
      <c r="C24" s="364"/>
      <c r="D24" s="348"/>
      <c r="E24" s="373"/>
      <c r="F24" s="373"/>
      <c r="G24" s="373"/>
      <c r="H24" s="348"/>
      <c r="I24" s="373"/>
      <c r="J24" s="373"/>
      <c r="K24" s="373"/>
      <c r="L24" s="348"/>
      <c r="M24" s="373"/>
      <c r="N24" s="373"/>
      <c r="O24" s="373"/>
      <c r="P24" s="373"/>
      <c r="Q24" s="373"/>
      <c r="R24" s="373"/>
      <c r="S24" s="373"/>
      <c r="T24" s="348"/>
      <c r="U24" s="373"/>
      <c r="V24" s="373"/>
      <c r="W24" s="373"/>
      <c r="X24" s="373"/>
      <c r="Y24" s="373"/>
      <c r="Z24" s="373"/>
      <c r="AA24" s="373"/>
    </row>
    <row r="25" spans="1:27">
      <c r="A25" s="345">
        <v>3.3</v>
      </c>
      <c r="B25" s="364" t="s">
        <v>533</v>
      </c>
      <c r="C25" s="364"/>
      <c r="D25" s="348"/>
      <c r="E25" s="373"/>
      <c r="F25" s="373"/>
      <c r="G25" s="373"/>
      <c r="H25" s="348"/>
      <c r="I25" s="373"/>
      <c r="J25" s="373"/>
      <c r="K25" s="373"/>
      <c r="L25" s="348"/>
      <c r="M25" s="373"/>
      <c r="N25" s="373"/>
      <c r="O25" s="373"/>
      <c r="P25" s="373"/>
      <c r="Q25" s="373"/>
      <c r="R25" s="373"/>
      <c r="S25" s="373"/>
      <c r="T25" s="348"/>
      <c r="U25" s="373"/>
      <c r="V25" s="373"/>
      <c r="W25" s="373"/>
      <c r="X25" s="373"/>
      <c r="Y25" s="373"/>
      <c r="Z25" s="373"/>
      <c r="AA25" s="373"/>
    </row>
    <row r="26" spans="1:27">
      <c r="A26" s="345">
        <v>3.4</v>
      </c>
      <c r="B26" s="364" t="s">
        <v>534</v>
      </c>
      <c r="C26" s="364"/>
      <c r="D26" s="348"/>
      <c r="E26" s="373"/>
      <c r="F26" s="373"/>
      <c r="G26" s="373"/>
      <c r="H26" s="348"/>
      <c r="I26" s="373"/>
      <c r="J26" s="373"/>
      <c r="K26" s="373"/>
      <c r="L26" s="348"/>
      <c r="M26" s="373"/>
      <c r="N26" s="373"/>
      <c r="O26" s="373"/>
      <c r="P26" s="373"/>
      <c r="Q26" s="373"/>
      <c r="R26" s="373"/>
      <c r="S26" s="373"/>
      <c r="T26" s="348"/>
      <c r="U26" s="373"/>
      <c r="V26" s="373"/>
      <c r="W26" s="373"/>
      <c r="X26" s="373"/>
      <c r="Y26" s="373"/>
      <c r="Z26" s="373"/>
      <c r="AA26" s="373"/>
    </row>
    <row r="27" spans="1:27">
      <c r="A27" s="345">
        <v>3.5</v>
      </c>
      <c r="B27" s="364" t="s">
        <v>535</v>
      </c>
      <c r="C27" s="364"/>
      <c r="D27" s="348"/>
      <c r="E27" s="373"/>
      <c r="F27" s="373"/>
      <c r="G27" s="373"/>
      <c r="H27" s="348"/>
      <c r="I27" s="373"/>
      <c r="J27" s="373"/>
      <c r="K27" s="373"/>
      <c r="L27" s="348"/>
      <c r="M27" s="373"/>
      <c r="N27" s="373"/>
      <c r="O27" s="373"/>
      <c r="P27" s="373"/>
      <c r="Q27" s="373"/>
      <c r="R27" s="373"/>
      <c r="S27" s="373"/>
      <c r="T27" s="348"/>
      <c r="U27" s="373"/>
      <c r="V27" s="373"/>
      <c r="W27" s="373"/>
      <c r="X27" s="373"/>
      <c r="Y27" s="373"/>
      <c r="Z27" s="373"/>
      <c r="AA27" s="373"/>
    </row>
    <row r="28" spans="1:27">
      <c r="A28" s="345">
        <v>3.6</v>
      </c>
      <c r="B28" s="364" t="s">
        <v>536</v>
      </c>
      <c r="C28" s="364"/>
      <c r="D28" s="348"/>
      <c r="E28" s="373"/>
      <c r="F28" s="373"/>
      <c r="G28" s="373"/>
      <c r="H28" s="348"/>
      <c r="I28" s="373"/>
      <c r="J28" s="373"/>
      <c r="K28" s="373"/>
      <c r="L28" s="348"/>
      <c r="M28" s="373"/>
      <c r="N28" s="373"/>
      <c r="O28" s="373"/>
      <c r="P28" s="373"/>
      <c r="Q28" s="373"/>
      <c r="R28" s="373"/>
      <c r="S28" s="373"/>
      <c r="T28" s="348"/>
      <c r="U28" s="373"/>
      <c r="V28" s="373"/>
      <c r="W28" s="373"/>
      <c r="X28" s="373"/>
      <c r="Y28" s="373"/>
      <c r="Z28" s="373"/>
      <c r="AA28" s="373"/>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zoomScale="80" zoomScaleNormal="80" workbookViewId="0"/>
  </sheetViews>
  <sheetFormatPr defaultColWidth="9.109375" defaultRowHeight="12"/>
  <cols>
    <col min="1" max="1" width="11.88671875" style="355" bestFit="1" customWidth="1"/>
    <col min="2" max="2" width="90.109375" style="355" bestFit="1" customWidth="1"/>
    <col min="3" max="3" width="20.109375" style="355" customWidth="1"/>
    <col min="4" max="4" width="22.109375" style="355" customWidth="1"/>
    <col min="5" max="7" width="17.109375" style="355" customWidth="1"/>
    <col min="8" max="8" width="22.109375" style="355" customWidth="1"/>
    <col min="9" max="10" width="17.109375" style="355" customWidth="1"/>
    <col min="11" max="27" width="22.109375" style="355" customWidth="1"/>
    <col min="28" max="16384" width="9.109375" style="355"/>
  </cols>
  <sheetData>
    <row r="1" spans="1:27" ht="13.8">
      <c r="A1" s="283" t="s">
        <v>96</v>
      </c>
      <c r="B1" s="224" t="str">
        <f>Info!C2</f>
        <v>სს პეივ ბანკ ჯორჯია</v>
      </c>
    </row>
    <row r="2" spans="1:27">
      <c r="A2" s="283" t="s">
        <v>97</v>
      </c>
      <c r="B2" s="286">
        <f>'1. key ratios'!B2</f>
        <v>45930</v>
      </c>
    </row>
    <row r="3" spans="1:27">
      <c r="A3" s="285" t="s">
        <v>539</v>
      </c>
      <c r="C3" s="357"/>
    </row>
    <row r="4" spans="1:27" ht="12.6" thickBot="1">
      <c r="A4" s="285"/>
      <c r="B4" s="357"/>
      <c r="C4" s="357"/>
    </row>
    <row r="5" spans="1:27" ht="13.5" customHeight="1">
      <c r="A5" s="775" t="s">
        <v>868</v>
      </c>
      <c r="B5" s="776"/>
      <c r="C5" s="772" t="s">
        <v>540</v>
      </c>
      <c r="D5" s="773"/>
      <c r="E5" s="773"/>
      <c r="F5" s="773"/>
      <c r="G5" s="773"/>
      <c r="H5" s="773"/>
      <c r="I5" s="773"/>
      <c r="J5" s="773"/>
      <c r="K5" s="773"/>
      <c r="L5" s="773"/>
      <c r="M5" s="773"/>
      <c r="N5" s="773"/>
      <c r="O5" s="773"/>
      <c r="P5" s="773"/>
      <c r="Q5" s="773"/>
      <c r="R5" s="773"/>
      <c r="S5" s="773"/>
      <c r="T5" s="773"/>
      <c r="U5" s="773"/>
      <c r="V5" s="773"/>
      <c r="W5" s="773"/>
      <c r="X5" s="773"/>
      <c r="Y5" s="773"/>
      <c r="Z5" s="773"/>
      <c r="AA5" s="774"/>
    </row>
    <row r="6" spans="1:27" ht="12" customHeight="1">
      <c r="A6" s="777"/>
      <c r="B6" s="778"/>
      <c r="C6" s="781" t="s">
        <v>66</v>
      </c>
      <c r="D6" s="746" t="s">
        <v>859</v>
      </c>
      <c r="E6" s="746"/>
      <c r="F6" s="746"/>
      <c r="G6" s="746"/>
      <c r="H6" s="767" t="s">
        <v>858</v>
      </c>
      <c r="I6" s="768"/>
      <c r="J6" s="768"/>
      <c r="K6" s="768"/>
      <c r="L6" s="381"/>
      <c r="M6" s="750" t="s">
        <v>857</v>
      </c>
      <c r="N6" s="750"/>
      <c r="O6" s="750"/>
      <c r="P6" s="750"/>
      <c r="Q6" s="750"/>
      <c r="R6" s="750"/>
      <c r="S6" s="748"/>
      <c r="T6" s="381"/>
      <c r="U6" s="750" t="s">
        <v>856</v>
      </c>
      <c r="V6" s="750"/>
      <c r="W6" s="750"/>
      <c r="X6" s="750"/>
      <c r="Y6" s="750"/>
      <c r="Z6" s="750"/>
      <c r="AA6" s="771"/>
    </row>
    <row r="7" spans="1:27" ht="36">
      <c r="A7" s="779"/>
      <c r="B7" s="780"/>
      <c r="C7" s="782"/>
      <c r="D7" s="379"/>
      <c r="E7" s="352" t="s">
        <v>529</v>
      </c>
      <c r="F7" s="352" t="s">
        <v>854</v>
      </c>
      <c r="G7" s="352" t="s">
        <v>855</v>
      </c>
      <c r="H7" s="356"/>
      <c r="I7" s="352" t="s">
        <v>529</v>
      </c>
      <c r="J7" s="352" t="s">
        <v>854</v>
      </c>
      <c r="K7" s="352" t="s">
        <v>855</v>
      </c>
      <c r="L7" s="376"/>
      <c r="M7" s="352" t="s">
        <v>529</v>
      </c>
      <c r="N7" s="352" t="s">
        <v>867</v>
      </c>
      <c r="O7" s="352" t="s">
        <v>866</v>
      </c>
      <c r="P7" s="352" t="s">
        <v>865</v>
      </c>
      <c r="Q7" s="352" t="s">
        <v>864</v>
      </c>
      <c r="R7" s="352" t="s">
        <v>863</v>
      </c>
      <c r="S7" s="352" t="s">
        <v>849</v>
      </c>
      <c r="T7" s="376"/>
      <c r="U7" s="352" t="s">
        <v>529</v>
      </c>
      <c r="V7" s="352" t="s">
        <v>867</v>
      </c>
      <c r="W7" s="352" t="s">
        <v>866</v>
      </c>
      <c r="X7" s="352" t="s">
        <v>865</v>
      </c>
      <c r="Y7" s="352" t="s">
        <v>864</v>
      </c>
      <c r="Z7" s="352" t="s">
        <v>863</v>
      </c>
      <c r="AA7" s="352" t="s">
        <v>849</v>
      </c>
    </row>
    <row r="8" spans="1:27">
      <c r="A8" s="412">
        <v>1</v>
      </c>
      <c r="B8" s="411" t="s">
        <v>530</v>
      </c>
      <c r="C8" s="410"/>
      <c r="D8" s="345"/>
      <c r="E8" s="345"/>
      <c r="F8" s="345"/>
      <c r="G8" s="345"/>
      <c r="H8" s="345"/>
      <c r="I8" s="345"/>
      <c r="J8" s="345"/>
      <c r="K8" s="345"/>
      <c r="L8" s="345"/>
      <c r="M8" s="345"/>
      <c r="N8" s="345"/>
      <c r="O8" s="345"/>
      <c r="P8" s="345"/>
      <c r="Q8" s="345"/>
      <c r="R8" s="345"/>
      <c r="S8" s="345"/>
      <c r="T8" s="345"/>
      <c r="U8" s="345"/>
      <c r="V8" s="345"/>
      <c r="W8" s="345"/>
      <c r="X8" s="345"/>
      <c r="Y8" s="345"/>
      <c r="Z8" s="345"/>
      <c r="AA8" s="389"/>
    </row>
    <row r="9" spans="1:27">
      <c r="A9" s="403">
        <v>1.1000000000000001</v>
      </c>
      <c r="B9" s="409" t="s">
        <v>541</v>
      </c>
      <c r="C9" s="403"/>
      <c r="D9" s="345"/>
      <c r="E9" s="345"/>
      <c r="F9" s="345"/>
      <c r="G9" s="345"/>
      <c r="H9" s="345"/>
      <c r="I9" s="345"/>
      <c r="J9" s="345"/>
      <c r="K9" s="345"/>
      <c r="L9" s="345"/>
      <c r="M9" s="345"/>
      <c r="N9" s="345"/>
      <c r="O9" s="345"/>
      <c r="P9" s="345"/>
      <c r="Q9" s="345"/>
      <c r="R9" s="345"/>
      <c r="S9" s="345"/>
      <c r="T9" s="345"/>
      <c r="U9" s="345"/>
      <c r="V9" s="345"/>
      <c r="W9" s="345"/>
      <c r="X9" s="345"/>
      <c r="Y9" s="345"/>
      <c r="Z9" s="345"/>
      <c r="AA9" s="389"/>
    </row>
    <row r="10" spans="1:27">
      <c r="A10" s="407" t="s">
        <v>145</v>
      </c>
      <c r="B10" s="408" t="s">
        <v>542</v>
      </c>
      <c r="C10" s="407"/>
      <c r="D10" s="345"/>
      <c r="E10" s="345"/>
      <c r="F10" s="345"/>
      <c r="G10" s="345"/>
      <c r="H10" s="345"/>
      <c r="I10" s="345"/>
      <c r="J10" s="345"/>
      <c r="K10" s="345"/>
      <c r="L10" s="345"/>
      <c r="M10" s="345"/>
      <c r="N10" s="345"/>
      <c r="O10" s="345"/>
      <c r="P10" s="345"/>
      <c r="Q10" s="345"/>
      <c r="R10" s="345"/>
      <c r="S10" s="345"/>
      <c r="T10" s="345"/>
      <c r="U10" s="345"/>
      <c r="V10" s="345"/>
      <c r="W10" s="345"/>
      <c r="X10" s="345"/>
      <c r="Y10" s="345"/>
      <c r="Z10" s="345"/>
      <c r="AA10" s="389"/>
    </row>
    <row r="11" spans="1:27">
      <c r="A11" s="405" t="s">
        <v>543</v>
      </c>
      <c r="B11" s="406" t="s">
        <v>544</v>
      </c>
      <c r="C11" s="405"/>
      <c r="D11" s="345"/>
      <c r="E11" s="345"/>
      <c r="F11" s="345"/>
      <c r="G11" s="345"/>
      <c r="H11" s="345"/>
      <c r="I11" s="345"/>
      <c r="J11" s="345"/>
      <c r="K11" s="345"/>
      <c r="L11" s="345"/>
      <c r="M11" s="345"/>
      <c r="N11" s="345"/>
      <c r="O11" s="345"/>
      <c r="P11" s="345"/>
      <c r="Q11" s="345"/>
      <c r="R11" s="345"/>
      <c r="S11" s="345"/>
      <c r="T11" s="345"/>
      <c r="U11" s="345"/>
      <c r="V11" s="345"/>
      <c r="W11" s="345"/>
      <c r="X11" s="345"/>
      <c r="Y11" s="345"/>
      <c r="Z11" s="345"/>
      <c r="AA11" s="389"/>
    </row>
    <row r="12" spans="1:27">
      <c r="A12" s="405" t="s">
        <v>545</v>
      </c>
      <c r="B12" s="406" t="s">
        <v>546</v>
      </c>
      <c r="C12" s="405"/>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89"/>
    </row>
    <row r="13" spans="1:27">
      <c r="A13" s="405" t="s">
        <v>547</v>
      </c>
      <c r="B13" s="406" t="s">
        <v>548</v>
      </c>
      <c r="C13" s="405"/>
      <c r="D13" s="345"/>
      <c r="E13" s="345"/>
      <c r="F13" s="345"/>
      <c r="G13" s="345"/>
      <c r="H13" s="345"/>
      <c r="I13" s="345"/>
      <c r="J13" s="345"/>
      <c r="K13" s="345"/>
      <c r="L13" s="345"/>
      <c r="M13" s="345"/>
      <c r="N13" s="345"/>
      <c r="O13" s="345"/>
      <c r="P13" s="345"/>
      <c r="Q13" s="345"/>
      <c r="R13" s="345"/>
      <c r="S13" s="345"/>
      <c r="T13" s="345"/>
      <c r="U13" s="345"/>
      <c r="V13" s="345"/>
      <c r="W13" s="345"/>
      <c r="X13" s="345"/>
      <c r="Y13" s="345"/>
      <c r="Z13" s="345"/>
      <c r="AA13" s="389"/>
    </row>
    <row r="14" spans="1:27">
      <c r="A14" s="405" t="s">
        <v>549</v>
      </c>
      <c r="B14" s="406" t="s">
        <v>550</v>
      </c>
      <c r="C14" s="405"/>
      <c r="D14" s="345"/>
      <c r="E14" s="345"/>
      <c r="F14" s="345"/>
      <c r="G14" s="345"/>
      <c r="H14" s="345"/>
      <c r="I14" s="345"/>
      <c r="J14" s="345"/>
      <c r="K14" s="345"/>
      <c r="L14" s="345"/>
      <c r="M14" s="345"/>
      <c r="N14" s="345"/>
      <c r="O14" s="345"/>
      <c r="P14" s="345"/>
      <c r="Q14" s="345"/>
      <c r="R14" s="345"/>
      <c r="S14" s="345"/>
      <c r="T14" s="345"/>
      <c r="U14" s="345"/>
      <c r="V14" s="345"/>
      <c r="W14" s="345"/>
      <c r="X14" s="345"/>
      <c r="Y14" s="345"/>
      <c r="Z14" s="345"/>
      <c r="AA14" s="389"/>
    </row>
    <row r="15" spans="1:27">
      <c r="A15" s="404">
        <v>1.2</v>
      </c>
      <c r="B15" s="402" t="s">
        <v>862</v>
      </c>
      <c r="C15" s="404"/>
      <c r="D15" s="345"/>
      <c r="E15" s="345"/>
      <c r="F15" s="345"/>
      <c r="G15" s="345"/>
      <c r="H15" s="345"/>
      <c r="I15" s="345"/>
      <c r="J15" s="345"/>
      <c r="K15" s="345"/>
      <c r="L15" s="345"/>
      <c r="M15" s="345"/>
      <c r="N15" s="345"/>
      <c r="O15" s="345"/>
      <c r="P15" s="345"/>
      <c r="Q15" s="345"/>
      <c r="R15" s="345"/>
      <c r="S15" s="345"/>
      <c r="T15" s="345"/>
      <c r="U15" s="345"/>
      <c r="V15" s="345"/>
      <c r="W15" s="345"/>
      <c r="X15" s="345"/>
      <c r="Y15" s="345"/>
      <c r="Z15" s="345"/>
      <c r="AA15" s="389"/>
    </row>
    <row r="16" spans="1:27">
      <c r="A16" s="403">
        <v>1.3</v>
      </c>
      <c r="B16" s="402" t="s">
        <v>551</v>
      </c>
      <c r="C16" s="401"/>
      <c r="D16" s="400"/>
      <c r="E16" s="400"/>
      <c r="F16" s="400"/>
      <c r="G16" s="400"/>
      <c r="H16" s="400"/>
      <c r="I16" s="400"/>
      <c r="J16" s="400"/>
      <c r="K16" s="400"/>
      <c r="L16" s="400"/>
      <c r="M16" s="400"/>
      <c r="N16" s="400"/>
      <c r="O16" s="400"/>
      <c r="P16" s="400"/>
      <c r="Q16" s="400"/>
      <c r="R16" s="400"/>
      <c r="S16" s="400"/>
      <c r="T16" s="400"/>
      <c r="U16" s="400"/>
      <c r="V16" s="400"/>
      <c r="W16" s="400"/>
      <c r="X16" s="400"/>
      <c r="Y16" s="400"/>
      <c r="Z16" s="400"/>
      <c r="AA16" s="399"/>
    </row>
    <row r="17" spans="1:27" ht="24">
      <c r="A17" s="395" t="s">
        <v>552</v>
      </c>
      <c r="B17" s="398" t="s">
        <v>553</v>
      </c>
      <c r="C17" s="397"/>
      <c r="D17" s="345"/>
      <c r="E17" s="345"/>
      <c r="F17" s="345"/>
      <c r="G17" s="345"/>
      <c r="H17" s="345"/>
      <c r="I17" s="345"/>
      <c r="J17" s="345"/>
      <c r="K17" s="345"/>
      <c r="L17" s="345"/>
      <c r="M17" s="345"/>
      <c r="N17" s="345"/>
      <c r="O17" s="345"/>
      <c r="P17" s="345"/>
      <c r="Q17" s="345"/>
      <c r="R17" s="345"/>
      <c r="S17" s="345"/>
      <c r="T17" s="345"/>
      <c r="U17" s="345"/>
      <c r="V17" s="345"/>
      <c r="W17" s="345"/>
      <c r="X17" s="345"/>
      <c r="Y17" s="345"/>
      <c r="Z17" s="345"/>
      <c r="AA17" s="389"/>
    </row>
    <row r="18" spans="1:27" ht="24">
      <c r="A18" s="393" t="s">
        <v>554</v>
      </c>
      <c r="B18" s="394" t="s">
        <v>555</v>
      </c>
      <c r="C18" s="393"/>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89"/>
    </row>
    <row r="19" spans="1:27">
      <c r="A19" s="395" t="s">
        <v>556</v>
      </c>
      <c r="B19" s="396" t="s">
        <v>557</v>
      </c>
      <c r="C19" s="39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89"/>
    </row>
    <row r="20" spans="1:27">
      <c r="A20" s="393" t="s">
        <v>558</v>
      </c>
      <c r="B20" s="394" t="s">
        <v>559</v>
      </c>
      <c r="C20" s="393"/>
      <c r="D20" s="345"/>
      <c r="E20" s="345"/>
      <c r="F20" s="345"/>
      <c r="G20" s="345"/>
      <c r="H20" s="345"/>
      <c r="I20" s="345"/>
      <c r="J20" s="345"/>
      <c r="K20" s="345"/>
      <c r="L20" s="345"/>
      <c r="M20" s="345"/>
      <c r="N20" s="345"/>
      <c r="O20" s="345"/>
      <c r="P20" s="345"/>
      <c r="Q20" s="345"/>
      <c r="R20" s="345"/>
      <c r="S20" s="345"/>
      <c r="T20" s="345"/>
      <c r="U20" s="345"/>
      <c r="V20" s="345"/>
      <c r="W20" s="345"/>
      <c r="X20" s="345"/>
      <c r="Y20" s="345"/>
      <c r="Z20" s="345"/>
      <c r="AA20" s="389"/>
    </row>
    <row r="21" spans="1:27">
      <c r="A21" s="392">
        <v>1.4</v>
      </c>
      <c r="B21" s="391" t="s">
        <v>648</v>
      </c>
      <c r="C21" s="390"/>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89"/>
    </row>
    <row r="22" spans="1:27" ht="12.6" thickBot="1">
      <c r="A22" s="388">
        <v>1.5</v>
      </c>
      <c r="B22" s="387" t="s">
        <v>649</v>
      </c>
      <c r="C22" s="386"/>
      <c r="D22" s="385"/>
      <c r="E22" s="385"/>
      <c r="F22" s="385"/>
      <c r="G22" s="385"/>
      <c r="H22" s="385"/>
      <c r="I22" s="385"/>
      <c r="J22" s="385"/>
      <c r="K22" s="385"/>
      <c r="L22" s="385"/>
      <c r="M22" s="385"/>
      <c r="N22" s="385"/>
      <c r="O22" s="385"/>
      <c r="P22" s="385"/>
      <c r="Q22" s="385"/>
      <c r="R22" s="385"/>
      <c r="S22" s="385"/>
      <c r="T22" s="385"/>
      <c r="U22" s="385"/>
      <c r="V22" s="385"/>
      <c r="W22" s="385"/>
      <c r="X22" s="385"/>
      <c r="Y22" s="385"/>
      <c r="Z22" s="385"/>
      <c r="AA22" s="384"/>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H72"/>
  <sheetViews>
    <sheetView topLeftCell="A43" zoomScale="80" zoomScaleNormal="80" workbookViewId="0">
      <selection activeCell="D76" sqref="D76"/>
    </sheetView>
  </sheetViews>
  <sheetFormatPr defaultRowHeight="14.4"/>
  <cols>
    <col min="1" max="1" width="8.88671875" style="327"/>
    <col min="2" max="2" width="69.109375" style="313" customWidth="1"/>
    <col min="3" max="3" width="13.6640625" style="567" customWidth="1"/>
    <col min="4" max="4" width="14.44140625" style="567" customWidth="1"/>
    <col min="5" max="5" width="13.109375" customWidth="1"/>
    <col min="6" max="6" width="13.6640625" customWidth="1"/>
    <col min="7" max="7" width="14.44140625" customWidth="1"/>
    <col min="8" max="8" width="13.109375" customWidth="1"/>
  </cols>
  <sheetData>
    <row r="1" spans="1:8">
      <c r="A1" s="10" t="s">
        <v>96</v>
      </c>
      <c r="B1" s="224" t="str">
        <f>Info!C2</f>
        <v>სს პეივ ბანკ ჯორჯია</v>
      </c>
      <c r="C1" s="581"/>
      <c r="D1" s="582"/>
      <c r="E1" s="1"/>
      <c r="F1" s="9"/>
      <c r="G1" s="1"/>
    </row>
    <row r="2" spans="1:8">
      <c r="A2" s="10" t="s">
        <v>97</v>
      </c>
      <c r="B2" s="245">
        <f>'1. key ratios'!B2</f>
        <v>45930</v>
      </c>
      <c r="C2" s="581"/>
      <c r="D2" s="582"/>
      <c r="E2" s="1"/>
      <c r="F2" s="9"/>
      <c r="G2" s="1"/>
    </row>
    <row r="3" spans="1:8" ht="15" thickBot="1">
      <c r="A3" s="10"/>
      <c r="B3" s="9"/>
      <c r="C3" s="581"/>
      <c r="D3" s="582"/>
      <c r="E3" s="1"/>
      <c r="F3" s="9"/>
      <c r="G3" s="1"/>
    </row>
    <row r="4" spans="1:8" ht="21" customHeight="1">
      <c r="A4" s="851" t="s">
        <v>25</v>
      </c>
      <c r="B4" s="852" t="s">
        <v>696</v>
      </c>
      <c r="C4" s="686" t="s">
        <v>102</v>
      </c>
      <c r="D4" s="686"/>
      <c r="E4" s="686"/>
      <c r="F4" s="686" t="s">
        <v>103</v>
      </c>
      <c r="G4" s="686"/>
      <c r="H4" s="687"/>
    </row>
    <row r="5" spans="1:8" ht="21" customHeight="1">
      <c r="A5" s="853"/>
      <c r="B5" s="685"/>
      <c r="C5" s="854" t="s">
        <v>26</v>
      </c>
      <c r="D5" s="854" t="s">
        <v>77</v>
      </c>
      <c r="E5" s="855" t="s">
        <v>66</v>
      </c>
      <c r="F5" s="855" t="s">
        <v>26</v>
      </c>
      <c r="G5" s="855" t="s">
        <v>77</v>
      </c>
      <c r="H5" s="856" t="s">
        <v>66</v>
      </c>
    </row>
    <row r="6" spans="1:8" ht="26.4" customHeight="1">
      <c r="A6" s="853"/>
      <c r="B6" s="857" t="s">
        <v>84</v>
      </c>
      <c r="C6" s="858"/>
      <c r="D6" s="859"/>
      <c r="E6" s="859"/>
      <c r="F6" s="859"/>
      <c r="G6" s="859"/>
      <c r="H6" s="860"/>
    </row>
    <row r="7" spans="1:8" ht="23.1" customHeight="1">
      <c r="A7" s="861">
        <v>1</v>
      </c>
      <c r="B7" s="597" t="s">
        <v>810</v>
      </c>
      <c r="C7" s="583">
        <f>SUM(C8:C10)</f>
        <v>10310556.33</v>
      </c>
      <c r="D7" s="583">
        <f>SUM(D8:D10)</f>
        <v>43030050.899999999</v>
      </c>
      <c r="E7" s="862">
        <f>C7+D7</f>
        <v>53340607.229999997</v>
      </c>
      <c r="F7" s="583">
        <f>SUM(F8:F10)</f>
        <v>8101380.0000000028</v>
      </c>
      <c r="G7" s="583">
        <f>SUM(G8:G10)</f>
        <v>9334.8499999996275</v>
      </c>
      <c r="H7" s="863">
        <f>F7+G7</f>
        <v>8110714.8500000024</v>
      </c>
    </row>
    <row r="8" spans="1:8">
      <c r="A8" s="861">
        <v>1.1000000000000001</v>
      </c>
      <c r="B8" s="601" t="s">
        <v>85</v>
      </c>
      <c r="C8" s="583">
        <v>0</v>
      </c>
      <c r="D8" s="583">
        <v>0</v>
      </c>
      <c r="E8" s="862">
        <f t="shared" ref="E8:E36" si="0">C8+D8</f>
        <v>0</v>
      </c>
      <c r="F8" s="583">
        <v>0</v>
      </c>
      <c r="G8" s="583">
        <v>0</v>
      </c>
      <c r="H8" s="863">
        <f t="shared" ref="H8:H36" si="1">F8+G8</f>
        <v>0</v>
      </c>
    </row>
    <row r="9" spans="1:8">
      <c r="A9" s="861">
        <v>1.2</v>
      </c>
      <c r="B9" s="601" t="s">
        <v>86</v>
      </c>
      <c r="C9" s="583">
        <v>3304883.8000000003</v>
      </c>
      <c r="D9" s="583">
        <v>29490868.149999999</v>
      </c>
      <c r="E9" s="862">
        <f t="shared" si="0"/>
        <v>32795751.949999999</v>
      </c>
      <c r="F9" s="583">
        <v>301000</v>
      </c>
      <c r="G9" s="583">
        <v>0</v>
      </c>
      <c r="H9" s="863">
        <f t="shared" si="1"/>
        <v>301000</v>
      </c>
    </row>
    <row r="10" spans="1:8">
      <c r="A10" s="861">
        <v>1.3</v>
      </c>
      <c r="B10" s="601" t="s">
        <v>87</v>
      </c>
      <c r="C10" s="583">
        <v>7005672.5300000003</v>
      </c>
      <c r="D10" s="583">
        <v>13539182.75</v>
      </c>
      <c r="E10" s="862">
        <f t="shared" si="0"/>
        <v>20544855.280000001</v>
      </c>
      <c r="F10" s="583">
        <v>7800380.0000000028</v>
      </c>
      <c r="G10" s="583">
        <v>9334.8499999996275</v>
      </c>
      <c r="H10" s="863">
        <f t="shared" si="1"/>
        <v>7809714.8500000024</v>
      </c>
    </row>
    <row r="11" spans="1:8">
      <c r="A11" s="861">
        <v>2</v>
      </c>
      <c r="B11" s="602" t="s">
        <v>697</v>
      </c>
      <c r="C11" s="583">
        <v>0</v>
      </c>
      <c r="D11" s="583">
        <v>0</v>
      </c>
      <c r="E11" s="862">
        <f t="shared" si="0"/>
        <v>0</v>
      </c>
      <c r="F11" s="583">
        <v>0</v>
      </c>
      <c r="G11" s="583">
        <v>0</v>
      </c>
      <c r="H11" s="863">
        <f t="shared" si="1"/>
        <v>0</v>
      </c>
    </row>
    <row r="12" spans="1:8">
      <c r="A12" s="861">
        <v>2.1</v>
      </c>
      <c r="B12" s="603" t="s">
        <v>698</v>
      </c>
      <c r="C12" s="583">
        <v>0</v>
      </c>
      <c r="D12" s="583">
        <v>0</v>
      </c>
      <c r="E12" s="862">
        <f t="shared" si="0"/>
        <v>0</v>
      </c>
      <c r="F12" s="583">
        <v>0</v>
      </c>
      <c r="G12" s="583">
        <v>0</v>
      </c>
      <c r="H12" s="863">
        <f t="shared" si="1"/>
        <v>0</v>
      </c>
    </row>
    <row r="13" spans="1:8" ht="26.4" customHeight="1">
      <c r="A13" s="861">
        <v>3</v>
      </c>
      <c r="B13" s="303" t="s">
        <v>699</v>
      </c>
      <c r="C13" s="583"/>
      <c r="D13" s="583"/>
      <c r="E13" s="862">
        <f t="shared" si="0"/>
        <v>0</v>
      </c>
      <c r="F13" s="583"/>
      <c r="G13" s="583"/>
      <c r="H13" s="863">
        <f t="shared" si="1"/>
        <v>0</v>
      </c>
    </row>
    <row r="14" spans="1:8" ht="26.4" customHeight="1">
      <c r="A14" s="861">
        <v>4</v>
      </c>
      <c r="B14" s="304" t="s">
        <v>700</v>
      </c>
      <c r="C14" s="583"/>
      <c r="D14" s="583"/>
      <c r="E14" s="862">
        <f t="shared" si="0"/>
        <v>0</v>
      </c>
      <c r="F14" s="583"/>
      <c r="G14" s="583"/>
      <c r="H14" s="863">
        <f t="shared" si="1"/>
        <v>0</v>
      </c>
    </row>
    <row r="15" spans="1:8" ht="24.6" customHeight="1">
      <c r="A15" s="861">
        <v>5</v>
      </c>
      <c r="B15" s="304" t="s">
        <v>701</v>
      </c>
      <c r="C15" s="864">
        <f>SUM(C16:C18)</f>
        <v>0</v>
      </c>
      <c r="D15" s="864">
        <f>SUM(D16:D18)</f>
        <v>0</v>
      </c>
      <c r="E15" s="865">
        <f t="shared" si="0"/>
        <v>0</v>
      </c>
      <c r="F15" s="864">
        <f>SUM(F16:F18)</f>
        <v>0</v>
      </c>
      <c r="G15" s="864">
        <f>SUM(G16:G18)</f>
        <v>0</v>
      </c>
      <c r="H15" s="866">
        <f t="shared" si="1"/>
        <v>0</v>
      </c>
    </row>
    <row r="16" spans="1:8">
      <c r="A16" s="861">
        <v>5.0999999999999996</v>
      </c>
      <c r="B16" s="305" t="s">
        <v>702</v>
      </c>
      <c r="C16" s="583">
        <v>0</v>
      </c>
      <c r="D16" s="583">
        <v>0</v>
      </c>
      <c r="E16" s="862">
        <f t="shared" si="0"/>
        <v>0</v>
      </c>
      <c r="F16" s="583">
        <v>0</v>
      </c>
      <c r="G16" s="583">
        <v>0</v>
      </c>
      <c r="H16" s="863">
        <f t="shared" si="1"/>
        <v>0</v>
      </c>
    </row>
    <row r="17" spans="1:8">
      <c r="A17" s="861">
        <v>5.2</v>
      </c>
      <c r="B17" s="305" t="s">
        <v>537</v>
      </c>
      <c r="C17" s="583">
        <v>0</v>
      </c>
      <c r="D17" s="583">
        <v>0</v>
      </c>
      <c r="E17" s="862">
        <f t="shared" si="0"/>
        <v>0</v>
      </c>
      <c r="F17" s="583">
        <v>0</v>
      </c>
      <c r="G17" s="583">
        <v>0</v>
      </c>
      <c r="H17" s="863">
        <f t="shared" si="1"/>
        <v>0</v>
      </c>
    </row>
    <row r="18" spans="1:8">
      <c r="A18" s="861">
        <v>5.3</v>
      </c>
      <c r="B18" s="305" t="s">
        <v>703</v>
      </c>
      <c r="C18" s="583"/>
      <c r="D18" s="583"/>
      <c r="E18" s="862">
        <f t="shared" si="0"/>
        <v>0</v>
      </c>
      <c r="F18" s="583"/>
      <c r="G18" s="583"/>
      <c r="H18" s="863">
        <f t="shared" si="1"/>
        <v>0</v>
      </c>
    </row>
    <row r="19" spans="1:8">
      <c r="A19" s="861">
        <v>6</v>
      </c>
      <c r="B19" s="303" t="s">
        <v>704</v>
      </c>
      <c r="C19" s="583">
        <f>SUM(C20:C21)</f>
        <v>0</v>
      </c>
      <c r="D19" s="583">
        <f>SUM(D20:D21)</f>
        <v>24619763.620000005</v>
      </c>
      <c r="E19" s="862">
        <f t="shared" si="0"/>
        <v>24619763.620000005</v>
      </c>
      <c r="F19" s="583">
        <f>SUM(F20:F21)</f>
        <v>0</v>
      </c>
      <c r="G19" s="583">
        <f>SUM(G20:G21)</f>
        <v>0</v>
      </c>
      <c r="H19" s="863">
        <f t="shared" si="1"/>
        <v>0</v>
      </c>
    </row>
    <row r="20" spans="1:8">
      <c r="A20" s="861">
        <v>6.1</v>
      </c>
      <c r="B20" s="305" t="s">
        <v>537</v>
      </c>
      <c r="C20" s="583">
        <v>0</v>
      </c>
      <c r="D20" s="583">
        <v>24619763.620000005</v>
      </c>
      <c r="E20" s="862">
        <f t="shared" si="0"/>
        <v>24619763.620000005</v>
      </c>
      <c r="F20" s="583">
        <v>0</v>
      </c>
      <c r="G20" s="583">
        <v>0</v>
      </c>
      <c r="H20" s="863">
        <f t="shared" si="1"/>
        <v>0</v>
      </c>
    </row>
    <row r="21" spans="1:8">
      <c r="A21" s="861">
        <v>6.2</v>
      </c>
      <c r="B21" s="305" t="s">
        <v>703</v>
      </c>
      <c r="C21" s="583">
        <v>0</v>
      </c>
      <c r="D21" s="583">
        <v>0</v>
      </c>
      <c r="E21" s="862">
        <f t="shared" si="0"/>
        <v>0</v>
      </c>
      <c r="F21" s="583">
        <v>0</v>
      </c>
      <c r="G21" s="583">
        <v>0</v>
      </c>
      <c r="H21" s="863">
        <f t="shared" si="1"/>
        <v>0</v>
      </c>
    </row>
    <row r="22" spans="1:8">
      <c r="A22" s="861">
        <v>7</v>
      </c>
      <c r="B22" s="306" t="s">
        <v>705</v>
      </c>
      <c r="C22" s="583">
        <v>0</v>
      </c>
      <c r="D22" s="583">
        <v>0</v>
      </c>
      <c r="E22" s="862">
        <f t="shared" si="0"/>
        <v>0</v>
      </c>
      <c r="F22" s="583">
        <v>0</v>
      </c>
      <c r="G22" s="583">
        <v>0</v>
      </c>
      <c r="H22" s="863">
        <f t="shared" si="1"/>
        <v>0</v>
      </c>
    </row>
    <row r="23" spans="1:8">
      <c r="A23" s="861">
        <v>8</v>
      </c>
      <c r="B23" s="307" t="s">
        <v>706</v>
      </c>
      <c r="C23" s="583">
        <v>0</v>
      </c>
      <c r="D23" s="583">
        <v>0</v>
      </c>
      <c r="E23" s="862">
        <f t="shared" si="0"/>
        <v>0</v>
      </c>
      <c r="F23" s="583">
        <v>0</v>
      </c>
      <c r="G23" s="583">
        <v>0</v>
      </c>
      <c r="H23" s="863">
        <f t="shared" si="1"/>
        <v>0</v>
      </c>
    </row>
    <row r="24" spans="1:8">
      <c r="A24" s="861">
        <v>9</v>
      </c>
      <c r="B24" s="304" t="s">
        <v>707</v>
      </c>
      <c r="C24" s="583">
        <f>SUM(C25:C26)</f>
        <v>19459.38</v>
      </c>
      <c r="D24" s="583">
        <f>SUM(D25:D26)</f>
        <v>0</v>
      </c>
      <c r="E24" s="862">
        <f t="shared" si="0"/>
        <v>19459.38</v>
      </c>
      <c r="F24" s="583">
        <f>SUM(F25:F26)</f>
        <v>2207.1299999999997</v>
      </c>
      <c r="G24" s="583">
        <f>SUM(G25:G26)</f>
        <v>0</v>
      </c>
      <c r="H24" s="863">
        <f t="shared" si="1"/>
        <v>2207.1299999999997</v>
      </c>
    </row>
    <row r="25" spans="1:8">
      <c r="A25" s="861">
        <v>9.1</v>
      </c>
      <c r="B25" s="308" t="s">
        <v>708</v>
      </c>
      <c r="C25" s="583">
        <v>19459.38</v>
      </c>
      <c r="D25" s="583">
        <v>0</v>
      </c>
      <c r="E25" s="862">
        <f t="shared" si="0"/>
        <v>19459.38</v>
      </c>
      <c r="F25" s="583">
        <v>2207.1299999999997</v>
      </c>
      <c r="G25" s="583">
        <v>0</v>
      </c>
      <c r="H25" s="863">
        <f t="shared" si="1"/>
        <v>2207.1299999999997</v>
      </c>
    </row>
    <row r="26" spans="1:8">
      <c r="A26" s="861">
        <v>9.1999999999999993</v>
      </c>
      <c r="B26" s="308" t="s">
        <v>709</v>
      </c>
      <c r="C26" s="583">
        <v>0</v>
      </c>
      <c r="D26" s="583">
        <v>0</v>
      </c>
      <c r="E26" s="862">
        <f t="shared" si="0"/>
        <v>0</v>
      </c>
      <c r="F26" s="583">
        <v>0</v>
      </c>
      <c r="G26" s="583">
        <v>0</v>
      </c>
      <c r="H26" s="863">
        <f t="shared" si="1"/>
        <v>0</v>
      </c>
    </row>
    <row r="27" spans="1:8">
      <c r="A27" s="861">
        <v>10</v>
      </c>
      <c r="B27" s="304" t="s">
        <v>36</v>
      </c>
      <c r="C27" s="583">
        <f>SUM(C28:C29)</f>
        <v>252640.53</v>
      </c>
      <c r="D27" s="583">
        <f>SUM(D28:D29)</f>
        <v>0</v>
      </c>
      <c r="E27" s="862">
        <f t="shared" si="0"/>
        <v>252640.53</v>
      </c>
      <c r="F27" s="583">
        <f>SUM(F28:F29)</f>
        <v>200000</v>
      </c>
      <c r="G27" s="583">
        <f>SUM(G28:G29)</f>
        <v>0</v>
      </c>
      <c r="H27" s="863">
        <f t="shared" si="1"/>
        <v>200000</v>
      </c>
    </row>
    <row r="28" spans="1:8">
      <c r="A28" s="861">
        <v>10.1</v>
      </c>
      <c r="B28" s="308" t="s">
        <v>710</v>
      </c>
      <c r="C28" s="583">
        <v>0</v>
      </c>
      <c r="D28" s="583">
        <v>0</v>
      </c>
      <c r="E28" s="862">
        <f t="shared" si="0"/>
        <v>0</v>
      </c>
      <c r="F28" s="583">
        <v>0</v>
      </c>
      <c r="G28" s="583">
        <v>0</v>
      </c>
      <c r="H28" s="863">
        <f t="shared" si="1"/>
        <v>0</v>
      </c>
    </row>
    <row r="29" spans="1:8">
      <c r="A29" s="861">
        <v>10.199999999999999</v>
      </c>
      <c r="B29" s="308" t="s">
        <v>711</v>
      </c>
      <c r="C29" s="583">
        <v>252640.53</v>
      </c>
      <c r="D29" s="583">
        <v>0</v>
      </c>
      <c r="E29" s="862">
        <f t="shared" si="0"/>
        <v>252640.53</v>
      </c>
      <c r="F29" s="583">
        <v>200000</v>
      </c>
      <c r="G29" s="583">
        <v>0</v>
      </c>
      <c r="H29" s="863">
        <f t="shared" si="1"/>
        <v>200000</v>
      </c>
    </row>
    <row r="30" spans="1:8">
      <c r="A30" s="861">
        <v>11</v>
      </c>
      <c r="B30" s="304" t="s">
        <v>712</v>
      </c>
      <c r="C30" s="583">
        <f>SUM(C31:C32)</f>
        <v>0</v>
      </c>
      <c r="D30" s="583">
        <f>SUM(D31:D32)</f>
        <v>0</v>
      </c>
      <c r="E30" s="862">
        <f t="shared" si="0"/>
        <v>0</v>
      </c>
      <c r="F30" s="583">
        <f>SUM(F31:F32)</f>
        <v>71174.87</v>
      </c>
      <c r="G30" s="583">
        <f>SUM(G31:G32)</f>
        <v>0</v>
      </c>
      <c r="H30" s="863">
        <f t="shared" si="1"/>
        <v>71174.87</v>
      </c>
    </row>
    <row r="31" spans="1:8">
      <c r="A31" s="861">
        <v>11.1</v>
      </c>
      <c r="B31" s="308" t="s">
        <v>713</v>
      </c>
      <c r="C31" s="583">
        <v>0</v>
      </c>
      <c r="D31" s="583">
        <v>0</v>
      </c>
      <c r="E31" s="862">
        <f t="shared" si="0"/>
        <v>0</v>
      </c>
      <c r="F31" s="583">
        <v>71174.87</v>
      </c>
      <c r="G31" s="583">
        <v>0</v>
      </c>
      <c r="H31" s="863">
        <f t="shared" si="1"/>
        <v>71174.87</v>
      </c>
    </row>
    <row r="32" spans="1:8">
      <c r="A32" s="861">
        <v>11.2</v>
      </c>
      <c r="B32" s="308" t="s">
        <v>714</v>
      </c>
      <c r="C32" s="583">
        <v>0</v>
      </c>
      <c r="D32" s="583">
        <v>0</v>
      </c>
      <c r="E32" s="862">
        <f t="shared" si="0"/>
        <v>0</v>
      </c>
      <c r="F32" s="583">
        <v>0</v>
      </c>
      <c r="G32" s="583">
        <v>0</v>
      </c>
      <c r="H32" s="863">
        <f t="shared" si="1"/>
        <v>0</v>
      </c>
    </row>
    <row r="33" spans="1:8">
      <c r="A33" s="861">
        <v>13</v>
      </c>
      <c r="B33" s="304" t="s">
        <v>88</v>
      </c>
      <c r="C33" s="583">
        <v>99080.48000000001</v>
      </c>
      <c r="D33" s="583">
        <v>3734300.8499999996</v>
      </c>
      <c r="E33" s="862">
        <f t="shared" si="0"/>
        <v>3833381.3299999996</v>
      </c>
      <c r="F33" s="583">
        <v>21040.600000000002</v>
      </c>
      <c r="G33" s="583">
        <v>136535.5</v>
      </c>
      <c r="H33" s="863">
        <f t="shared" si="1"/>
        <v>157576.1</v>
      </c>
    </row>
    <row r="34" spans="1:8">
      <c r="A34" s="861">
        <v>13.1</v>
      </c>
      <c r="B34" s="606" t="s">
        <v>715</v>
      </c>
      <c r="C34" s="583">
        <v>0</v>
      </c>
      <c r="D34" s="583">
        <v>0</v>
      </c>
      <c r="E34" s="862">
        <f t="shared" si="0"/>
        <v>0</v>
      </c>
      <c r="F34" s="583">
        <v>0</v>
      </c>
      <c r="G34" s="583">
        <v>0</v>
      </c>
      <c r="H34" s="863">
        <f t="shared" si="1"/>
        <v>0</v>
      </c>
    </row>
    <row r="35" spans="1:8">
      <c r="A35" s="861">
        <v>13.2</v>
      </c>
      <c r="B35" s="606" t="s">
        <v>716</v>
      </c>
      <c r="C35" s="583">
        <v>0</v>
      </c>
      <c r="D35" s="583">
        <v>0</v>
      </c>
      <c r="E35" s="862">
        <f t="shared" si="0"/>
        <v>0</v>
      </c>
      <c r="F35" s="583">
        <v>0</v>
      </c>
      <c r="G35" s="583">
        <v>0</v>
      </c>
      <c r="H35" s="863">
        <f t="shared" si="1"/>
        <v>0</v>
      </c>
    </row>
    <row r="36" spans="1:8">
      <c r="A36" s="861">
        <v>14</v>
      </c>
      <c r="B36" s="516" t="s">
        <v>717</v>
      </c>
      <c r="C36" s="583">
        <f>SUM(C7,C11,C13,C14,C15,C19,C22,C23,C24,C27,C30,C33)</f>
        <v>10681736.720000001</v>
      </c>
      <c r="D36" s="583">
        <f>SUM(D7,D11,D13,D14,D15,D19,D22,D23,D24,D27,D30,D33)</f>
        <v>71384115.370000005</v>
      </c>
      <c r="E36" s="862">
        <f t="shared" si="0"/>
        <v>82065852.090000004</v>
      </c>
      <c r="F36" s="583">
        <f>SUM(F7,F11,F13,F14,F15,F19,F22,F23,F24,F27,F30,F33)</f>
        <v>8395802.6000000034</v>
      </c>
      <c r="G36" s="583">
        <f>SUM(G7,G11,G13,G14,G15,G19,G22,G23,G24,G27,G30,G33)</f>
        <v>145870.34999999963</v>
      </c>
      <c r="H36" s="863">
        <f t="shared" si="1"/>
        <v>8541672.950000003</v>
      </c>
    </row>
    <row r="37" spans="1:8" ht="22.5" customHeight="1">
      <c r="A37" s="861"/>
      <c r="B37" s="867" t="s">
        <v>93</v>
      </c>
      <c r="C37" s="858"/>
      <c r="D37" s="859"/>
      <c r="E37" s="859"/>
      <c r="F37" s="859"/>
      <c r="G37" s="859"/>
      <c r="H37" s="860"/>
    </row>
    <row r="38" spans="1:8">
      <c r="A38" s="861">
        <v>15</v>
      </c>
      <c r="B38" s="309" t="s">
        <v>718</v>
      </c>
      <c r="C38" s="583">
        <v>0</v>
      </c>
      <c r="D38" s="583">
        <v>0</v>
      </c>
      <c r="E38" s="862">
        <f>C38+D38</f>
        <v>0</v>
      </c>
      <c r="F38" s="583">
        <v>0</v>
      </c>
      <c r="G38" s="583">
        <v>0</v>
      </c>
      <c r="H38" s="863">
        <f>F38+G38</f>
        <v>0</v>
      </c>
    </row>
    <row r="39" spans="1:8">
      <c r="A39" s="861">
        <v>15.1</v>
      </c>
      <c r="B39" s="603" t="s">
        <v>698</v>
      </c>
      <c r="C39" s="583">
        <f>C38</f>
        <v>0</v>
      </c>
      <c r="D39" s="583">
        <f>D38</f>
        <v>0</v>
      </c>
      <c r="E39" s="862">
        <f t="shared" ref="E39" si="2">C39+D39</f>
        <v>0</v>
      </c>
      <c r="F39" s="583">
        <f>F38</f>
        <v>0</v>
      </c>
      <c r="G39" s="583">
        <f>G38</f>
        <v>0</v>
      </c>
      <c r="H39" s="863">
        <f t="shared" ref="H39:H53" si="3">F39+G39</f>
        <v>0</v>
      </c>
    </row>
    <row r="40" spans="1:8" ht="24" customHeight="1">
      <c r="A40" s="861">
        <v>16</v>
      </c>
      <c r="B40" s="306" t="s">
        <v>719</v>
      </c>
      <c r="C40" s="583"/>
      <c r="D40" s="583"/>
      <c r="E40" s="862">
        <f t="shared" ref="E40:E53" si="4">C40+D40</f>
        <v>0</v>
      </c>
      <c r="F40" s="583"/>
      <c r="G40" s="583"/>
      <c r="H40" s="863">
        <f t="shared" si="3"/>
        <v>0</v>
      </c>
    </row>
    <row r="41" spans="1:8">
      <c r="A41" s="861">
        <v>17</v>
      </c>
      <c r="B41" s="306" t="s">
        <v>720</v>
      </c>
      <c r="C41" s="583">
        <f>SUM(C42:C45)</f>
        <v>2597092.8100000005</v>
      </c>
      <c r="D41" s="583">
        <f>SUM(D42:D45)</f>
        <v>62059911.359999985</v>
      </c>
      <c r="E41" s="862">
        <f t="shared" si="4"/>
        <v>64657004.169999987</v>
      </c>
      <c r="F41" s="583">
        <f>SUM(F42:F45)</f>
        <v>0</v>
      </c>
      <c r="G41" s="583">
        <f>SUM(G42:G45)</f>
        <v>0</v>
      </c>
      <c r="H41" s="863">
        <f t="shared" si="3"/>
        <v>0</v>
      </c>
    </row>
    <row r="42" spans="1:8">
      <c r="A42" s="861">
        <v>17.100000000000001</v>
      </c>
      <c r="B42" s="310" t="s">
        <v>721</v>
      </c>
      <c r="C42" s="583">
        <v>2597092.8100000005</v>
      </c>
      <c r="D42" s="583">
        <v>62057167.859999985</v>
      </c>
      <c r="E42" s="862">
        <f t="shared" si="4"/>
        <v>64654260.669999987</v>
      </c>
      <c r="F42" s="583">
        <v>0</v>
      </c>
      <c r="G42" s="583">
        <v>0</v>
      </c>
      <c r="H42" s="863">
        <f t="shared" si="3"/>
        <v>0</v>
      </c>
    </row>
    <row r="43" spans="1:8">
      <c r="A43" s="861">
        <v>17.2</v>
      </c>
      <c r="B43" s="601" t="s">
        <v>89</v>
      </c>
      <c r="C43" s="583">
        <v>0</v>
      </c>
      <c r="D43" s="583">
        <v>2743.5</v>
      </c>
      <c r="E43" s="862">
        <f t="shared" si="4"/>
        <v>2743.5</v>
      </c>
      <c r="F43" s="583">
        <v>0</v>
      </c>
      <c r="G43" s="583">
        <v>0</v>
      </c>
      <c r="H43" s="863">
        <f t="shared" si="3"/>
        <v>0</v>
      </c>
    </row>
    <row r="44" spans="1:8">
      <c r="A44" s="861">
        <v>17.3</v>
      </c>
      <c r="B44" s="310" t="s">
        <v>722</v>
      </c>
      <c r="C44" s="583">
        <v>0</v>
      </c>
      <c r="D44" s="583">
        <v>0</v>
      </c>
      <c r="E44" s="862">
        <f t="shared" si="4"/>
        <v>0</v>
      </c>
      <c r="F44" s="583">
        <v>0</v>
      </c>
      <c r="G44" s="583">
        <v>0</v>
      </c>
      <c r="H44" s="863">
        <f t="shared" si="3"/>
        <v>0</v>
      </c>
    </row>
    <row r="45" spans="1:8">
      <c r="A45" s="861">
        <v>17.399999999999999</v>
      </c>
      <c r="B45" s="310" t="s">
        <v>723</v>
      </c>
      <c r="C45" s="583">
        <v>0</v>
      </c>
      <c r="D45" s="583">
        <v>0</v>
      </c>
      <c r="E45" s="862">
        <f t="shared" si="4"/>
        <v>0</v>
      </c>
      <c r="F45" s="583">
        <v>0</v>
      </c>
      <c r="G45" s="583">
        <v>0</v>
      </c>
      <c r="H45" s="863">
        <f t="shared" si="3"/>
        <v>0</v>
      </c>
    </row>
    <row r="46" spans="1:8">
      <c r="A46" s="861">
        <v>18</v>
      </c>
      <c r="B46" s="304" t="s">
        <v>724</v>
      </c>
      <c r="C46" s="583">
        <v>0</v>
      </c>
      <c r="D46" s="583">
        <v>0</v>
      </c>
      <c r="E46" s="862">
        <f t="shared" si="4"/>
        <v>0</v>
      </c>
      <c r="F46" s="583">
        <v>0</v>
      </c>
      <c r="G46" s="583">
        <v>0</v>
      </c>
      <c r="H46" s="863">
        <f t="shared" si="3"/>
        <v>0</v>
      </c>
    </row>
    <row r="47" spans="1:8">
      <c r="A47" s="861">
        <v>19</v>
      </c>
      <c r="B47" s="304" t="s">
        <v>725</v>
      </c>
      <c r="C47" s="583">
        <f>SUM(C48:C49)</f>
        <v>12725.28</v>
      </c>
      <c r="D47" s="583">
        <f>SUM(D48:D49)</f>
        <v>0</v>
      </c>
      <c r="E47" s="862">
        <f t="shared" si="4"/>
        <v>12725.28</v>
      </c>
      <c r="F47" s="583">
        <f>SUM(F48:F49)</f>
        <v>0</v>
      </c>
      <c r="G47" s="583">
        <f>SUM(G48:G49)</f>
        <v>0</v>
      </c>
      <c r="H47" s="863">
        <f t="shared" si="3"/>
        <v>0</v>
      </c>
    </row>
    <row r="48" spans="1:8">
      <c r="A48" s="861">
        <v>19.100000000000001</v>
      </c>
      <c r="B48" s="311" t="s">
        <v>726</v>
      </c>
      <c r="C48" s="583">
        <v>12725.28</v>
      </c>
      <c r="D48" s="583">
        <v>0</v>
      </c>
      <c r="E48" s="862">
        <f t="shared" si="4"/>
        <v>12725.28</v>
      </c>
      <c r="F48" s="583">
        <v>0</v>
      </c>
      <c r="G48" s="583">
        <v>0</v>
      </c>
      <c r="H48" s="863">
        <f t="shared" si="3"/>
        <v>0</v>
      </c>
    </row>
    <row r="49" spans="1:8">
      <c r="A49" s="861">
        <v>19.2</v>
      </c>
      <c r="B49" s="312" t="s">
        <v>727</v>
      </c>
      <c r="C49" s="583">
        <v>0</v>
      </c>
      <c r="D49" s="583">
        <v>0</v>
      </c>
      <c r="E49" s="862">
        <f t="shared" si="4"/>
        <v>0</v>
      </c>
      <c r="F49" s="583">
        <v>0</v>
      </c>
      <c r="G49" s="583">
        <v>0</v>
      </c>
      <c r="H49" s="863">
        <f t="shared" si="3"/>
        <v>0</v>
      </c>
    </row>
    <row r="50" spans="1:8">
      <c r="A50" s="861">
        <v>20</v>
      </c>
      <c r="B50" s="516" t="s">
        <v>90</v>
      </c>
      <c r="C50" s="583">
        <v>0</v>
      </c>
      <c r="D50" s="583">
        <v>0</v>
      </c>
      <c r="E50" s="862">
        <f t="shared" si="4"/>
        <v>0</v>
      </c>
      <c r="F50" s="583">
        <v>0</v>
      </c>
      <c r="G50" s="583">
        <v>0</v>
      </c>
      <c r="H50" s="863">
        <f t="shared" si="3"/>
        <v>0</v>
      </c>
    </row>
    <row r="51" spans="1:8">
      <c r="A51" s="861">
        <v>21</v>
      </c>
      <c r="B51" s="602" t="s">
        <v>78</v>
      </c>
      <c r="C51" s="583">
        <v>108892.64000000001</v>
      </c>
      <c r="D51" s="583">
        <v>9059346.6599999983</v>
      </c>
      <c r="E51" s="862">
        <f t="shared" si="4"/>
        <v>9168239.2999999989</v>
      </c>
      <c r="F51" s="583">
        <v>6818.9</v>
      </c>
      <c r="G51" s="583">
        <v>980506.32010199968</v>
      </c>
      <c r="H51" s="863">
        <f t="shared" si="3"/>
        <v>987325.2201019997</v>
      </c>
    </row>
    <row r="52" spans="1:8">
      <c r="A52" s="861">
        <v>21.1</v>
      </c>
      <c r="B52" s="601" t="s">
        <v>728</v>
      </c>
      <c r="C52" s="583">
        <v>0</v>
      </c>
      <c r="D52" s="583">
        <v>0</v>
      </c>
      <c r="E52" s="862">
        <f t="shared" si="4"/>
        <v>0</v>
      </c>
      <c r="F52" s="583">
        <v>0</v>
      </c>
      <c r="G52" s="583">
        <v>0</v>
      </c>
      <c r="H52" s="863">
        <f t="shared" si="3"/>
        <v>0</v>
      </c>
    </row>
    <row r="53" spans="1:8">
      <c r="A53" s="861">
        <v>22</v>
      </c>
      <c r="B53" s="516" t="s">
        <v>729</v>
      </c>
      <c r="C53" s="583">
        <f>SUM(C38,C40,C41,C46,C47,C50,C51)</f>
        <v>2718710.7300000004</v>
      </c>
      <c r="D53" s="583">
        <f>SUM(D38,D40,D41,D46,D47,D50,D51)</f>
        <v>71119258.019999981</v>
      </c>
      <c r="E53" s="862">
        <f t="shared" si="4"/>
        <v>73837968.749999985</v>
      </c>
      <c r="F53" s="583">
        <f>SUM(F38,F40,F41,F46,F47,F50,F51)</f>
        <v>6818.9</v>
      </c>
      <c r="G53" s="583">
        <f>SUM(G38,G40,G41,G46,G47,G50,G51)</f>
        <v>980506.32010199968</v>
      </c>
      <c r="H53" s="863">
        <f t="shared" si="3"/>
        <v>987325.2201019997</v>
      </c>
    </row>
    <row r="54" spans="1:8" ht="24" customHeight="1">
      <c r="A54" s="861"/>
      <c r="B54" s="867" t="s">
        <v>730</v>
      </c>
      <c r="C54" s="858"/>
      <c r="D54" s="859"/>
      <c r="E54" s="859"/>
      <c r="F54" s="859"/>
      <c r="G54" s="859"/>
      <c r="H54" s="860"/>
    </row>
    <row r="55" spans="1:8">
      <c r="A55" s="861">
        <v>23</v>
      </c>
      <c r="B55" s="516" t="s">
        <v>959</v>
      </c>
      <c r="C55" s="583">
        <v>8052000</v>
      </c>
      <c r="D55" s="583">
        <v>0</v>
      </c>
      <c r="E55" s="862">
        <f>C55+D55</f>
        <v>8052000</v>
      </c>
      <c r="F55" s="583">
        <v>7549407.3398979995</v>
      </c>
      <c r="G55" s="583">
        <v>0</v>
      </c>
      <c r="H55" s="863">
        <f>F55+G55</f>
        <v>7549407.3398979995</v>
      </c>
    </row>
    <row r="56" spans="1:8">
      <c r="A56" s="861">
        <v>24</v>
      </c>
      <c r="B56" s="516" t="s">
        <v>731</v>
      </c>
      <c r="C56" s="583">
        <v>0</v>
      </c>
      <c r="D56" s="583">
        <v>0</v>
      </c>
      <c r="E56" s="862">
        <f t="shared" ref="E56:E67" si="5">C56+D56</f>
        <v>0</v>
      </c>
      <c r="F56" s="583">
        <v>0</v>
      </c>
      <c r="G56" s="583">
        <v>0</v>
      </c>
      <c r="H56" s="863">
        <f t="shared" ref="H56:H69" si="6">F56+G56</f>
        <v>0</v>
      </c>
    </row>
    <row r="57" spans="1:8">
      <c r="A57" s="861">
        <v>25</v>
      </c>
      <c r="B57" s="516" t="s">
        <v>91</v>
      </c>
      <c r="C57" s="583">
        <v>0</v>
      </c>
      <c r="D57" s="583">
        <v>0</v>
      </c>
      <c r="E57" s="862">
        <f t="shared" si="5"/>
        <v>0</v>
      </c>
      <c r="F57" s="583">
        <v>0</v>
      </c>
      <c r="G57" s="583">
        <v>0</v>
      </c>
      <c r="H57" s="863">
        <f t="shared" si="6"/>
        <v>0</v>
      </c>
    </row>
    <row r="58" spans="1:8">
      <c r="A58" s="861">
        <v>26</v>
      </c>
      <c r="B58" s="304" t="s">
        <v>732</v>
      </c>
      <c r="C58" s="583">
        <v>0</v>
      </c>
      <c r="D58" s="583">
        <v>0</v>
      </c>
      <c r="E58" s="862">
        <f t="shared" si="5"/>
        <v>0</v>
      </c>
      <c r="F58" s="583">
        <v>0</v>
      </c>
      <c r="G58" s="583">
        <v>0</v>
      </c>
      <c r="H58" s="863">
        <f t="shared" si="6"/>
        <v>0</v>
      </c>
    </row>
    <row r="59" spans="1:8">
      <c r="A59" s="861">
        <v>27</v>
      </c>
      <c r="B59" s="304" t="s">
        <v>733</v>
      </c>
      <c r="C59" s="583">
        <f>SUM(C60:C61)</f>
        <v>0</v>
      </c>
      <c r="D59" s="583">
        <f>SUM(D60:D61)</f>
        <v>0</v>
      </c>
      <c r="E59" s="862">
        <f t="shared" si="5"/>
        <v>0</v>
      </c>
      <c r="F59" s="583">
        <f>SUM(F60:F61)</f>
        <v>0</v>
      </c>
      <c r="G59" s="583">
        <f>SUM(G60:G61)</f>
        <v>0</v>
      </c>
      <c r="H59" s="863">
        <f t="shared" si="6"/>
        <v>0</v>
      </c>
    </row>
    <row r="60" spans="1:8">
      <c r="A60" s="861">
        <v>27.1</v>
      </c>
      <c r="B60" s="311" t="s">
        <v>734</v>
      </c>
      <c r="C60" s="583">
        <v>0</v>
      </c>
      <c r="D60" s="583">
        <v>0</v>
      </c>
      <c r="E60" s="862">
        <f t="shared" si="5"/>
        <v>0</v>
      </c>
      <c r="F60" s="583">
        <v>0</v>
      </c>
      <c r="G60" s="583">
        <v>0</v>
      </c>
      <c r="H60" s="863">
        <f t="shared" si="6"/>
        <v>0</v>
      </c>
    </row>
    <row r="61" spans="1:8">
      <c r="A61" s="861">
        <v>27.2</v>
      </c>
      <c r="B61" s="310" t="s">
        <v>735</v>
      </c>
      <c r="C61" s="583"/>
      <c r="D61" s="583">
        <v>0</v>
      </c>
      <c r="E61" s="862">
        <f t="shared" si="5"/>
        <v>0</v>
      </c>
      <c r="F61" s="583"/>
      <c r="G61" s="583">
        <v>0</v>
      </c>
      <c r="H61" s="863">
        <f t="shared" si="6"/>
        <v>0</v>
      </c>
    </row>
    <row r="62" spans="1:8">
      <c r="A62" s="861">
        <v>28</v>
      </c>
      <c r="B62" s="602" t="s">
        <v>736</v>
      </c>
      <c r="C62" s="583">
        <v>0</v>
      </c>
      <c r="D62" s="583"/>
      <c r="E62" s="862">
        <f t="shared" si="5"/>
        <v>0</v>
      </c>
      <c r="F62" s="583">
        <v>0</v>
      </c>
      <c r="G62" s="583"/>
      <c r="H62" s="863">
        <f t="shared" si="6"/>
        <v>0</v>
      </c>
    </row>
    <row r="63" spans="1:8">
      <c r="A63" s="861">
        <v>29</v>
      </c>
      <c r="B63" s="304" t="s">
        <v>737</v>
      </c>
      <c r="C63" s="583">
        <f>SUM(C64:C66)</f>
        <v>0</v>
      </c>
      <c r="D63" s="583">
        <f>SUM(D64:D66)</f>
        <v>0</v>
      </c>
      <c r="E63" s="862">
        <f t="shared" si="5"/>
        <v>0</v>
      </c>
      <c r="F63" s="583">
        <f>SUM(F64:F66)</f>
        <v>0</v>
      </c>
      <c r="G63" s="583">
        <f>SUM(G64:G66)</f>
        <v>0</v>
      </c>
      <c r="H63" s="863">
        <f t="shared" si="6"/>
        <v>0</v>
      </c>
    </row>
    <row r="64" spans="1:8">
      <c r="A64" s="861">
        <v>29.1</v>
      </c>
      <c r="B64" s="305" t="s">
        <v>738</v>
      </c>
      <c r="C64" s="583">
        <v>0</v>
      </c>
      <c r="D64" s="583">
        <v>0</v>
      </c>
      <c r="E64" s="862">
        <f t="shared" si="5"/>
        <v>0</v>
      </c>
      <c r="F64" s="583">
        <v>0</v>
      </c>
      <c r="G64" s="583">
        <v>0</v>
      </c>
      <c r="H64" s="863">
        <f t="shared" si="6"/>
        <v>0</v>
      </c>
    </row>
    <row r="65" spans="1:8" ht="24.9" customHeight="1">
      <c r="A65" s="861">
        <v>29.2</v>
      </c>
      <c r="B65" s="311" t="s">
        <v>739</v>
      </c>
      <c r="C65" s="583">
        <v>0</v>
      </c>
      <c r="D65" s="583">
        <v>0</v>
      </c>
      <c r="E65" s="862">
        <f t="shared" si="5"/>
        <v>0</v>
      </c>
      <c r="F65" s="583">
        <v>0</v>
      </c>
      <c r="G65" s="583">
        <v>0</v>
      </c>
      <c r="H65" s="863">
        <f t="shared" si="6"/>
        <v>0</v>
      </c>
    </row>
    <row r="66" spans="1:8" ht="22.5" customHeight="1">
      <c r="A66" s="861">
        <v>29.3</v>
      </c>
      <c r="B66" s="308" t="s">
        <v>740</v>
      </c>
      <c r="C66" s="583">
        <v>0</v>
      </c>
      <c r="D66" s="583">
        <v>0</v>
      </c>
      <c r="E66" s="862">
        <f t="shared" si="5"/>
        <v>0</v>
      </c>
      <c r="F66" s="583">
        <v>0</v>
      </c>
      <c r="G66" s="583">
        <v>0</v>
      </c>
      <c r="H66" s="863">
        <f t="shared" si="6"/>
        <v>0</v>
      </c>
    </row>
    <row r="67" spans="1:8">
      <c r="A67" s="861">
        <v>30</v>
      </c>
      <c r="B67" s="304" t="s">
        <v>92</v>
      </c>
      <c r="C67" s="583">
        <v>175883.34000000276</v>
      </c>
      <c r="D67" s="583">
        <v>0</v>
      </c>
      <c r="E67" s="862">
        <f t="shared" si="5"/>
        <v>175883.34000000276</v>
      </c>
      <c r="F67" s="583">
        <v>4940.3400000005204</v>
      </c>
      <c r="G67" s="583">
        <v>0</v>
      </c>
      <c r="H67" s="863">
        <f t="shared" si="6"/>
        <v>4940.3400000005204</v>
      </c>
    </row>
    <row r="68" spans="1:8">
      <c r="A68" s="861">
        <v>31</v>
      </c>
      <c r="B68" s="868" t="s">
        <v>1017</v>
      </c>
      <c r="C68" s="583">
        <f>SUM(C55,C56,C57,C58,C59,C62,C63,C67)</f>
        <v>8227883.3400000026</v>
      </c>
      <c r="D68" s="583">
        <f>SUM(D55,D56,D57,D58,D59,D62,D63,D67)</f>
        <v>0</v>
      </c>
      <c r="E68" s="862">
        <f t="shared" ref="E68:E69" si="7">C68+D68</f>
        <v>8227883.3400000026</v>
      </c>
      <c r="F68" s="583">
        <f>SUM(F55,F56,F57,F58,F59,F62,F63,F67)</f>
        <v>7554347.6798980003</v>
      </c>
      <c r="G68" s="583">
        <f>SUM(G55,G56,G57,G58,G59,G62,G63,G67)</f>
        <v>0</v>
      </c>
      <c r="H68" s="863">
        <f t="shared" si="6"/>
        <v>7554347.6798980003</v>
      </c>
    </row>
    <row r="69" spans="1:8" ht="15" thickBot="1">
      <c r="A69" s="869">
        <v>32</v>
      </c>
      <c r="B69" s="870" t="s">
        <v>742</v>
      </c>
      <c r="C69" s="871">
        <f>SUM(C53,C68)</f>
        <v>10946594.070000004</v>
      </c>
      <c r="D69" s="871">
        <f>SUM(D53,D68)</f>
        <v>71119258.019999981</v>
      </c>
      <c r="E69" s="872">
        <f t="shared" si="7"/>
        <v>82065852.089999989</v>
      </c>
      <c r="F69" s="871">
        <f>SUM(F53,F68)</f>
        <v>7561166.5798980007</v>
      </c>
      <c r="G69" s="871">
        <f>SUM(G53,G68)</f>
        <v>980506.32010199968</v>
      </c>
      <c r="H69" s="873">
        <f t="shared" si="6"/>
        <v>8541672.9000000004</v>
      </c>
    </row>
    <row r="72" spans="1:8" ht="20.399999999999999">
      <c r="B72" s="912" t="s">
        <v>1018</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L35"/>
  <sheetViews>
    <sheetView showGridLines="0" zoomScale="80" zoomScaleNormal="80" workbookViewId="0"/>
  </sheetViews>
  <sheetFormatPr defaultColWidth="9.109375" defaultRowHeight="12"/>
  <cols>
    <col min="1" max="1" width="11.88671875" style="355" bestFit="1" customWidth="1"/>
    <col min="2" max="2" width="93.44140625" style="355" customWidth="1"/>
    <col min="3" max="3" width="14.6640625" style="355" customWidth="1"/>
    <col min="4" max="5" width="16.109375" style="355" customWidth="1"/>
    <col min="6" max="6" width="16.109375" style="375" customWidth="1"/>
    <col min="7" max="7" width="25.109375" style="375" customWidth="1"/>
    <col min="8" max="8" width="16.109375" style="355" customWidth="1"/>
    <col min="9" max="11" width="16.109375" style="375" customWidth="1"/>
    <col min="12" max="12" width="26.109375" style="375" customWidth="1"/>
    <col min="13" max="16384" width="9.109375" style="355"/>
  </cols>
  <sheetData>
    <row r="1" spans="1:12" ht="13.8">
      <c r="A1" s="283" t="s">
        <v>96</v>
      </c>
      <c r="B1" s="224" t="str">
        <f>Info!C2</f>
        <v>სს პეივ ბანკ ჯორჯია</v>
      </c>
      <c r="F1" s="355"/>
      <c r="G1" s="355"/>
      <c r="I1" s="355"/>
      <c r="J1" s="355"/>
      <c r="K1" s="355"/>
      <c r="L1" s="355"/>
    </row>
    <row r="2" spans="1:12">
      <c r="A2" s="283" t="s">
        <v>97</v>
      </c>
      <c r="B2" s="286">
        <f>'1. key ratios'!B2</f>
        <v>45930</v>
      </c>
      <c r="F2" s="355"/>
      <c r="G2" s="355"/>
      <c r="I2" s="355"/>
      <c r="J2" s="355"/>
      <c r="K2" s="355"/>
      <c r="L2" s="355"/>
    </row>
    <row r="3" spans="1:12">
      <c r="A3" s="285" t="s">
        <v>562</v>
      </c>
      <c r="F3" s="355"/>
      <c r="G3" s="355"/>
      <c r="I3" s="355"/>
      <c r="J3" s="355"/>
      <c r="K3" s="355"/>
      <c r="L3" s="355"/>
    </row>
    <row r="4" spans="1:12">
      <c r="F4" s="355"/>
      <c r="G4" s="355"/>
      <c r="I4" s="355"/>
      <c r="J4" s="355"/>
      <c r="K4" s="355"/>
      <c r="L4" s="355"/>
    </row>
    <row r="5" spans="1:12" ht="37.5" customHeight="1">
      <c r="A5" s="734" t="s">
        <v>563</v>
      </c>
      <c r="B5" s="735"/>
      <c r="C5" s="783" t="s">
        <v>564</v>
      </c>
      <c r="D5" s="784"/>
      <c r="E5" s="784"/>
      <c r="F5" s="784"/>
      <c r="G5" s="784"/>
      <c r="H5" s="783" t="s">
        <v>874</v>
      </c>
      <c r="I5" s="785"/>
      <c r="J5" s="785"/>
      <c r="K5" s="785"/>
      <c r="L5" s="786"/>
    </row>
    <row r="6" spans="1:12" ht="39.6" customHeight="1">
      <c r="A6" s="738"/>
      <c r="B6" s="739"/>
      <c r="C6" s="290"/>
      <c r="D6" s="353" t="s">
        <v>859</v>
      </c>
      <c r="E6" s="353" t="s">
        <v>858</v>
      </c>
      <c r="F6" s="353" t="s">
        <v>857</v>
      </c>
      <c r="G6" s="353" t="s">
        <v>856</v>
      </c>
      <c r="H6" s="376"/>
      <c r="I6" s="353" t="s">
        <v>859</v>
      </c>
      <c r="J6" s="353" t="s">
        <v>858</v>
      </c>
      <c r="K6" s="353" t="s">
        <v>857</v>
      </c>
      <c r="L6" s="353" t="s">
        <v>856</v>
      </c>
    </row>
    <row r="7" spans="1:12">
      <c r="A7" s="345">
        <v>1</v>
      </c>
      <c r="B7" s="358" t="s">
        <v>486</v>
      </c>
      <c r="C7" s="358"/>
      <c r="D7" s="345"/>
      <c r="E7" s="345"/>
      <c r="F7" s="415"/>
      <c r="G7" s="415"/>
      <c r="H7" s="345"/>
      <c r="I7" s="415"/>
      <c r="J7" s="415"/>
      <c r="K7" s="415"/>
      <c r="L7" s="415"/>
    </row>
    <row r="8" spans="1:12">
      <c r="A8" s="345">
        <v>2</v>
      </c>
      <c r="B8" s="358" t="s">
        <v>487</v>
      </c>
      <c r="C8" s="358"/>
      <c r="D8" s="345"/>
      <c r="E8" s="345"/>
      <c r="F8" s="352"/>
      <c r="G8" s="352"/>
      <c r="H8" s="345"/>
      <c r="I8" s="352"/>
      <c r="J8" s="352"/>
      <c r="K8" s="352"/>
      <c r="L8" s="352"/>
    </row>
    <row r="9" spans="1:12">
      <c r="A9" s="345">
        <v>3</v>
      </c>
      <c r="B9" s="358" t="s">
        <v>835</v>
      </c>
      <c r="C9" s="358"/>
      <c r="D9" s="345"/>
      <c r="E9" s="345"/>
      <c r="F9" s="354"/>
      <c r="G9" s="354"/>
      <c r="H9" s="345"/>
      <c r="I9" s="354"/>
      <c r="J9" s="354"/>
      <c r="K9" s="354"/>
      <c r="L9" s="354"/>
    </row>
    <row r="10" spans="1:12">
      <c r="A10" s="345">
        <v>4</v>
      </c>
      <c r="B10" s="358" t="s">
        <v>488</v>
      </c>
      <c r="C10" s="358"/>
      <c r="D10" s="345"/>
      <c r="E10" s="345"/>
      <c r="F10" s="354"/>
      <c r="G10" s="354"/>
      <c r="H10" s="345"/>
      <c r="I10" s="354"/>
      <c r="J10" s="354"/>
      <c r="K10" s="354"/>
      <c r="L10" s="354"/>
    </row>
    <row r="11" spans="1:12">
      <c r="A11" s="345">
        <v>5</v>
      </c>
      <c r="B11" s="358" t="s">
        <v>489</v>
      </c>
      <c r="C11" s="358"/>
      <c r="D11" s="345"/>
      <c r="E11" s="345"/>
      <c r="F11" s="354"/>
      <c r="G11" s="354"/>
      <c r="H11" s="345"/>
      <c r="I11" s="354"/>
      <c r="J11" s="354"/>
      <c r="K11" s="354"/>
      <c r="L11" s="354"/>
    </row>
    <row r="12" spans="1:12">
      <c r="A12" s="345">
        <v>6</v>
      </c>
      <c r="B12" s="358" t="s">
        <v>490</v>
      </c>
      <c r="C12" s="358"/>
      <c r="D12" s="345"/>
      <c r="E12" s="345"/>
      <c r="F12" s="354"/>
      <c r="G12" s="354"/>
      <c r="H12" s="345"/>
      <c r="I12" s="354"/>
      <c r="J12" s="354"/>
      <c r="K12" s="354"/>
      <c r="L12" s="354"/>
    </row>
    <row r="13" spans="1:12">
      <c r="A13" s="345">
        <v>7</v>
      </c>
      <c r="B13" s="358" t="s">
        <v>491</v>
      </c>
      <c r="C13" s="358"/>
      <c r="D13" s="345"/>
      <c r="E13" s="345"/>
      <c r="F13" s="354"/>
      <c r="G13" s="354"/>
      <c r="H13" s="345"/>
      <c r="I13" s="354"/>
      <c r="J13" s="354"/>
      <c r="K13" s="354"/>
      <c r="L13" s="354"/>
    </row>
    <row r="14" spans="1:12">
      <c r="A14" s="345">
        <v>8</v>
      </c>
      <c r="B14" s="358" t="s">
        <v>492</v>
      </c>
      <c r="C14" s="358"/>
      <c r="D14" s="345"/>
      <c r="E14" s="345"/>
      <c r="F14" s="354"/>
      <c r="G14" s="354"/>
      <c r="H14" s="345"/>
      <c r="I14" s="354"/>
      <c r="J14" s="354"/>
      <c r="K14" s="354"/>
      <c r="L14" s="354"/>
    </row>
    <row r="15" spans="1:12">
      <c r="A15" s="345">
        <v>9</v>
      </c>
      <c r="B15" s="358" t="s">
        <v>493</v>
      </c>
      <c r="C15" s="358"/>
      <c r="D15" s="345"/>
      <c r="E15" s="345"/>
      <c r="F15" s="354"/>
      <c r="G15" s="354"/>
      <c r="H15" s="345"/>
      <c r="I15" s="354"/>
      <c r="J15" s="354"/>
      <c r="K15" s="354"/>
      <c r="L15" s="354"/>
    </row>
    <row r="16" spans="1:12">
      <c r="A16" s="345">
        <v>10</v>
      </c>
      <c r="B16" s="358" t="s">
        <v>494</v>
      </c>
      <c r="C16" s="358"/>
      <c r="D16" s="345"/>
      <c r="E16" s="345"/>
      <c r="F16" s="354"/>
      <c r="G16" s="354"/>
      <c r="H16" s="345"/>
      <c r="I16" s="354"/>
      <c r="J16" s="354"/>
      <c r="K16" s="354"/>
      <c r="L16" s="354"/>
    </row>
    <row r="17" spans="1:12">
      <c r="A17" s="345">
        <v>11</v>
      </c>
      <c r="B17" s="358" t="s">
        <v>495</v>
      </c>
      <c r="C17" s="358"/>
      <c r="D17" s="345"/>
      <c r="E17" s="345"/>
      <c r="F17" s="354"/>
      <c r="G17" s="354"/>
      <c r="H17" s="345"/>
      <c r="I17" s="354"/>
      <c r="J17" s="354"/>
      <c r="K17" s="354"/>
      <c r="L17" s="354"/>
    </row>
    <row r="18" spans="1:12">
      <c r="A18" s="345">
        <v>12</v>
      </c>
      <c r="B18" s="358" t="s">
        <v>496</v>
      </c>
      <c r="C18" s="358"/>
      <c r="D18" s="345"/>
      <c r="E18" s="345"/>
      <c r="F18" s="354"/>
      <c r="G18" s="354"/>
      <c r="H18" s="345"/>
      <c r="I18" s="354"/>
      <c r="J18" s="354"/>
      <c r="K18" s="354"/>
      <c r="L18" s="354"/>
    </row>
    <row r="19" spans="1:12">
      <c r="A19" s="345">
        <v>13</v>
      </c>
      <c r="B19" s="358" t="s">
        <v>497</v>
      </c>
      <c r="C19" s="358"/>
      <c r="D19" s="345"/>
      <c r="E19" s="345"/>
      <c r="F19" s="354"/>
      <c r="G19" s="354"/>
      <c r="H19" s="345"/>
      <c r="I19" s="354"/>
      <c r="J19" s="354"/>
      <c r="K19" s="354"/>
      <c r="L19" s="354"/>
    </row>
    <row r="20" spans="1:12">
      <c r="A20" s="345">
        <v>14</v>
      </c>
      <c r="B20" s="358" t="s">
        <v>498</v>
      </c>
      <c r="C20" s="358"/>
      <c r="D20" s="345"/>
      <c r="E20" s="345"/>
      <c r="F20" s="354"/>
      <c r="G20" s="354"/>
      <c r="H20" s="345"/>
      <c r="I20" s="354"/>
      <c r="J20" s="354"/>
      <c r="K20" s="354"/>
      <c r="L20" s="354"/>
    </row>
    <row r="21" spans="1:12">
      <c r="A21" s="345">
        <v>15</v>
      </c>
      <c r="B21" s="358" t="s">
        <v>499</v>
      </c>
      <c r="C21" s="358"/>
      <c r="D21" s="345"/>
      <c r="E21" s="345"/>
      <c r="F21" s="354"/>
      <c r="G21" s="354"/>
      <c r="H21" s="345"/>
      <c r="I21" s="354"/>
      <c r="J21" s="354"/>
      <c r="K21" s="354"/>
      <c r="L21" s="354"/>
    </row>
    <row r="22" spans="1:12">
      <c r="A22" s="345">
        <v>16</v>
      </c>
      <c r="B22" s="358" t="s">
        <v>500</v>
      </c>
      <c r="C22" s="358"/>
      <c r="D22" s="345"/>
      <c r="E22" s="345"/>
      <c r="F22" s="354"/>
      <c r="G22" s="354"/>
      <c r="H22" s="345"/>
      <c r="I22" s="354"/>
      <c r="J22" s="354"/>
      <c r="K22" s="354"/>
      <c r="L22" s="354"/>
    </row>
    <row r="23" spans="1:12">
      <c r="A23" s="345">
        <v>17</v>
      </c>
      <c r="B23" s="358" t="s">
        <v>501</v>
      </c>
      <c r="C23" s="358"/>
      <c r="D23" s="345"/>
      <c r="E23" s="345"/>
      <c r="F23" s="354"/>
      <c r="G23" s="354"/>
      <c r="H23" s="345"/>
      <c r="I23" s="354"/>
      <c r="J23" s="354"/>
      <c r="K23" s="354"/>
      <c r="L23" s="354"/>
    </row>
    <row r="24" spans="1:12">
      <c r="A24" s="345">
        <v>18</v>
      </c>
      <c r="B24" s="358" t="s">
        <v>502</v>
      </c>
      <c r="C24" s="358"/>
      <c r="D24" s="345"/>
      <c r="E24" s="345"/>
      <c r="F24" s="354"/>
      <c r="G24" s="354"/>
      <c r="H24" s="345"/>
      <c r="I24" s="354"/>
      <c r="J24" s="354"/>
      <c r="K24" s="354"/>
      <c r="L24" s="354"/>
    </row>
    <row r="25" spans="1:12">
      <c r="A25" s="345">
        <v>19</v>
      </c>
      <c r="B25" s="358" t="s">
        <v>503</v>
      </c>
      <c r="C25" s="358"/>
      <c r="D25" s="345"/>
      <c r="E25" s="345"/>
      <c r="F25" s="354"/>
      <c r="G25" s="354"/>
      <c r="H25" s="345"/>
      <c r="I25" s="354"/>
      <c r="J25" s="354"/>
      <c r="K25" s="354"/>
      <c r="L25" s="354"/>
    </row>
    <row r="26" spans="1:12">
      <c r="A26" s="345">
        <v>20</v>
      </c>
      <c r="B26" s="358" t="s">
        <v>504</v>
      </c>
      <c r="C26" s="358"/>
      <c r="D26" s="345"/>
      <c r="E26" s="345"/>
      <c r="F26" s="354"/>
      <c r="G26" s="354"/>
      <c r="H26" s="345"/>
      <c r="I26" s="354"/>
      <c r="J26" s="354"/>
      <c r="K26" s="354"/>
      <c r="L26" s="354"/>
    </row>
    <row r="27" spans="1:12">
      <c r="A27" s="345">
        <v>21</v>
      </c>
      <c r="B27" s="358" t="s">
        <v>505</v>
      </c>
      <c r="C27" s="358"/>
      <c r="D27" s="345"/>
      <c r="E27" s="345"/>
      <c r="F27" s="354"/>
      <c r="G27" s="354"/>
      <c r="H27" s="345"/>
      <c r="I27" s="354"/>
      <c r="J27" s="354"/>
      <c r="K27" s="354"/>
      <c r="L27" s="354"/>
    </row>
    <row r="28" spans="1:12">
      <c r="A28" s="345">
        <v>22</v>
      </c>
      <c r="B28" s="358" t="s">
        <v>506</v>
      </c>
      <c r="C28" s="358"/>
      <c r="D28" s="345"/>
      <c r="E28" s="345"/>
      <c r="F28" s="354"/>
      <c r="G28" s="354"/>
      <c r="H28" s="345"/>
      <c r="I28" s="354"/>
      <c r="J28" s="354"/>
      <c r="K28" s="354"/>
      <c r="L28" s="354"/>
    </row>
    <row r="29" spans="1:12">
      <c r="A29" s="345">
        <v>23</v>
      </c>
      <c r="B29" s="358" t="s">
        <v>507</v>
      </c>
      <c r="C29" s="358"/>
      <c r="D29" s="345"/>
      <c r="E29" s="345"/>
      <c r="F29" s="354"/>
      <c r="G29" s="354"/>
      <c r="H29" s="345"/>
      <c r="I29" s="354"/>
      <c r="J29" s="354"/>
      <c r="K29" s="354"/>
      <c r="L29" s="354"/>
    </row>
    <row r="30" spans="1:12">
      <c r="A30" s="345">
        <v>24</v>
      </c>
      <c r="B30" s="358" t="s">
        <v>508</v>
      </c>
      <c r="C30" s="358"/>
      <c r="D30" s="345"/>
      <c r="E30" s="345"/>
      <c r="F30" s="354"/>
      <c r="G30" s="354"/>
      <c r="H30" s="345"/>
      <c r="I30" s="354"/>
      <c r="J30" s="354"/>
      <c r="K30" s="354"/>
      <c r="L30" s="354"/>
    </row>
    <row r="31" spans="1:12">
      <c r="A31" s="345">
        <v>25</v>
      </c>
      <c r="B31" s="358" t="s">
        <v>509</v>
      </c>
      <c r="C31" s="358"/>
      <c r="D31" s="345"/>
      <c r="E31" s="345"/>
      <c r="F31" s="354"/>
      <c r="G31" s="354"/>
      <c r="H31" s="345"/>
      <c r="I31" s="354"/>
      <c r="J31" s="354"/>
      <c r="K31" s="354"/>
      <c r="L31" s="354"/>
    </row>
    <row r="32" spans="1:12">
      <c r="A32" s="345">
        <v>26</v>
      </c>
      <c r="B32" s="358" t="s">
        <v>565</v>
      </c>
      <c r="C32" s="358"/>
      <c r="D32" s="345"/>
      <c r="E32" s="345"/>
      <c r="F32" s="354"/>
      <c r="G32" s="354"/>
      <c r="H32" s="345"/>
      <c r="I32" s="354"/>
      <c r="J32" s="354"/>
      <c r="K32" s="354"/>
      <c r="L32" s="354"/>
    </row>
    <row r="33" spans="1:12">
      <c r="A33" s="345">
        <v>27</v>
      </c>
      <c r="B33" s="414" t="s">
        <v>66</v>
      </c>
      <c r="C33" s="414"/>
      <c r="D33" s="345"/>
      <c r="E33" s="345"/>
      <c r="F33" s="354"/>
      <c r="G33" s="354"/>
      <c r="H33" s="345"/>
      <c r="I33" s="354"/>
      <c r="J33" s="354"/>
      <c r="K33" s="354"/>
      <c r="L33" s="354"/>
    </row>
    <row r="35" spans="1:12">
      <c r="B35" s="413"/>
      <c r="C35" s="413"/>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3"/>
  <sheetViews>
    <sheetView showGridLines="0" zoomScale="80" zoomScaleNormal="80" workbookViewId="0">
      <selection activeCell="B2" sqref="B2"/>
    </sheetView>
  </sheetViews>
  <sheetFormatPr defaultColWidth="8.88671875" defaultRowHeight="12"/>
  <cols>
    <col min="1" max="1" width="11.88671875" style="291" bestFit="1" customWidth="1"/>
    <col min="2" max="2" width="165.109375" style="291" customWidth="1"/>
    <col min="3" max="11" width="28.109375" style="291" customWidth="1"/>
    <col min="12" max="16384" width="8.88671875" style="291"/>
  </cols>
  <sheetData>
    <row r="1" spans="1:11" s="284" customFormat="1" ht="13.8">
      <c r="A1" s="283" t="s">
        <v>96</v>
      </c>
      <c r="B1" s="224" t="str">
        <f>Info!C2</f>
        <v>სს პეივ ბანკ ჯორჯია</v>
      </c>
      <c r="C1" s="355"/>
      <c r="D1" s="355"/>
      <c r="E1" s="355"/>
      <c r="F1" s="355"/>
      <c r="G1" s="355"/>
      <c r="H1" s="355"/>
      <c r="I1" s="355"/>
      <c r="J1" s="355"/>
      <c r="K1" s="355"/>
    </row>
    <row r="2" spans="1:11" s="284" customFormat="1">
      <c r="A2" s="283" t="s">
        <v>97</v>
      </c>
      <c r="B2" s="286">
        <f>'1. key ratios'!B2</f>
        <v>45930</v>
      </c>
      <c r="C2" s="355"/>
      <c r="D2" s="355"/>
      <c r="E2" s="355"/>
      <c r="F2" s="355"/>
      <c r="G2" s="355"/>
      <c r="H2" s="355"/>
      <c r="I2" s="355"/>
      <c r="J2" s="355"/>
      <c r="K2" s="355"/>
    </row>
    <row r="3" spans="1:11" s="284" customFormat="1">
      <c r="A3" s="285" t="s">
        <v>566</v>
      </c>
      <c r="B3" s="355"/>
      <c r="C3" s="355"/>
      <c r="D3" s="355"/>
      <c r="E3" s="355"/>
      <c r="F3" s="355"/>
      <c r="G3" s="355"/>
      <c r="H3" s="355"/>
      <c r="I3" s="355"/>
      <c r="J3" s="355"/>
      <c r="K3" s="355"/>
    </row>
    <row r="4" spans="1:11">
      <c r="A4" s="420"/>
      <c r="B4" s="420"/>
      <c r="C4" s="419" t="s">
        <v>470</v>
      </c>
      <c r="D4" s="419" t="s">
        <v>471</v>
      </c>
      <c r="E4" s="419" t="s">
        <v>472</v>
      </c>
      <c r="F4" s="419" t="s">
        <v>473</v>
      </c>
      <c r="G4" s="419" t="s">
        <v>474</v>
      </c>
      <c r="H4" s="419" t="s">
        <v>475</v>
      </c>
      <c r="I4" s="419" t="s">
        <v>476</v>
      </c>
      <c r="J4" s="419" t="s">
        <v>477</v>
      </c>
      <c r="K4" s="419" t="s">
        <v>478</v>
      </c>
    </row>
    <row r="5" spans="1:11" ht="104.1" customHeight="1">
      <c r="A5" s="787" t="s">
        <v>873</v>
      </c>
      <c r="B5" s="788"/>
      <c r="C5" s="418" t="s">
        <v>567</v>
      </c>
      <c r="D5" s="418" t="s">
        <v>560</v>
      </c>
      <c r="E5" s="418" t="s">
        <v>561</v>
      </c>
      <c r="F5" s="418" t="s">
        <v>872</v>
      </c>
      <c r="G5" s="418" t="s">
        <v>568</v>
      </c>
      <c r="H5" s="418" t="s">
        <v>569</v>
      </c>
      <c r="I5" s="418" t="s">
        <v>570</v>
      </c>
      <c r="J5" s="418" t="s">
        <v>571</v>
      </c>
      <c r="K5" s="418" t="s">
        <v>572</v>
      </c>
    </row>
    <row r="6" spans="1:11">
      <c r="A6" s="345">
        <v>1</v>
      </c>
      <c r="B6" s="345" t="s">
        <v>573</v>
      </c>
      <c r="C6" s="345"/>
      <c r="D6" s="345"/>
      <c r="E6" s="345"/>
      <c r="F6" s="345"/>
      <c r="G6" s="345"/>
      <c r="H6" s="345"/>
      <c r="I6" s="345"/>
      <c r="J6" s="345"/>
      <c r="K6" s="345"/>
    </row>
    <row r="7" spans="1:11">
      <c r="A7" s="345">
        <v>2</v>
      </c>
      <c r="B7" s="345" t="s">
        <v>574</v>
      </c>
      <c r="C7" s="345"/>
      <c r="D7" s="345"/>
      <c r="E7" s="345"/>
      <c r="F7" s="345"/>
      <c r="G7" s="345"/>
      <c r="H7" s="345"/>
      <c r="I7" s="345"/>
      <c r="J7" s="345"/>
      <c r="K7" s="345"/>
    </row>
    <row r="8" spans="1:11">
      <c r="A8" s="345">
        <v>3</v>
      </c>
      <c r="B8" s="345" t="s">
        <v>538</v>
      </c>
      <c r="C8" s="345"/>
      <c r="D8" s="345"/>
      <c r="E8" s="345"/>
      <c r="F8" s="345"/>
      <c r="G8" s="345"/>
      <c r="H8" s="345"/>
      <c r="I8" s="345"/>
      <c r="J8" s="345"/>
      <c r="K8" s="345"/>
    </row>
    <row r="9" spans="1:11">
      <c r="A9" s="345">
        <v>4</v>
      </c>
      <c r="B9" s="364" t="s">
        <v>871</v>
      </c>
      <c r="C9" s="417"/>
      <c r="D9" s="417"/>
      <c r="E9" s="417"/>
      <c r="F9" s="417"/>
      <c r="G9" s="417"/>
      <c r="H9" s="417"/>
      <c r="I9" s="417"/>
      <c r="J9" s="417"/>
      <c r="K9" s="417"/>
    </row>
    <row r="10" spans="1:11">
      <c r="A10" s="345">
        <v>5</v>
      </c>
      <c r="B10" s="364" t="s">
        <v>870</v>
      </c>
      <c r="C10" s="417"/>
      <c r="D10" s="417"/>
      <c r="E10" s="417"/>
      <c r="F10" s="417"/>
      <c r="G10" s="417"/>
      <c r="H10" s="417"/>
      <c r="I10" s="417"/>
      <c r="J10" s="417"/>
      <c r="K10" s="417"/>
    </row>
    <row r="11" spans="1:11">
      <c r="A11" s="345">
        <v>6</v>
      </c>
      <c r="B11" s="364" t="s">
        <v>869</v>
      </c>
      <c r="C11" s="417"/>
      <c r="D11" s="417"/>
      <c r="E11" s="417"/>
      <c r="F11" s="417"/>
      <c r="G11" s="417"/>
      <c r="H11" s="417"/>
      <c r="I11" s="417"/>
      <c r="J11" s="417"/>
      <c r="K11" s="417"/>
    </row>
    <row r="13" spans="1:11" ht="13.8">
      <c r="B13" s="416"/>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zoomScale="80" zoomScaleNormal="80" workbookViewId="0">
      <selection activeCell="A37" sqref="A37"/>
    </sheetView>
  </sheetViews>
  <sheetFormatPr defaultColWidth="8.88671875" defaultRowHeight="14.4"/>
  <cols>
    <col min="1" max="1" width="10" style="421" bestFit="1" customWidth="1"/>
    <col min="2" max="2" width="71.88671875" style="421" customWidth="1"/>
    <col min="3" max="3" width="10.6640625" style="421" bestFit="1" customWidth="1"/>
    <col min="4" max="5" width="15.109375" style="421" bestFit="1" customWidth="1"/>
    <col min="6" max="6" width="20" style="421" bestFit="1" customWidth="1"/>
    <col min="7" max="7" width="37.6640625" style="421" bestFit="1" customWidth="1"/>
    <col min="8" max="8" width="10.6640625" style="421" bestFit="1" customWidth="1"/>
    <col min="9" max="10" width="15.109375" style="421" bestFit="1" customWidth="1"/>
    <col min="11" max="11" width="20" style="421" bestFit="1" customWidth="1"/>
    <col min="12" max="12" width="37.6640625" style="421" bestFit="1" customWidth="1"/>
    <col min="13" max="13" width="10.6640625" style="421" bestFit="1" customWidth="1"/>
    <col min="14" max="15" width="15.109375" style="421" bestFit="1" customWidth="1"/>
    <col min="16" max="16" width="20" style="421" bestFit="1" customWidth="1"/>
    <col min="17" max="17" width="37.6640625" style="421" bestFit="1" customWidth="1"/>
    <col min="18" max="18" width="18" style="421" bestFit="1" customWidth="1"/>
    <col min="19" max="19" width="48" style="421" bestFit="1" customWidth="1"/>
    <col min="20" max="20" width="45.88671875" style="421" bestFit="1" customWidth="1"/>
    <col min="21" max="21" width="48" style="421" bestFit="1" customWidth="1"/>
    <col min="22" max="22" width="44.33203125" style="421" bestFit="1" customWidth="1"/>
    <col min="23" max="16384" width="8.88671875" style="421"/>
  </cols>
  <sheetData>
    <row r="1" spans="1:22">
      <c r="A1" s="283" t="s">
        <v>96</v>
      </c>
      <c r="B1" s="224" t="str">
        <f>Info!C2</f>
        <v>სს პეივ ბანკ ჯორჯია</v>
      </c>
    </row>
    <row r="2" spans="1:22">
      <c r="A2" s="283" t="s">
        <v>97</v>
      </c>
      <c r="B2" s="286">
        <f>'1. key ratios'!B2</f>
        <v>45930</v>
      </c>
    </row>
    <row r="3" spans="1:22">
      <c r="A3" s="285" t="s">
        <v>656</v>
      </c>
      <c r="B3" s="355"/>
    </row>
    <row r="4" spans="1:22">
      <c r="A4" s="285"/>
      <c r="B4" s="355"/>
    </row>
    <row r="5" spans="1:22" ht="24" customHeight="1">
      <c r="A5" s="789" t="s">
        <v>683</v>
      </c>
      <c r="B5" s="789"/>
      <c r="C5" s="791" t="s">
        <v>875</v>
      </c>
      <c r="D5" s="791"/>
      <c r="E5" s="791"/>
      <c r="F5" s="791"/>
      <c r="G5" s="791"/>
      <c r="H5" s="791" t="s">
        <v>564</v>
      </c>
      <c r="I5" s="791"/>
      <c r="J5" s="791"/>
      <c r="K5" s="791"/>
      <c r="L5" s="791"/>
      <c r="M5" s="791" t="s">
        <v>874</v>
      </c>
      <c r="N5" s="791"/>
      <c r="O5" s="791"/>
      <c r="P5" s="791"/>
      <c r="Q5" s="791"/>
      <c r="R5" s="790" t="s">
        <v>682</v>
      </c>
      <c r="S5" s="790" t="s">
        <v>686</v>
      </c>
      <c r="T5" s="790" t="s">
        <v>685</v>
      </c>
      <c r="U5" s="790" t="s">
        <v>914</v>
      </c>
      <c r="V5" s="790" t="s">
        <v>915</v>
      </c>
    </row>
    <row r="6" spans="1:22" ht="36" customHeight="1">
      <c r="A6" s="789"/>
      <c r="B6" s="789"/>
      <c r="C6" s="431"/>
      <c r="D6" s="353" t="s">
        <v>859</v>
      </c>
      <c r="E6" s="353" t="s">
        <v>858</v>
      </c>
      <c r="F6" s="353" t="s">
        <v>857</v>
      </c>
      <c r="G6" s="353" t="s">
        <v>856</v>
      </c>
      <c r="H6" s="431"/>
      <c r="I6" s="353" t="s">
        <v>859</v>
      </c>
      <c r="J6" s="353" t="s">
        <v>858</v>
      </c>
      <c r="K6" s="353" t="s">
        <v>857</v>
      </c>
      <c r="L6" s="353" t="s">
        <v>856</v>
      </c>
      <c r="M6" s="431"/>
      <c r="N6" s="353" t="s">
        <v>859</v>
      </c>
      <c r="O6" s="353" t="s">
        <v>858</v>
      </c>
      <c r="P6" s="353" t="s">
        <v>857</v>
      </c>
      <c r="Q6" s="353" t="s">
        <v>856</v>
      </c>
      <c r="R6" s="790"/>
      <c r="S6" s="790"/>
      <c r="T6" s="790"/>
      <c r="U6" s="790"/>
      <c r="V6" s="790"/>
    </row>
    <row r="7" spans="1:22">
      <c r="A7" s="425">
        <v>1</v>
      </c>
      <c r="B7" s="430" t="s">
        <v>657</v>
      </c>
      <c r="C7" s="417"/>
      <c r="D7" s="417"/>
      <c r="E7" s="417"/>
      <c r="F7" s="417"/>
      <c r="G7" s="417"/>
      <c r="H7" s="417"/>
      <c r="I7" s="417"/>
      <c r="J7" s="417"/>
      <c r="K7" s="417"/>
      <c r="L7" s="417"/>
      <c r="M7" s="417"/>
      <c r="N7" s="417"/>
      <c r="O7" s="417"/>
      <c r="P7" s="417"/>
      <c r="Q7" s="417"/>
      <c r="R7" s="417"/>
      <c r="S7" s="417"/>
      <c r="T7" s="417"/>
      <c r="U7" s="417"/>
      <c r="V7" s="417"/>
    </row>
    <row r="8" spans="1:22">
      <c r="A8" s="425">
        <v>2</v>
      </c>
      <c r="B8" s="429" t="s">
        <v>658</v>
      </c>
      <c r="C8" s="417"/>
      <c r="D8" s="417"/>
      <c r="E8" s="417"/>
      <c r="F8" s="417"/>
      <c r="G8" s="417"/>
      <c r="H8" s="417"/>
      <c r="I8" s="417"/>
      <c r="J8" s="417"/>
      <c r="K8" s="417"/>
      <c r="L8" s="417"/>
      <c r="M8" s="417"/>
      <c r="N8" s="417"/>
      <c r="O8" s="417"/>
      <c r="P8" s="417"/>
      <c r="Q8" s="417"/>
      <c r="R8" s="417"/>
      <c r="S8" s="417"/>
      <c r="T8" s="417"/>
      <c r="U8" s="417"/>
      <c r="V8" s="417"/>
    </row>
    <row r="9" spans="1:22">
      <c r="A9" s="425">
        <v>3</v>
      </c>
      <c r="B9" s="429" t="s">
        <v>659</v>
      </c>
      <c r="C9" s="417"/>
      <c r="D9" s="417"/>
      <c r="E9" s="417"/>
      <c r="F9" s="417"/>
      <c r="G9" s="417"/>
      <c r="H9" s="417"/>
      <c r="I9" s="417"/>
      <c r="J9" s="417"/>
      <c r="K9" s="417"/>
      <c r="L9" s="417"/>
      <c r="M9" s="417"/>
      <c r="N9" s="417"/>
      <c r="O9" s="417"/>
      <c r="P9" s="417"/>
      <c r="Q9" s="417"/>
      <c r="R9" s="417"/>
      <c r="S9" s="417"/>
      <c r="T9" s="417"/>
      <c r="U9" s="417"/>
      <c r="V9" s="417"/>
    </row>
    <row r="10" spans="1:22">
      <c r="A10" s="425">
        <v>4</v>
      </c>
      <c r="B10" s="429" t="s">
        <v>660</v>
      </c>
      <c r="C10" s="417"/>
      <c r="D10" s="417"/>
      <c r="E10" s="417"/>
      <c r="F10" s="417"/>
      <c r="G10" s="417"/>
      <c r="H10" s="417"/>
      <c r="I10" s="417"/>
      <c r="J10" s="417"/>
      <c r="K10" s="417"/>
      <c r="L10" s="417"/>
      <c r="M10" s="417"/>
      <c r="N10" s="417"/>
      <c r="O10" s="417"/>
      <c r="P10" s="417"/>
      <c r="Q10" s="417"/>
      <c r="R10" s="417"/>
      <c r="S10" s="417"/>
      <c r="T10" s="417"/>
      <c r="U10" s="417"/>
      <c r="V10" s="417"/>
    </row>
    <row r="11" spans="1:22">
      <c r="A11" s="425">
        <v>5</v>
      </c>
      <c r="B11" s="429" t="s">
        <v>661</v>
      </c>
      <c r="C11" s="417"/>
      <c r="D11" s="417"/>
      <c r="E11" s="417"/>
      <c r="F11" s="417"/>
      <c r="G11" s="417"/>
      <c r="H11" s="417"/>
      <c r="I11" s="417"/>
      <c r="J11" s="417"/>
      <c r="K11" s="417"/>
      <c r="L11" s="417"/>
      <c r="M11" s="417"/>
      <c r="N11" s="417"/>
      <c r="O11" s="417"/>
      <c r="P11" s="417"/>
      <c r="Q11" s="417"/>
      <c r="R11" s="417"/>
      <c r="S11" s="417"/>
      <c r="T11" s="417"/>
      <c r="U11" s="417"/>
      <c r="V11" s="417"/>
    </row>
    <row r="12" spans="1:22">
      <c r="A12" s="425">
        <v>6</v>
      </c>
      <c r="B12" s="429" t="s">
        <v>662</v>
      </c>
      <c r="C12" s="417"/>
      <c r="D12" s="417"/>
      <c r="E12" s="417"/>
      <c r="F12" s="417"/>
      <c r="G12" s="417"/>
      <c r="H12" s="417"/>
      <c r="I12" s="417"/>
      <c r="J12" s="417"/>
      <c r="K12" s="417"/>
      <c r="L12" s="417"/>
      <c r="M12" s="417"/>
      <c r="N12" s="417"/>
      <c r="O12" s="417"/>
      <c r="P12" s="417"/>
      <c r="Q12" s="417"/>
      <c r="R12" s="417"/>
      <c r="S12" s="417"/>
      <c r="T12" s="417"/>
      <c r="U12" s="417"/>
      <c r="V12" s="417"/>
    </row>
    <row r="13" spans="1:22">
      <c r="A13" s="425">
        <v>7</v>
      </c>
      <c r="B13" s="429" t="s">
        <v>663</v>
      </c>
      <c r="C13" s="417"/>
      <c r="D13" s="417"/>
      <c r="E13" s="417"/>
      <c r="F13" s="417"/>
      <c r="G13" s="417"/>
      <c r="H13" s="417"/>
      <c r="I13" s="417"/>
      <c r="J13" s="417"/>
      <c r="K13" s="417"/>
      <c r="L13" s="417"/>
      <c r="M13" s="417"/>
      <c r="N13" s="417"/>
      <c r="O13" s="417"/>
      <c r="P13" s="417"/>
      <c r="Q13" s="417"/>
      <c r="R13" s="417"/>
      <c r="S13" s="417"/>
      <c r="T13" s="417"/>
      <c r="U13" s="417"/>
      <c r="V13" s="417"/>
    </row>
    <row r="14" spans="1:22">
      <c r="A14" s="423">
        <v>7.1</v>
      </c>
      <c r="B14" s="422" t="s">
        <v>664</v>
      </c>
      <c r="C14" s="417"/>
      <c r="D14" s="417"/>
      <c r="E14" s="417"/>
      <c r="F14" s="417"/>
      <c r="G14" s="417"/>
      <c r="H14" s="417"/>
      <c r="I14" s="417"/>
      <c r="J14" s="417"/>
      <c r="K14" s="417"/>
      <c r="L14" s="417"/>
      <c r="M14" s="417"/>
      <c r="N14" s="417"/>
      <c r="O14" s="417"/>
      <c r="P14" s="417"/>
      <c r="Q14" s="417"/>
      <c r="R14" s="417"/>
      <c r="S14" s="417"/>
      <c r="T14" s="417"/>
      <c r="U14" s="417"/>
      <c r="V14" s="417"/>
    </row>
    <row r="15" spans="1:22" ht="24">
      <c r="A15" s="423">
        <v>7.2</v>
      </c>
      <c r="B15" s="422" t="s">
        <v>665</v>
      </c>
      <c r="C15" s="417"/>
      <c r="D15" s="417"/>
      <c r="E15" s="417"/>
      <c r="F15" s="417"/>
      <c r="G15" s="417"/>
      <c r="H15" s="417"/>
      <c r="I15" s="417"/>
      <c r="J15" s="417"/>
      <c r="K15" s="417"/>
      <c r="L15" s="417"/>
      <c r="M15" s="417"/>
      <c r="N15" s="417"/>
      <c r="O15" s="417"/>
      <c r="P15" s="417"/>
      <c r="Q15" s="417"/>
      <c r="R15" s="417"/>
      <c r="S15" s="417"/>
      <c r="T15" s="417"/>
      <c r="U15" s="417"/>
      <c r="V15" s="417"/>
    </row>
    <row r="16" spans="1:22">
      <c r="A16" s="423">
        <v>7.3</v>
      </c>
      <c r="B16" s="422" t="s">
        <v>666</v>
      </c>
      <c r="C16" s="417"/>
      <c r="D16" s="417"/>
      <c r="E16" s="417"/>
      <c r="F16" s="417"/>
      <c r="G16" s="417"/>
      <c r="H16" s="417"/>
      <c r="I16" s="417"/>
      <c r="J16" s="417"/>
      <c r="K16" s="417"/>
      <c r="L16" s="417"/>
      <c r="M16" s="417"/>
      <c r="N16" s="417"/>
      <c r="O16" s="417"/>
      <c r="P16" s="417"/>
      <c r="Q16" s="417"/>
      <c r="R16" s="417"/>
      <c r="S16" s="417"/>
      <c r="T16" s="417"/>
      <c r="U16" s="417"/>
      <c r="V16" s="417"/>
    </row>
    <row r="17" spans="1:22">
      <c r="A17" s="425">
        <v>8</v>
      </c>
      <c r="B17" s="429" t="s">
        <v>667</v>
      </c>
      <c r="C17" s="417"/>
      <c r="D17" s="417"/>
      <c r="E17" s="417"/>
      <c r="F17" s="417"/>
      <c r="G17" s="417"/>
      <c r="H17" s="417"/>
      <c r="I17" s="417"/>
      <c r="J17" s="417"/>
      <c r="K17" s="417"/>
      <c r="L17" s="417"/>
      <c r="M17" s="417"/>
      <c r="N17" s="417"/>
      <c r="O17" s="417"/>
      <c r="P17" s="417"/>
      <c r="Q17" s="417"/>
      <c r="R17" s="417"/>
      <c r="S17" s="417"/>
      <c r="T17" s="417"/>
      <c r="U17" s="417"/>
      <c r="V17" s="417"/>
    </row>
    <row r="18" spans="1:22">
      <c r="A18" s="428">
        <v>9</v>
      </c>
      <c r="B18" s="427" t="s">
        <v>668</v>
      </c>
      <c r="C18" s="426"/>
      <c r="D18" s="426"/>
      <c r="E18" s="426"/>
      <c r="F18" s="426"/>
      <c r="G18" s="426"/>
      <c r="H18" s="426"/>
      <c r="I18" s="426"/>
      <c r="J18" s="426"/>
      <c r="K18" s="426"/>
      <c r="L18" s="426"/>
      <c r="M18" s="426"/>
      <c r="N18" s="426"/>
      <c r="O18" s="426"/>
      <c r="P18" s="426"/>
      <c r="Q18" s="426"/>
      <c r="R18" s="426"/>
      <c r="S18" s="426"/>
      <c r="T18" s="426"/>
      <c r="U18" s="426"/>
      <c r="V18" s="426"/>
    </row>
    <row r="19" spans="1:22">
      <c r="A19" s="425">
        <v>10</v>
      </c>
      <c r="B19" s="424" t="s">
        <v>684</v>
      </c>
      <c r="C19" s="417"/>
      <c r="D19" s="417"/>
      <c r="E19" s="417"/>
      <c r="F19" s="417"/>
      <c r="G19" s="417"/>
      <c r="H19" s="417"/>
      <c r="I19" s="417"/>
      <c r="J19" s="417"/>
      <c r="K19" s="417"/>
      <c r="L19" s="417"/>
      <c r="M19" s="417"/>
      <c r="N19" s="417"/>
      <c r="O19" s="417"/>
      <c r="P19" s="417"/>
      <c r="Q19" s="417"/>
      <c r="R19" s="417"/>
      <c r="S19" s="417"/>
      <c r="T19" s="417"/>
      <c r="U19" s="417"/>
      <c r="V19" s="417"/>
    </row>
    <row r="20" spans="1:22" ht="24">
      <c r="A20" s="423">
        <v>10.1</v>
      </c>
      <c r="B20" s="422" t="s">
        <v>687</v>
      </c>
      <c r="C20" s="417"/>
      <c r="D20" s="417"/>
      <c r="E20" s="417"/>
      <c r="F20" s="417"/>
      <c r="G20" s="417"/>
      <c r="H20" s="417"/>
      <c r="I20" s="417"/>
      <c r="J20" s="417"/>
      <c r="K20" s="417"/>
      <c r="L20" s="417"/>
      <c r="M20" s="417"/>
      <c r="N20" s="417"/>
      <c r="O20" s="417"/>
      <c r="P20" s="417"/>
      <c r="Q20" s="417"/>
      <c r="R20" s="417"/>
      <c r="S20" s="417"/>
      <c r="T20" s="417"/>
      <c r="U20" s="417"/>
      <c r="V20" s="417"/>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topLeftCell="B60" zoomScale="110" zoomScaleNormal="110" workbookViewId="0">
      <selection activeCell="B62" sqref="B62:C62"/>
    </sheetView>
  </sheetViews>
  <sheetFormatPr defaultColWidth="43.44140625" defaultRowHeight="12"/>
  <cols>
    <col min="1" max="1" width="8" style="123" customWidth="1"/>
    <col min="2" max="2" width="66.109375" style="124" customWidth="1"/>
    <col min="3" max="3" width="131.44140625" style="125" customWidth="1"/>
    <col min="4" max="5" width="10.109375" style="116" customWidth="1"/>
    <col min="6" max="6" width="67.6640625" style="116" customWidth="1"/>
    <col min="7" max="16384" width="43.44140625" style="116"/>
  </cols>
  <sheetData>
    <row r="1" spans="1:3" ht="13.2" thickTop="1" thickBot="1">
      <c r="A1" s="843" t="s">
        <v>175</v>
      </c>
      <c r="B1" s="844"/>
      <c r="C1" s="845"/>
    </row>
    <row r="2" spans="1:3" ht="26.25" customHeight="1">
      <c r="A2" s="292"/>
      <c r="B2" s="846" t="s">
        <v>176</v>
      </c>
      <c r="C2" s="846"/>
    </row>
    <row r="3" spans="1:3" s="121" customFormat="1" ht="11.25" customHeight="1">
      <c r="A3" s="120"/>
      <c r="B3" s="846" t="s">
        <v>250</v>
      </c>
      <c r="C3" s="846"/>
    </row>
    <row r="4" spans="1:3" ht="12" customHeight="1" thickBot="1">
      <c r="A4" s="825" t="s">
        <v>254</v>
      </c>
      <c r="B4" s="826"/>
      <c r="C4" s="827"/>
    </row>
    <row r="5" spans="1:3" ht="12.6" thickTop="1">
      <c r="A5" s="117"/>
      <c r="B5" s="828" t="s">
        <v>177</v>
      </c>
      <c r="C5" s="829"/>
    </row>
    <row r="6" spans="1:3">
      <c r="A6" s="292"/>
      <c r="B6" s="807" t="s">
        <v>251</v>
      </c>
      <c r="C6" s="808"/>
    </row>
    <row r="7" spans="1:3">
      <c r="A7" s="292"/>
      <c r="B7" s="807" t="s">
        <v>178</v>
      </c>
      <c r="C7" s="808"/>
    </row>
    <row r="8" spans="1:3">
      <c r="A8" s="292"/>
      <c r="B8" s="807" t="s">
        <v>252</v>
      </c>
      <c r="C8" s="808"/>
    </row>
    <row r="9" spans="1:3">
      <c r="A9" s="292"/>
      <c r="B9" s="849" t="s">
        <v>253</v>
      </c>
      <c r="C9" s="850"/>
    </row>
    <row r="10" spans="1:3">
      <c r="A10" s="292"/>
      <c r="B10" s="841" t="s">
        <v>179</v>
      </c>
      <c r="C10" s="842" t="s">
        <v>179</v>
      </c>
    </row>
    <row r="11" spans="1:3">
      <c r="A11" s="292"/>
      <c r="B11" s="841" t="s">
        <v>180</v>
      </c>
      <c r="C11" s="842" t="s">
        <v>180</v>
      </c>
    </row>
    <row r="12" spans="1:3">
      <c r="A12" s="292"/>
      <c r="B12" s="841" t="s">
        <v>181</v>
      </c>
      <c r="C12" s="842" t="s">
        <v>181</v>
      </c>
    </row>
    <row r="13" spans="1:3">
      <c r="A13" s="292"/>
      <c r="B13" s="841" t="s">
        <v>182</v>
      </c>
      <c r="C13" s="842" t="s">
        <v>182</v>
      </c>
    </row>
    <row r="14" spans="1:3">
      <c r="A14" s="292"/>
      <c r="B14" s="841" t="s">
        <v>183</v>
      </c>
      <c r="C14" s="842" t="s">
        <v>183</v>
      </c>
    </row>
    <row r="15" spans="1:3" ht="21.75" customHeight="1">
      <c r="A15" s="292"/>
      <c r="B15" s="841" t="s">
        <v>184</v>
      </c>
      <c r="C15" s="842" t="s">
        <v>184</v>
      </c>
    </row>
    <row r="16" spans="1:3">
      <c r="A16" s="292"/>
      <c r="B16" s="841" t="s">
        <v>185</v>
      </c>
      <c r="C16" s="842" t="s">
        <v>186</v>
      </c>
    </row>
    <row r="17" spans="1:6">
      <c r="A17" s="292"/>
      <c r="B17" s="841" t="s">
        <v>187</v>
      </c>
      <c r="C17" s="842" t="s">
        <v>188</v>
      </c>
    </row>
    <row r="18" spans="1:6">
      <c r="A18" s="292"/>
      <c r="B18" s="841" t="s">
        <v>189</v>
      </c>
      <c r="C18" s="842" t="s">
        <v>190</v>
      </c>
    </row>
    <row r="19" spans="1:6">
      <c r="A19" s="512"/>
      <c r="B19" s="847" t="s">
        <v>191</v>
      </c>
      <c r="C19" s="848" t="s">
        <v>191</v>
      </c>
    </row>
    <row r="20" spans="1:6">
      <c r="A20" s="512"/>
      <c r="B20" s="847" t="s">
        <v>917</v>
      </c>
      <c r="C20" s="848" t="s">
        <v>192</v>
      </c>
    </row>
    <row r="21" spans="1:6">
      <c r="A21" s="292"/>
      <c r="B21" s="847" t="s">
        <v>960</v>
      </c>
      <c r="C21" s="848" t="s">
        <v>193</v>
      </c>
    </row>
    <row r="22" spans="1:6" ht="23.25" customHeight="1">
      <c r="A22" s="292"/>
      <c r="B22" s="841" t="s">
        <v>194</v>
      </c>
      <c r="C22" s="842" t="s">
        <v>195</v>
      </c>
      <c r="F22" s="476"/>
    </row>
    <row r="23" spans="1:6">
      <c r="A23" s="292"/>
      <c r="B23" s="841" t="s">
        <v>196</v>
      </c>
      <c r="C23" s="842" t="s">
        <v>196</v>
      </c>
    </row>
    <row r="24" spans="1:6">
      <c r="A24" s="292"/>
      <c r="B24" s="841" t="s">
        <v>197</v>
      </c>
      <c r="C24" s="842" t="s">
        <v>198</v>
      </c>
    </row>
    <row r="25" spans="1:6" ht="12.6" thickBot="1">
      <c r="A25" s="118"/>
      <c r="B25" s="835" t="s">
        <v>199</v>
      </c>
      <c r="C25" s="836"/>
    </row>
    <row r="26" spans="1:6" ht="13.2" thickTop="1" thickBot="1">
      <c r="A26" s="825" t="s">
        <v>811</v>
      </c>
      <c r="B26" s="826"/>
      <c r="C26" s="827"/>
    </row>
    <row r="27" spans="1:6" ht="13.2" thickTop="1" thickBot="1">
      <c r="A27" s="119"/>
      <c r="B27" s="837" t="s">
        <v>812</v>
      </c>
      <c r="C27" s="838"/>
    </row>
    <row r="28" spans="1:6" ht="13.2" thickTop="1" thickBot="1">
      <c r="A28" s="825" t="s">
        <v>255</v>
      </c>
      <c r="B28" s="826"/>
      <c r="C28" s="827"/>
    </row>
    <row r="29" spans="1:6" ht="12.6" thickTop="1">
      <c r="A29" s="117"/>
      <c r="B29" s="839" t="s">
        <v>815</v>
      </c>
      <c r="C29" s="840" t="s">
        <v>200</v>
      </c>
    </row>
    <row r="30" spans="1:6">
      <c r="A30" s="292"/>
      <c r="B30" s="816" t="s">
        <v>204</v>
      </c>
      <c r="C30" s="817" t="s">
        <v>201</v>
      </c>
    </row>
    <row r="31" spans="1:6">
      <c r="A31" s="292"/>
      <c r="B31" s="816" t="s">
        <v>813</v>
      </c>
      <c r="C31" s="817" t="s">
        <v>202</v>
      </c>
    </row>
    <row r="32" spans="1:6">
      <c r="A32" s="292"/>
      <c r="B32" s="816" t="s">
        <v>814</v>
      </c>
      <c r="C32" s="817" t="s">
        <v>203</v>
      </c>
    </row>
    <row r="33" spans="1:3">
      <c r="A33" s="292"/>
      <c r="B33" s="816" t="s">
        <v>207</v>
      </c>
      <c r="C33" s="817" t="s">
        <v>208</v>
      </c>
    </row>
    <row r="34" spans="1:3">
      <c r="A34" s="292"/>
      <c r="B34" s="816" t="s">
        <v>816</v>
      </c>
      <c r="C34" s="817" t="s">
        <v>205</v>
      </c>
    </row>
    <row r="35" spans="1:3">
      <c r="A35" s="292"/>
      <c r="B35" s="816" t="s">
        <v>817</v>
      </c>
      <c r="C35" s="817" t="s">
        <v>206</v>
      </c>
    </row>
    <row r="36" spans="1:3">
      <c r="A36" s="292"/>
      <c r="B36" s="832" t="s">
        <v>818</v>
      </c>
      <c r="C36" s="833"/>
    </row>
    <row r="37" spans="1:3" ht="24.75" customHeight="1">
      <c r="A37" s="292"/>
      <c r="B37" s="816" t="s">
        <v>819</v>
      </c>
      <c r="C37" s="817" t="s">
        <v>209</v>
      </c>
    </row>
    <row r="38" spans="1:3" ht="23.25" customHeight="1">
      <c r="A38" s="292"/>
      <c r="B38" s="816" t="s">
        <v>820</v>
      </c>
      <c r="C38" s="817" t="s">
        <v>210</v>
      </c>
    </row>
    <row r="39" spans="1:3" ht="23.25" customHeight="1">
      <c r="A39" s="329"/>
      <c r="B39" s="832" t="s">
        <v>821</v>
      </c>
      <c r="C39" s="834"/>
    </row>
    <row r="40" spans="1:3" ht="12" customHeight="1">
      <c r="A40" s="292"/>
      <c r="B40" s="816" t="s">
        <v>822</v>
      </c>
      <c r="C40" s="817"/>
    </row>
    <row r="41" spans="1:3" ht="12.6" thickBot="1">
      <c r="A41" s="825" t="s">
        <v>256</v>
      </c>
      <c r="B41" s="826"/>
      <c r="C41" s="827"/>
    </row>
    <row r="42" spans="1:3" ht="12.6" thickTop="1">
      <c r="A42" s="117"/>
      <c r="B42" s="828" t="s">
        <v>286</v>
      </c>
      <c r="C42" s="829" t="s">
        <v>211</v>
      </c>
    </row>
    <row r="43" spans="1:3">
      <c r="A43" s="292"/>
      <c r="B43" s="807" t="s">
        <v>285</v>
      </c>
      <c r="C43" s="808"/>
    </row>
    <row r="44" spans="1:3" ht="23.25" customHeight="1" thickBot="1">
      <c r="A44" s="118"/>
      <c r="B44" s="823" t="s">
        <v>212</v>
      </c>
      <c r="C44" s="824" t="s">
        <v>213</v>
      </c>
    </row>
    <row r="45" spans="1:3" ht="11.25" customHeight="1" thickTop="1" thickBot="1">
      <c r="A45" s="825" t="s">
        <v>257</v>
      </c>
      <c r="B45" s="826"/>
      <c r="C45" s="827"/>
    </row>
    <row r="46" spans="1:3" ht="26.25" customHeight="1" thickTop="1">
      <c r="A46" s="292"/>
      <c r="B46" s="807" t="s">
        <v>258</v>
      </c>
      <c r="C46" s="808"/>
    </row>
    <row r="47" spans="1:3" ht="12.6" thickBot="1">
      <c r="A47" s="825" t="s">
        <v>259</v>
      </c>
      <c r="B47" s="826"/>
      <c r="C47" s="827"/>
    </row>
    <row r="48" spans="1:3" ht="12.6" thickTop="1">
      <c r="A48" s="117"/>
      <c r="B48" s="828" t="s">
        <v>214</v>
      </c>
      <c r="C48" s="829" t="s">
        <v>214</v>
      </c>
    </row>
    <row r="49" spans="1:3" ht="11.25" customHeight="1">
      <c r="A49" s="292"/>
      <c r="B49" s="807" t="s">
        <v>215</v>
      </c>
      <c r="C49" s="808" t="s">
        <v>215</v>
      </c>
    </row>
    <row r="50" spans="1:3">
      <c r="A50" s="292"/>
      <c r="B50" s="807" t="s">
        <v>216</v>
      </c>
      <c r="C50" s="808" t="s">
        <v>216</v>
      </c>
    </row>
    <row r="51" spans="1:3" ht="11.25" customHeight="1">
      <c r="A51" s="292"/>
      <c r="B51" s="807" t="s">
        <v>824</v>
      </c>
      <c r="C51" s="808" t="s">
        <v>217</v>
      </c>
    </row>
    <row r="52" spans="1:3" ht="33.6" customHeight="1">
      <c r="A52" s="292"/>
      <c r="B52" s="807" t="s">
        <v>218</v>
      </c>
      <c r="C52" s="808" t="s">
        <v>218</v>
      </c>
    </row>
    <row r="53" spans="1:3" ht="11.25" customHeight="1">
      <c r="A53" s="292"/>
      <c r="B53" s="807" t="s">
        <v>306</v>
      </c>
      <c r="C53" s="808" t="s">
        <v>219</v>
      </c>
    </row>
    <row r="54" spans="1:3" ht="11.25" customHeight="1" thickBot="1">
      <c r="A54" s="825" t="s">
        <v>260</v>
      </c>
      <c r="B54" s="826"/>
      <c r="C54" s="827"/>
    </row>
    <row r="55" spans="1:3" ht="12.6" thickTop="1">
      <c r="A55" s="117"/>
      <c r="B55" s="828" t="s">
        <v>214</v>
      </c>
      <c r="C55" s="829" t="s">
        <v>214</v>
      </c>
    </row>
    <row r="56" spans="1:3">
      <c r="A56" s="292"/>
      <c r="B56" s="807" t="s">
        <v>220</v>
      </c>
      <c r="C56" s="808" t="s">
        <v>220</v>
      </c>
    </row>
    <row r="57" spans="1:3">
      <c r="A57" s="292"/>
      <c r="B57" s="807" t="s">
        <v>263</v>
      </c>
      <c r="C57" s="808" t="s">
        <v>221</v>
      </c>
    </row>
    <row r="58" spans="1:3">
      <c r="A58" s="292"/>
      <c r="B58" s="807" t="s">
        <v>222</v>
      </c>
      <c r="C58" s="808" t="s">
        <v>222</v>
      </c>
    </row>
    <row r="59" spans="1:3">
      <c r="A59" s="292"/>
      <c r="B59" s="807" t="s">
        <v>223</v>
      </c>
      <c r="C59" s="808" t="s">
        <v>223</v>
      </c>
    </row>
    <row r="60" spans="1:3">
      <c r="A60" s="292"/>
      <c r="B60" s="807" t="s">
        <v>224</v>
      </c>
      <c r="C60" s="808" t="s">
        <v>224</v>
      </c>
    </row>
    <row r="61" spans="1:3">
      <c r="A61" s="292"/>
      <c r="B61" s="807" t="s">
        <v>264</v>
      </c>
      <c r="C61" s="808" t="s">
        <v>225</v>
      </c>
    </row>
    <row r="62" spans="1:3" ht="12" customHeight="1">
      <c r="A62" s="292"/>
      <c r="B62" s="794" t="s">
        <v>997</v>
      </c>
      <c r="C62" s="795" t="s">
        <v>226</v>
      </c>
    </row>
    <row r="63" spans="1:3" ht="22.5" customHeight="1" thickBot="1">
      <c r="A63" s="118"/>
      <c r="B63" s="823" t="s">
        <v>227</v>
      </c>
      <c r="C63" s="824" t="s">
        <v>227</v>
      </c>
    </row>
    <row r="64" spans="1:3" ht="11.25" customHeight="1" thickTop="1">
      <c r="A64" s="813" t="s">
        <v>261</v>
      </c>
      <c r="B64" s="814"/>
      <c r="C64" s="815"/>
    </row>
    <row r="65" spans="1:3" ht="12.6" thickBot="1">
      <c r="A65" s="118"/>
      <c r="B65" s="823" t="s">
        <v>228</v>
      </c>
      <c r="C65" s="824" t="s">
        <v>228</v>
      </c>
    </row>
    <row r="66" spans="1:3" ht="11.25" customHeight="1" thickTop="1">
      <c r="A66" s="813" t="s">
        <v>950</v>
      </c>
      <c r="B66" s="814"/>
      <c r="C66" s="815"/>
    </row>
    <row r="67" spans="1:3" ht="12.6" thickBot="1">
      <c r="A67" s="118"/>
      <c r="B67" s="823" t="s">
        <v>949</v>
      </c>
      <c r="C67" s="824"/>
    </row>
    <row r="68" spans="1:3" ht="11.25" customHeight="1" thickTop="1" thickBot="1">
      <c r="A68" s="825" t="s">
        <v>262</v>
      </c>
      <c r="B68" s="826"/>
      <c r="C68" s="827"/>
    </row>
    <row r="69" spans="1:3" ht="12.6" thickTop="1">
      <c r="A69" s="117"/>
      <c r="B69" s="828" t="s">
        <v>229</v>
      </c>
      <c r="C69" s="829" t="s">
        <v>229</v>
      </c>
    </row>
    <row r="70" spans="1:3">
      <c r="A70" s="292"/>
      <c r="B70" s="807" t="s">
        <v>826</v>
      </c>
      <c r="C70" s="808" t="s">
        <v>230</v>
      </c>
    </row>
    <row r="71" spans="1:3">
      <c r="A71" s="292"/>
      <c r="B71" s="807" t="s">
        <v>231</v>
      </c>
      <c r="C71" s="808" t="s">
        <v>231</v>
      </c>
    </row>
    <row r="72" spans="1:3" ht="54.9" customHeight="1">
      <c r="A72" s="292"/>
      <c r="B72" s="830" t="s">
        <v>961</v>
      </c>
      <c r="C72" s="831" t="s">
        <v>232</v>
      </c>
    </row>
    <row r="73" spans="1:3" ht="33.75" customHeight="1">
      <c r="A73" s="292"/>
      <c r="B73" s="821" t="s">
        <v>265</v>
      </c>
      <c r="C73" s="822" t="s">
        <v>233</v>
      </c>
    </row>
    <row r="74" spans="1:3" ht="15.75" customHeight="1">
      <c r="A74" s="292"/>
      <c r="B74" s="821" t="s">
        <v>827</v>
      </c>
      <c r="C74" s="822" t="s">
        <v>234</v>
      </c>
    </row>
    <row r="75" spans="1:3">
      <c r="A75" s="292"/>
      <c r="B75" s="807" t="s">
        <v>235</v>
      </c>
      <c r="C75" s="808" t="s">
        <v>235</v>
      </c>
    </row>
    <row r="76" spans="1:3" ht="12.6" thickBot="1">
      <c r="A76" s="118"/>
      <c r="B76" s="823" t="s">
        <v>236</v>
      </c>
      <c r="C76" s="824" t="s">
        <v>236</v>
      </c>
    </row>
    <row r="77" spans="1:3" ht="12.6" thickTop="1">
      <c r="A77" s="813" t="s">
        <v>289</v>
      </c>
      <c r="B77" s="814"/>
      <c r="C77" s="815"/>
    </row>
    <row r="78" spans="1:3">
      <c r="A78" s="292"/>
      <c r="B78" s="807" t="s">
        <v>228</v>
      </c>
      <c r="C78" s="808"/>
    </row>
    <row r="79" spans="1:3">
      <c r="A79" s="292"/>
      <c r="B79" s="807" t="s">
        <v>287</v>
      </c>
      <c r="C79" s="808"/>
    </row>
    <row r="80" spans="1:3">
      <c r="A80" s="292"/>
      <c r="B80" s="807" t="s">
        <v>288</v>
      </c>
      <c r="C80" s="808"/>
    </row>
    <row r="81" spans="1:3">
      <c r="A81" s="813" t="s">
        <v>290</v>
      </c>
      <c r="B81" s="814"/>
      <c r="C81" s="815"/>
    </row>
    <row r="82" spans="1:3">
      <c r="A82" s="292"/>
      <c r="B82" s="807" t="s">
        <v>228</v>
      </c>
      <c r="C82" s="808"/>
    </row>
    <row r="83" spans="1:3">
      <c r="A83" s="292"/>
      <c r="B83" s="807" t="s">
        <v>291</v>
      </c>
      <c r="C83" s="808"/>
    </row>
    <row r="84" spans="1:3" ht="79.5" customHeight="1">
      <c r="A84" s="292"/>
      <c r="B84" s="807" t="s">
        <v>305</v>
      </c>
      <c r="C84" s="808"/>
    </row>
    <row r="85" spans="1:3" ht="53.25" customHeight="1">
      <c r="A85" s="292"/>
      <c r="B85" s="807" t="s">
        <v>304</v>
      </c>
      <c r="C85" s="808"/>
    </row>
    <row r="86" spans="1:3">
      <c r="A86" s="292"/>
      <c r="B86" s="807" t="s">
        <v>292</v>
      </c>
      <c r="C86" s="808"/>
    </row>
    <row r="87" spans="1:3">
      <c r="A87" s="292"/>
      <c r="B87" s="807" t="s">
        <v>293</v>
      </c>
      <c r="C87" s="808"/>
    </row>
    <row r="88" spans="1:3">
      <c r="A88" s="292"/>
      <c r="B88" s="807" t="s">
        <v>294</v>
      </c>
      <c r="C88" s="808"/>
    </row>
    <row r="89" spans="1:3">
      <c r="A89" s="813" t="s">
        <v>295</v>
      </c>
      <c r="B89" s="814"/>
      <c r="C89" s="815"/>
    </row>
    <row r="90" spans="1:3">
      <c r="A90" s="292"/>
      <c r="B90" s="807" t="s">
        <v>228</v>
      </c>
      <c r="C90" s="808"/>
    </row>
    <row r="91" spans="1:3">
      <c r="A91" s="292"/>
      <c r="B91" s="807" t="s">
        <v>297</v>
      </c>
      <c r="C91" s="808"/>
    </row>
    <row r="92" spans="1:3" ht="12" customHeight="1">
      <c r="A92" s="292"/>
      <c r="B92" s="807" t="s">
        <v>298</v>
      </c>
      <c r="C92" s="808"/>
    </row>
    <row r="93" spans="1:3">
      <c r="A93" s="292"/>
      <c r="B93" s="807" t="s">
        <v>299</v>
      </c>
      <c r="C93" s="808"/>
    </row>
    <row r="94" spans="1:3" ht="24.75" customHeight="1">
      <c r="A94" s="292"/>
      <c r="B94" s="816" t="s">
        <v>335</v>
      </c>
      <c r="C94" s="817"/>
    </row>
    <row r="95" spans="1:3" ht="24" customHeight="1">
      <c r="A95" s="292"/>
      <c r="B95" s="816" t="s">
        <v>336</v>
      </c>
      <c r="C95" s="817"/>
    </row>
    <row r="96" spans="1:3" ht="13.5" customHeight="1">
      <c r="A96" s="292"/>
      <c r="B96" s="816" t="s">
        <v>300</v>
      </c>
      <c r="C96" s="817"/>
    </row>
    <row r="97" spans="1:3" ht="11.25" customHeight="1" thickBot="1">
      <c r="A97" s="818" t="s">
        <v>331</v>
      </c>
      <c r="B97" s="819"/>
      <c r="C97" s="820"/>
    </row>
    <row r="98" spans="1:3" ht="13.2" thickTop="1" thickBot="1">
      <c r="A98" s="812" t="s">
        <v>237</v>
      </c>
      <c r="B98" s="812"/>
      <c r="C98" s="812"/>
    </row>
    <row r="99" spans="1:3">
      <c r="A99" s="180">
        <v>2</v>
      </c>
      <c r="B99" s="280" t="s">
        <v>311</v>
      </c>
      <c r="C99" s="280" t="s">
        <v>332</v>
      </c>
    </row>
    <row r="100" spans="1:3">
      <c r="A100" s="122">
        <v>3</v>
      </c>
      <c r="B100" s="281" t="s">
        <v>312</v>
      </c>
      <c r="C100" s="282" t="s">
        <v>333</v>
      </c>
    </row>
    <row r="101" spans="1:3">
      <c r="A101" s="122">
        <v>4</v>
      </c>
      <c r="B101" s="281" t="s">
        <v>313</v>
      </c>
      <c r="C101" s="282" t="s">
        <v>337</v>
      </c>
    </row>
    <row r="102" spans="1:3" ht="11.25" customHeight="1">
      <c r="A102" s="122">
        <v>5</v>
      </c>
      <c r="B102" s="281" t="s">
        <v>314</v>
      </c>
      <c r="C102" s="282" t="s">
        <v>334</v>
      </c>
    </row>
    <row r="103" spans="1:3" ht="12" customHeight="1">
      <c r="A103" s="122">
        <v>6</v>
      </c>
      <c r="B103" s="281" t="s">
        <v>329</v>
      </c>
      <c r="C103" s="282" t="s">
        <v>315</v>
      </c>
    </row>
    <row r="104" spans="1:3" ht="12" customHeight="1">
      <c r="A104" s="122">
        <v>7</v>
      </c>
      <c r="B104" s="281" t="s">
        <v>316</v>
      </c>
      <c r="C104" s="282" t="s">
        <v>330</v>
      </c>
    </row>
    <row r="105" spans="1:3">
      <c r="A105" s="122">
        <v>8</v>
      </c>
      <c r="B105" s="281" t="s">
        <v>321</v>
      </c>
      <c r="C105" s="282" t="s">
        <v>341</v>
      </c>
    </row>
    <row r="106" spans="1:3" ht="11.25" customHeight="1">
      <c r="A106" s="813" t="s">
        <v>301</v>
      </c>
      <c r="B106" s="814"/>
      <c r="C106" s="815"/>
    </row>
    <row r="107" spans="1:3" ht="12" customHeight="1">
      <c r="A107" s="292"/>
      <c r="B107" s="794" t="s">
        <v>998</v>
      </c>
      <c r="C107" s="795"/>
    </row>
    <row r="108" spans="1:3">
      <c r="A108" s="813" t="s">
        <v>457</v>
      </c>
      <c r="B108" s="814"/>
      <c r="C108" s="815"/>
    </row>
    <row r="109" spans="1:3" ht="12" customHeight="1">
      <c r="A109" s="292"/>
      <c r="B109" s="807" t="s">
        <v>459</v>
      </c>
      <c r="C109" s="808"/>
    </row>
    <row r="110" spans="1:3">
      <c r="A110" s="292"/>
      <c r="B110" s="807" t="s">
        <v>460</v>
      </c>
      <c r="C110" s="808"/>
    </row>
    <row r="111" spans="1:3">
      <c r="A111" s="292"/>
      <c r="B111" s="807" t="s">
        <v>458</v>
      </c>
      <c r="C111" s="808"/>
    </row>
    <row r="112" spans="1:3">
      <c r="A112" s="805" t="s">
        <v>691</v>
      </c>
      <c r="B112" s="805"/>
      <c r="C112" s="805"/>
    </row>
    <row r="113" spans="1:3">
      <c r="A113" s="809" t="s">
        <v>175</v>
      </c>
      <c r="B113" s="809"/>
      <c r="C113" s="809"/>
    </row>
    <row r="114" spans="1:3">
      <c r="A114" s="459">
        <v>1</v>
      </c>
      <c r="B114" s="796" t="s">
        <v>575</v>
      </c>
      <c r="C114" s="797"/>
    </row>
    <row r="115" spans="1:3">
      <c r="A115" s="459">
        <v>2</v>
      </c>
      <c r="B115" s="810" t="s">
        <v>576</v>
      </c>
      <c r="C115" s="811"/>
    </row>
    <row r="116" spans="1:3">
      <c r="A116" s="459">
        <v>3</v>
      </c>
      <c r="B116" s="796" t="s">
        <v>901</v>
      </c>
      <c r="C116" s="797"/>
    </row>
    <row r="117" spans="1:3">
      <c r="A117" s="459">
        <v>4</v>
      </c>
      <c r="B117" s="796" t="s">
        <v>900</v>
      </c>
      <c r="C117" s="797"/>
    </row>
    <row r="118" spans="1:3">
      <c r="A118" s="459">
        <v>5</v>
      </c>
      <c r="B118" s="463" t="s">
        <v>899</v>
      </c>
      <c r="C118" s="462"/>
    </row>
    <row r="119" spans="1:3">
      <c r="A119" s="459">
        <v>6</v>
      </c>
      <c r="B119" s="798" t="s">
        <v>967</v>
      </c>
      <c r="C119" s="799"/>
    </row>
    <row r="120" spans="1:3" ht="48.6" customHeight="1">
      <c r="A120" s="459">
        <v>7</v>
      </c>
      <c r="B120" s="798" t="s">
        <v>968</v>
      </c>
      <c r="C120" s="799"/>
    </row>
    <row r="121" spans="1:3">
      <c r="A121" s="437">
        <v>8</v>
      </c>
      <c r="B121" s="432" t="s">
        <v>602</v>
      </c>
      <c r="C121" s="456" t="s">
        <v>898</v>
      </c>
    </row>
    <row r="122" spans="1:3" ht="24">
      <c r="A122" s="459">
        <v>9.01</v>
      </c>
      <c r="B122" s="432" t="s">
        <v>486</v>
      </c>
      <c r="C122" s="433" t="s">
        <v>651</v>
      </c>
    </row>
    <row r="123" spans="1:3" ht="36">
      <c r="A123" s="459">
        <v>9.02</v>
      </c>
      <c r="B123" s="432" t="s">
        <v>487</v>
      </c>
      <c r="C123" s="433" t="s">
        <v>654</v>
      </c>
    </row>
    <row r="124" spans="1:3">
      <c r="A124" s="459">
        <v>9.0299999999999994</v>
      </c>
      <c r="B124" s="433" t="s">
        <v>835</v>
      </c>
      <c r="C124" s="433" t="s">
        <v>577</v>
      </c>
    </row>
    <row r="125" spans="1:3">
      <c r="A125" s="459">
        <v>9.0399999999999991</v>
      </c>
      <c r="B125" s="432" t="s">
        <v>488</v>
      </c>
      <c r="C125" s="433" t="s">
        <v>578</v>
      </c>
    </row>
    <row r="126" spans="1:3">
      <c r="A126" s="459">
        <v>9.0500000000000007</v>
      </c>
      <c r="B126" s="432" t="s">
        <v>489</v>
      </c>
      <c r="C126" s="433" t="s">
        <v>579</v>
      </c>
    </row>
    <row r="127" spans="1:3" ht="24">
      <c r="A127" s="459">
        <v>9.06</v>
      </c>
      <c r="B127" s="432" t="s">
        <v>490</v>
      </c>
      <c r="C127" s="433" t="s">
        <v>580</v>
      </c>
    </row>
    <row r="128" spans="1:3">
      <c r="A128" s="459">
        <v>9.07</v>
      </c>
      <c r="B128" s="461" t="s">
        <v>491</v>
      </c>
      <c r="C128" s="433" t="s">
        <v>581</v>
      </c>
    </row>
    <row r="129" spans="1:3" ht="24">
      <c r="A129" s="459">
        <v>9.08</v>
      </c>
      <c r="B129" s="432" t="s">
        <v>492</v>
      </c>
      <c r="C129" s="433" t="s">
        <v>582</v>
      </c>
    </row>
    <row r="130" spans="1:3" ht="24">
      <c r="A130" s="459">
        <v>9.09</v>
      </c>
      <c r="B130" s="432" t="s">
        <v>493</v>
      </c>
      <c r="C130" s="433" t="s">
        <v>583</v>
      </c>
    </row>
    <row r="131" spans="1:3">
      <c r="A131" s="460">
        <v>9.1</v>
      </c>
      <c r="B131" s="432" t="s">
        <v>494</v>
      </c>
      <c r="C131" s="433" t="s">
        <v>584</v>
      </c>
    </row>
    <row r="132" spans="1:3">
      <c r="A132" s="459">
        <v>9.11</v>
      </c>
      <c r="B132" s="432" t="s">
        <v>495</v>
      </c>
      <c r="C132" s="433" t="s">
        <v>585</v>
      </c>
    </row>
    <row r="133" spans="1:3">
      <c r="A133" s="459">
        <v>9.1199999999999992</v>
      </c>
      <c r="B133" s="432" t="s">
        <v>496</v>
      </c>
      <c r="C133" s="433" t="s">
        <v>586</v>
      </c>
    </row>
    <row r="134" spans="1:3">
      <c r="A134" s="459">
        <v>9.1300000000000008</v>
      </c>
      <c r="B134" s="432" t="s">
        <v>497</v>
      </c>
      <c r="C134" s="433" t="s">
        <v>587</v>
      </c>
    </row>
    <row r="135" spans="1:3">
      <c r="A135" s="459">
        <v>9.14</v>
      </c>
      <c r="B135" s="432" t="s">
        <v>498</v>
      </c>
      <c r="C135" s="433" t="s">
        <v>588</v>
      </c>
    </row>
    <row r="136" spans="1:3">
      <c r="A136" s="459">
        <v>9.15</v>
      </c>
      <c r="B136" s="432" t="s">
        <v>499</v>
      </c>
      <c r="C136" s="433" t="s">
        <v>589</v>
      </c>
    </row>
    <row r="137" spans="1:3">
      <c r="A137" s="459">
        <v>9.16</v>
      </c>
      <c r="B137" s="432" t="s">
        <v>500</v>
      </c>
      <c r="C137" s="433" t="s">
        <v>590</v>
      </c>
    </row>
    <row r="138" spans="1:3">
      <c r="A138" s="459">
        <v>9.17</v>
      </c>
      <c r="B138" s="433" t="s">
        <v>501</v>
      </c>
      <c r="C138" s="433" t="s">
        <v>591</v>
      </c>
    </row>
    <row r="139" spans="1:3" ht="24">
      <c r="A139" s="459">
        <v>9.18</v>
      </c>
      <c r="B139" s="432" t="s">
        <v>502</v>
      </c>
      <c r="C139" s="433" t="s">
        <v>592</v>
      </c>
    </row>
    <row r="140" spans="1:3">
      <c r="A140" s="459">
        <v>9.19</v>
      </c>
      <c r="B140" s="432" t="s">
        <v>503</v>
      </c>
      <c r="C140" s="433" t="s">
        <v>593</v>
      </c>
    </row>
    <row r="141" spans="1:3">
      <c r="A141" s="460">
        <v>9.1999999999999993</v>
      </c>
      <c r="B141" s="432" t="s">
        <v>504</v>
      </c>
      <c r="C141" s="433" t="s">
        <v>594</v>
      </c>
    </row>
    <row r="142" spans="1:3">
      <c r="A142" s="459">
        <v>9.2100000000000009</v>
      </c>
      <c r="B142" s="432" t="s">
        <v>505</v>
      </c>
      <c r="C142" s="433" t="s">
        <v>595</v>
      </c>
    </row>
    <row r="143" spans="1:3">
      <c r="A143" s="459">
        <v>9.2200000000000006</v>
      </c>
      <c r="B143" s="432" t="s">
        <v>506</v>
      </c>
      <c r="C143" s="433" t="s">
        <v>596</v>
      </c>
    </row>
    <row r="144" spans="1:3" ht="24">
      <c r="A144" s="459">
        <v>9.23</v>
      </c>
      <c r="B144" s="432" t="s">
        <v>507</v>
      </c>
      <c r="C144" s="433" t="s">
        <v>597</v>
      </c>
    </row>
    <row r="145" spans="1:3" ht="24">
      <c r="A145" s="459">
        <v>9.24</v>
      </c>
      <c r="B145" s="432" t="s">
        <v>508</v>
      </c>
      <c r="C145" s="433" t="s">
        <v>598</v>
      </c>
    </row>
    <row r="146" spans="1:3">
      <c r="A146" s="459">
        <v>9.2500000000000107</v>
      </c>
      <c r="B146" s="432" t="s">
        <v>509</v>
      </c>
      <c r="C146" s="433" t="s">
        <v>599</v>
      </c>
    </row>
    <row r="147" spans="1:3" ht="24">
      <c r="A147" s="459">
        <v>9.2600000000000193</v>
      </c>
      <c r="B147" s="432" t="s">
        <v>600</v>
      </c>
      <c r="C147" s="458" t="s">
        <v>601</v>
      </c>
    </row>
    <row r="148" spans="1:3" s="293" customFormat="1" ht="24">
      <c r="A148" s="459">
        <v>9.2700000000000298</v>
      </c>
      <c r="B148" s="432" t="s">
        <v>88</v>
      </c>
      <c r="C148" s="458" t="s">
        <v>652</v>
      </c>
    </row>
    <row r="149" spans="1:3" s="293" customFormat="1">
      <c r="A149" s="438"/>
      <c r="B149" s="792" t="s">
        <v>603</v>
      </c>
      <c r="C149" s="793"/>
    </row>
    <row r="150" spans="1:3" s="293" customFormat="1">
      <c r="A150" s="437">
        <v>1</v>
      </c>
      <c r="B150" s="794" t="s">
        <v>897</v>
      </c>
      <c r="C150" s="795"/>
    </row>
    <row r="151" spans="1:3" s="293" customFormat="1">
      <c r="A151" s="437">
        <v>2</v>
      </c>
      <c r="B151" s="794" t="s">
        <v>653</v>
      </c>
      <c r="C151" s="795"/>
    </row>
    <row r="152" spans="1:3" s="293" customFormat="1">
      <c r="A152" s="437">
        <v>3</v>
      </c>
      <c r="B152" s="794" t="s">
        <v>650</v>
      </c>
      <c r="C152" s="795"/>
    </row>
    <row r="153" spans="1:3" s="293" customFormat="1">
      <c r="A153" s="438"/>
      <c r="B153" s="792" t="s">
        <v>604</v>
      </c>
      <c r="C153" s="793"/>
    </row>
    <row r="154" spans="1:3" s="293" customFormat="1">
      <c r="A154" s="437">
        <v>1</v>
      </c>
      <c r="B154" s="800" t="s">
        <v>896</v>
      </c>
      <c r="C154" s="801"/>
    </row>
    <row r="155" spans="1:3" s="293" customFormat="1">
      <c r="A155" s="437">
        <v>2</v>
      </c>
      <c r="B155" s="432" t="s">
        <v>833</v>
      </c>
      <c r="C155" s="513" t="s">
        <v>962</v>
      </c>
    </row>
    <row r="156" spans="1:3" ht="24">
      <c r="A156" s="437">
        <v>3</v>
      </c>
      <c r="B156" s="432" t="s">
        <v>832</v>
      </c>
      <c r="C156" s="456" t="s">
        <v>895</v>
      </c>
    </row>
    <row r="157" spans="1:3">
      <c r="A157" s="437">
        <v>4</v>
      </c>
      <c r="B157" s="432" t="s">
        <v>479</v>
      </c>
      <c r="C157" s="432" t="s">
        <v>913</v>
      </c>
    </row>
    <row r="158" spans="1:3" ht="24.9" customHeight="1">
      <c r="A158" s="438"/>
      <c r="B158" s="792" t="s">
        <v>605</v>
      </c>
      <c r="C158" s="793"/>
    </row>
    <row r="159" spans="1:3" ht="36">
      <c r="A159" s="437"/>
      <c r="B159" s="432" t="s">
        <v>884</v>
      </c>
      <c r="C159" s="514" t="s">
        <v>963</v>
      </c>
    </row>
    <row r="160" spans="1:3">
      <c r="A160" s="438"/>
      <c r="B160" s="792" t="s">
        <v>606</v>
      </c>
      <c r="C160" s="793"/>
    </row>
    <row r="161" spans="1:3" ht="39" customHeight="1">
      <c r="A161" s="438"/>
      <c r="B161" s="794" t="s">
        <v>894</v>
      </c>
      <c r="C161" s="795"/>
    </row>
    <row r="162" spans="1:3">
      <c r="A162" s="438" t="s">
        <v>607</v>
      </c>
      <c r="B162" s="457" t="s">
        <v>517</v>
      </c>
      <c r="C162" s="449" t="s">
        <v>608</v>
      </c>
    </row>
    <row r="163" spans="1:3">
      <c r="A163" s="438" t="s">
        <v>356</v>
      </c>
      <c r="B163" s="454" t="s">
        <v>518</v>
      </c>
      <c r="C163" s="456" t="s">
        <v>893</v>
      </c>
    </row>
    <row r="164" spans="1:3" ht="24">
      <c r="A164" s="438" t="s">
        <v>363</v>
      </c>
      <c r="B164" s="449" t="s">
        <v>519</v>
      </c>
      <c r="C164" s="456" t="s">
        <v>609</v>
      </c>
    </row>
    <row r="165" spans="1:3">
      <c r="A165" s="438" t="s">
        <v>610</v>
      </c>
      <c r="B165" s="454" t="s">
        <v>520</v>
      </c>
      <c r="C165" s="455" t="s">
        <v>611</v>
      </c>
    </row>
    <row r="166" spans="1:3" ht="24">
      <c r="A166" s="438" t="s">
        <v>612</v>
      </c>
      <c r="B166" s="454" t="s">
        <v>848</v>
      </c>
      <c r="C166" s="448" t="s">
        <v>892</v>
      </c>
    </row>
    <row r="167" spans="1:3" ht="24">
      <c r="A167" s="438" t="s">
        <v>364</v>
      </c>
      <c r="B167" s="454" t="s">
        <v>521</v>
      </c>
      <c r="C167" s="448" t="s">
        <v>614</v>
      </c>
    </row>
    <row r="168" spans="1:3" ht="24">
      <c r="A168" s="438" t="s">
        <v>613</v>
      </c>
      <c r="B168" s="452" t="s">
        <v>524</v>
      </c>
      <c r="C168" s="453" t="s">
        <v>621</v>
      </c>
    </row>
    <row r="169" spans="1:3" ht="24">
      <c r="A169" s="438" t="s">
        <v>615</v>
      </c>
      <c r="B169" s="452" t="s">
        <v>522</v>
      </c>
      <c r="C169" s="448" t="s">
        <v>617</v>
      </c>
    </row>
    <row r="170" spans="1:3" ht="26.4" customHeight="1">
      <c r="A170" s="438" t="s">
        <v>616</v>
      </c>
      <c r="B170" s="452" t="s">
        <v>523</v>
      </c>
      <c r="C170" s="453" t="s">
        <v>619</v>
      </c>
    </row>
    <row r="171" spans="1:3" ht="24">
      <c r="A171" s="438" t="s">
        <v>618</v>
      </c>
      <c r="B171" s="433" t="s">
        <v>525</v>
      </c>
      <c r="C171" s="453" t="s">
        <v>623</v>
      </c>
    </row>
    <row r="172" spans="1:3" ht="24">
      <c r="A172" s="438" t="s">
        <v>620</v>
      </c>
      <c r="B172" s="452" t="s">
        <v>526</v>
      </c>
      <c r="C172" s="451" t="s">
        <v>624</v>
      </c>
    </row>
    <row r="173" spans="1:3">
      <c r="A173" s="438" t="s">
        <v>622</v>
      </c>
      <c r="B173" s="450" t="s">
        <v>527</v>
      </c>
      <c r="C173" s="449" t="s">
        <v>625</v>
      </c>
    </row>
    <row r="174" spans="1:3" ht="24">
      <c r="A174" s="438"/>
      <c r="B174" s="448" t="s">
        <v>891</v>
      </c>
      <c r="C174" s="433" t="s">
        <v>626</v>
      </c>
    </row>
    <row r="175" spans="1:3" ht="24">
      <c r="A175" s="438"/>
      <c r="B175" s="448" t="s">
        <v>890</v>
      </c>
      <c r="C175" s="433" t="s">
        <v>627</v>
      </c>
    </row>
    <row r="176" spans="1:3" ht="24">
      <c r="A176" s="438"/>
      <c r="B176" s="448" t="s">
        <v>889</v>
      </c>
      <c r="C176" s="433" t="s">
        <v>628</v>
      </c>
    </row>
    <row r="177" spans="1:3">
      <c r="A177" s="438"/>
      <c r="B177" s="792" t="s">
        <v>629</v>
      </c>
      <c r="C177" s="793"/>
    </row>
    <row r="178" spans="1:3">
      <c r="A178" s="438"/>
      <c r="B178" s="794" t="s">
        <v>888</v>
      </c>
      <c r="C178" s="795"/>
    </row>
    <row r="179" spans="1:3">
      <c r="A179" s="437">
        <v>1</v>
      </c>
      <c r="B179" s="433" t="s">
        <v>531</v>
      </c>
      <c r="C179" s="433" t="s">
        <v>531</v>
      </c>
    </row>
    <row r="180" spans="1:3" ht="24">
      <c r="A180" s="437">
        <v>2</v>
      </c>
      <c r="B180" s="433" t="s">
        <v>630</v>
      </c>
      <c r="C180" s="433" t="s">
        <v>631</v>
      </c>
    </row>
    <row r="181" spans="1:3">
      <c r="A181" s="437">
        <v>3</v>
      </c>
      <c r="B181" s="433" t="s">
        <v>533</v>
      </c>
      <c r="C181" s="433" t="s">
        <v>632</v>
      </c>
    </row>
    <row r="182" spans="1:3" ht="24">
      <c r="A182" s="437">
        <v>4</v>
      </c>
      <c r="B182" s="433" t="s">
        <v>534</v>
      </c>
      <c r="C182" s="433" t="s">
        <v>633</v>
      </c>
    </row>
    <row r="183" spans="1:3" ht="24">
      <c r="A183" s="437">
        <v>5</v>
      </c>
      <c r="B183" s="433" t="s">
        <v>535</v>
      </c>
      <c r="C183" s="433" t="s">
        <v>655</v>
      </c>
    </row>
    <row r="184" spans="1:3" ht="48">
      <c r="A184" s="437">
        <v>6</v>
      </c>
      <c r="B184" s="433" t="s">
        <v>536</v>
      </c>
      <c r="C184" s="433" t="s">
        <v>634</v>
      </c>
    </row>
    <row r="185" spans="1:3">
      <c r="A185" s="438"/>
      <c r="B185" s="792" t="s">
        <v>635</v>
      </c>
      <c r="C185" s="793"/>
    </row>
    <row r="186" spans="1:3">
      <c r="A186" s="438"/>
      <c r="B186" s="803" t="s">
        <v>887</v>
      </c>
      <c r="C186" s="800"/>
    </row>
    <row r="187" spans="1:3" ht="24">
      <c r="A187" s="438">
        <v>1.1000000000000001</v>
      </c>
      <c r="B187" s="447" t="s">
        <v>541</v>
      </c>
      <c r="C187" s="433" t="s">
        <v>636</v>
      </c>
    </row>
    <row r="188" spans="1:3" ht="50.1" customHeight="1">
      <c r="A188" s="438" t="s">
        <v>145</v>
      </c>
      <c r="B188" s="434" t="s">
        <v>542</v>
      </c>
      <c r="C188" s="433" t="s">
        <v>637</v>
      </c>
    </row>
    <row r="189" spans="1:3">
      <c r="A189" s="438" t="s">
        <v>543</v>
      </c>
      <c r="B189" s="446" t="s">
        <v>544</v>
      </c>
      <c r="C189" s="804" t="s">
        <v>886</v>
      </c>
    </row>
    <row r="190" spans="1:3">
      <c r="A190" s="438" t="s">
        <v>545</v>
      </c>
      <c r="B190" s="446" t="s">
        <v>546</v>
      </c>
      <c r="C190" s="804"/>
    </row>
    <row r="191" spans="1:3">
      <c r="A191" s="438" t="s">
        <v>547</v>
      </c>
      <c r="B191" s="446" t="s">
        <v>548</v>
      </c>
      <c r="C191" s="804"/>
    </row>
    <row r="192" spans="1:3">
      <c r="A192" s="438" t="s">
        <v>549</v>
      </c>
      <c r="B192" s="446" t="s">
        <v>550</v>
      </c>
      <c r="C192" s="804"/>
    </row>
    <row r="193" spans="1:4" ht="25.5" customHeight="1">
      <c r="A193" s="438">
        <v>1.2</v>
      </c>
      <c r="B193" s="445" t="s">
        <v>862</v>
      </c>
      <c r="C193" s="515" t="s">
        <v>964</v>
      </c>
    </row>
    <row r="194" spans="1:4" ht="24">
      <c r="A194" s="438" t="s">
        <v>552</v>
      </c>
      <c r="B194" s="440" t="s">
        <v>553</v>
      </c>
      <c r="C194" s="443" t="s">
        <v>638</v>
      </c>
    </row>
    <row r="195" spans="1:4" ht="24">
      <c r="A195" s="438" t="s">
        <v>554</v>
      </c>
      <c r="B195" s="444" t="s">
        <v>555</v>
      </c>
      <c r="C195" s="443" t="s">
        <v>639</v>
      </c>
    </row>
    <row r="196" spans="1:4" ht="26.1" customHeight="1">
      <c r="A196" s="438" t="s">
        <v>556</v>
      </c>
      <c r="B196" s="442" t="s">
        <v>557</v>
      </c>
      <c r="C196" s="432" t="s">
        <v>640</v>
      </c>
    </row>
    <row r="197" spans="1:4" ht="24">
      <c r="A197" s="438" t="s">
        <v>558</v>
      </c>
      <c r="B197" s="441" t="s">
        <v>559</v>
      </c>
      <c r="C197" s="432" t="s">
        <v>641</v>
      </c>
      <c r="D197" s="294"/>
    </row>
    <row r="198" spans="1:4" ht="12.6">
      <c r="A198" s="438">
        <v>1.4</v>
      </c>
      <c r="B198" s="440" t="s">
        <v>648</v>
      </c>
      <c r="C198" s="439" t="s">
        <v>642</v>
      </c>
      <c r="D198" s="295"/>
    </row>
    <row r="199" spans="1:4" ht="12.6">
      <c r="A199" s="438">
        <v>1.5</v>
      </c>
      <c r="B199" s="440" t="s">
        <v>649</v>
      </c>
      <c r="C199" s="439" t="s">
        <v>642</v>
      </c>
      <c r="D199" s="296"/>
    </row>
    <row r="200" spans="1:4" ht="12.6">
      <c r="A200" s="438"/>
      <c r="B200" s="805" t="s">
        <v>643</v>
      </c>
      <c r="C200" s="805"/>
      <c r="D200" s="296"/>
    </row>
    <row r="201" spans="1:4" ht="12.6">
      <c r="A201" s="438"/>
      <c r="B201" s="803" t="s">
        <v>885</v>
      </c>
      <c r="C201" s="803"/>
      <c r="D201" s="296"/>
    </row>
    <row r="202" spans="1:4" ht="12.6">
      <c r="A202" s="437"/>
      <c r="B202" s="432" t="s">
        <v>884</v>
      </c>
      <c r="C202" s="514" t="s">
        <v>962</v>
      </c>
      <c r="D202" s="296"/>
    </row>
    <row r="203" spans="1:4" ht="12.6">
      <c r="A203" s="438"/>
      <c r="B203" s="805" t="s">
        <v>644</v>
      </c>
      <c r="C203" s="805"/>
      <c r="D203" s="297"/>
    </row>
    <row r="204" spans="1:4" ht="12.6">
      <c r="A204" s="437"/>
      <c r="B204" s="803" t="s">
        <v>883</v>
      </c>
      <c r="C204" s="803"/>
      <c r="D204" s="298"/>
    </row>
    <row r="205" spans="1:4" ht="12.6">
      <c r="B205" s="805" t="s">
        <v>681</v>
      </c>
      <c r="C205" s="805"/>
      <c r="D205" s="299"/>
    </row>
    <row r="206" spans="1:4" ht="24">
      <c r="A206" s="434">
        <v>1</v>
      </c>
      <c r="B206" s="432" t="s">
        <v>657</v>
      </c>
      <c r="C206" s="432" t="s">
        <v>669</v>
      </c>
      <c r="D206" s="298"/>
    </row>
    <row r="207" spans="1:4" ht="18" customHeight="1">
      <c r="A207" s="434">
        <v>2</v>
      </c>
      <c r="B207" s="432" t="s">
        <v>658</v>
      </c>
      <c r="C207" s="432" t="s">
        <v>670</v>
      </c>
      <c r="D207" s="299"/>
    </row>
    <row r="208" spans="1:4" ht="24">
      <c r="A208" s="434">
        <v>3</v>
      </c>
      <c r="B208" s="432" t="s">
        <v>659</v>
      </c>
      <c r="C208" s="432" t="s">
        <v>671</v>
      </c>
      <c r="D208" s="300"/>
    </row>
    <row r="209" spans="1:4" ht="12.6">
      <c r="A209" s="434">
        <v>4</v>
      </c>
      <c r="B209" s="432" t="s">
        <v>660</v>
      </c>
      <c r="C209" s="432" t="s">
        <v>672</v>
      </c>
      <c r="D209" s="300"/>
    </row>
    <row r="210" spans="1:4" ht="24">
      <c r="A210" s="434">
        <v>5</v>
      </c>
      <c r="B210" s="432" t="s">
        <v>661</v>
      </c>
      <c r="C210" s="432" t="s">
        <v>673</v>
      </c>
    </row>
    <row r="211" spans="1:4" ht="24.6" customHeight="1">
      <c r="A211" s="434">
        <v>6</v>
      </c>
      <c r="B211" s="432" t="s">
        <v>662</v>
      </c>
      <c r="C211" s="432" t="s">
        <v>674</v>
      </c>
    </row>
    <row r="212" spans="1:4" ht="24">
      <c r="A212" s="434">
        <v>7</v>
      </c>
      <c r="B212" s="432" t="s">
        <v>663</v>
      </c>
      <c r="C212" s="432" t="s">
        <v>675</v>
      </c>
    </row>
    <row r="213" spans="1:4">
      <c r="A213" s="434">
        <v>7.1</v>
      </c>
      <c r="B213" s="436" t="s">
        <v>664</v>
      </c>
      <c r="C213" s="432" t="s">
        <v>676</v>
      </c>
    </row>
    <row r="214" spans="1:4">
      <c r="A214" s="434">
        <v>7.2</v>
      </c>
      <c r="B214" s="436" t="s">
        <v>665</v>
      </c>
      <c r="C214" s="432" t="s">
        <v>677</v>
      </c>
    </row>
    <row r="215" spans="1:4">
      <c r="A215" s="434">
        <v>7.3</v>
      </c>
      <c r="B215" s="435" t="s">
        <v>666</v>
      </c>
      <c r="C215" s="432" t="s">
        <v>678</v>
      </c>
    </row>
    <row r="216" spans="1:4" ht="39.6" customHeight="1">
      <c r="A216" s="434">
        <v>8</v>
      </c>
      <c r="B216" s="432" t="s">
        <v>667</v>
      </c>
      <c r="C216" s="432" t="s">
        <v>679</v>
      </c>
    </row>
    <row r="217" spans="1:4">
      <c r="A217" s="434">
        <v>9</v>
      </c>
      <c r="B217" s="432" t="s">
        <v>668</v>
      </c>
      <c r="C217" s="432" t="s">
        <v>680</v>
      </c>
    </row>
    <row r="218" spans="1:4" ht="24">
      <c r="A218" s="471">
        <v>10.1</v>
      </c>
      <c r="B218" s="472" t="s">
        <v>688</v>
      </c>
      <c r="C218" s="464" t="s">
        <v>689</v>
      </c>
    </row>
    <row r="219" spans="1:4">
      <c r="A219" s="806"/>
      <c r="B219" s="473" t="s">
        <v>875</v>
      </c>
      <c r="C219" s="432" t="s">
        <v>882</v>
      </c>
    </row>
    <row r="220" spans="1:4">
      <c r="A220" s="806"/>
      <c r="B220" s="433" t="s">
        <v>540</v>
      </c>
      <c r="C220" s="432" t="s">
        <v>881</v>
      </c>
    </row>
    <row r="221" spans="1:4">
      <c r="A221" s="806"/>
      <c r="B221" s="433" t="s">
        <v>874</v>
      </c>
      <c r="C221" s="515" t="s">
        <v>965</v>
      </c>
    </row>
    <row r="222" spans="1:4">
      <c r="A222" s="806"/>
      <c r="B222" s="433" t="s">
        <v>682</v>
      </c>
      <c r="C222" s="432" t="s">
        <v>880</v>
      </c>
    </row>
    <row r="223" spans="1:4" ht="24">
      <c r="A223" s="806"/>
      <c r="B223" s="433" t="s">
        <v>686</v>
      </c>
      <c r="C223" s="433" t="s">
        <v>879</v>
      </c>
    </row>
    <row r="224" spans="1:4" ht="36">
      <c r="A224" s="806"/>
      <c r="B224" s="433" t="s">
        <v>685</v>
      </c>
      <c r="C224" s="432" t="s">
        <v>878</v>
      </c>
    </row>
    <row r="225" spans="1:3">
      <c r="A225" s="806"/>
      <c r="B225" s="433" t="s">
        <v>914</v>
      </c>
      <c r="C225" s="432" t="s">
        <v>877</v>
      </c>
    </row>
    <row r="226" spans="1:3" ht="24">
      <c r="A226" s="806"/>
      <c r="B226" s="433" t="s">
        <v>915</v>
      </c>
      <c r="C226" s="432" t="s">
        <v>876</v>
      </c>
    </row>
    <row r="227" spans="1:3" ht="12.6">
      <c r="A227" s="465"/>
      <c r="B227" s="466"/>
      <c r="C227" s="467"/>
    </row>
    <row r="228" spans="1:3" ht="12.6">
      <c r="A228" s="465"/>
      <c r="B228" s="467"/>
      <c r="C228" s="467"/>
    </row>
    <row r="229" spans="1:3" ht="12.6">
      <c r="A229" s="465"/>
      <c r="B229" s="467"/>
      <c r="C229" s="467"/>
    </row>
    <row r="230" spans="1:3" ht="12.6">
      <c r="A230" s="465"/>
      <c r="B230" s="468"/>
      <c r="C230" s="467"/>
    </row>
    <row r="231" spans="1:3">
      <c r="A231" s="802"/>
      <c r="B231" s="469"/>
      <c r="C231" s="467"/>
    </row>
    <row r="232" spans="1:3">
      <c r="A232" s="802"/>
      <c r="B232" s="469"/>
      <c r="C232" s="467"/>
    </row>
    <row r="233" spans="1:3">
      <c r="A233" s="802"/>
      <c r="B233" s="469"/>
      <c r="C233" s="467"/>
    </row>
    <row r="234" spans="1:3">
      <c r="A234" s="802"/>
      <c r="B234" s="469"/>
      <c r="C234" s="470"/>
    </row>
    <row r="235" spans="1:3" ht="40.5" customHeight="1">
      <c r="A235" s="802"/>
      <c r="B235" s="469"/>
      <c r="C235" s="467"/>
    </row>
    <row r="236" spans="1:3" ht="24" customHeight="1">
      <c r="A236" s="802"/>
      <c r="B236" s="469"/>
      <c r="C236" s="467"/>
    </row>
    <row r="237" spans="1:3">
      <c r="A237" s="802"/>
      <c r="B237" s="469"/>
      <c r="C237" s="467"/>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H45"/>
  <sheetViews>
    <sheetView topLeftCell="B1" zoomScale="80" zoomScaleNormal="80" workbookViewId="0">
      <selection activeCell="L17" sqref="L17"/>
    </sheetView>
  </sheetViews>
  <sheetFormatPr defaultRowHeight="14.4"/>
  <cols>
    <col min="2" max="2" width="66.6640625" customWidth="1"/>
    <col min="3" max="8" width="17.88671875" customWidth="1"/>
  </cols>
  <sheetData>
    <row r="1" spans="1:8">
      <c r="A1" s="10" t="s">
        <v>96</v>
      </c>
      <c r="B1" s="224" t="str">
        <f>Info!C2</f>
        <v>სს პეივ ბანკ ჯორჯია</v>
      </c>
      <c r="C1" s="9"/>
      <c r="D1" s="1"/>
      <c r="E1" s="1"/>
      <c r="F1" s="9"/>
      <c r="G1" s="1"/>
    </row>
    <row r="2" spans="1:8">
      <c r="A2" s="10" t="s">
        <v>97</v>
      </c>
      <c r="B2" s="245">
        <f>'1. key ratios'!B2</f>
        <v>45930</v>
      </c>
      <c r="C2" s="9"/>
      <c r="D2" s="1"/>
      <c r="E2" s="1"/>
      <c r="F2" s="9"/>
      <c r="G2" s="1"/>
    </row>
    <row r="3" spans="1:8" ht="15" thickBot="1">
      <c r="A3" s="10"/>
      <c r="B3" s="9"/>
      <c r="C3" s="9"/>
      <c r="D3" s="1"/>
      <c r="E3" s="1"/>
      <c r="F3" s="9"/>
      <c r="G3" s="1"/>
    </row>
    <row r="4" spans="1:8">
      <c r="A4" s="874" t="s">
        <v>25</v>
      </c>
      <c r="B4" s="877" t="s">
        <v>154</v>
      </c>
      <c r="C4" s="686" t="s">
        <v>102</v>
      </c>
      <c r="D4" s="686"/>
      <c r="E4" s="686"/>
      <c r="F4" s="686" t="s">
        <v>103</v>
      </c>
      <c r="G4" s="686"/>
      <c r="H4" s="687"/>
    </row>
    <row r="5" spans="1:8" ht="15.6" customHeight="1">
      <c r="A5" s="875"/>
      <c r="B5" s="878"/>
      <c r="C5" s="855" t="s">
        <v>26</v>
      </c>
      <c r="D5" s="855" t="s">
        <v>77</v>
      </c>
      <c r="E5" s="855" t="s">
        <v>66</v>
      </c>
      <c r="F5" s="855" t="s">
        <v>26</v>
      </c>
      <c r="G5" s="855" t="s">
        <v>77</v>
      </c>
      <c r="H5" s="856" t="s">
        <v>66</v>
      </c>
    </row>
    <row r="6" spans="1:8">
      <c r="A6" s="876">
        <v>1</v>
      </c>
      <c r="B6" s="879" t="s">
        <v>743</v>
      </c>
      <c r="C6" s="583">
        <f>SUM(C7:C12)</f>
        <v>528883.37000000011</v>
      </c>
      <c r="D6" s="583">
        <f>SUM(D7:D12)</f>
        <v>541252.14999999991</v>
      </c>
      <c r="E6" s="862">
        <f>C6+D6</f>
        <v>1070135.52</v>
      </c>
      <c r="F6" s="583">
        <f>SUM(F7:F12)</f>
        <v>336780.85000000044</v>
      </c>
      <c r="G6" s="583">
        <f>SUM(G7:G12)</f>
        <v>19.03000000002794</v>
      </c>
      <c r="H6" s="863">
        <f>F6+G6</f>
        <v>336799.88000000047</v>
      </c>
    </row>
    <row r="7" spans="1:8">
      <c r="A7" s="876">
        <v>1.1000000000000001</v>
      </c>
      <c r="B7" s="880" t="s">
        <v>697</v>
      </c>
      <c r="C7" s="583"/>
      <c r="D7" s="583"/>
      <c r="E7" s="862">
        <f t="shared" ref="E7:E45" si="0">C7+D7</f>
        <v>0</v>
      </c>
      <c r="F7" s="583"/>
      <c r="G7" s="583"/>
      <c r="H7" s="863">
        <f t="shared" ref="H7:H44" si="1">F7+G7</f>
        <v>0</v>
      </c>
    </row>
    <row r="8" spans="1:8" ht="20.399999999999999">
      <c r="A8" s="876">
        <v>1.2</v>
      </c>
      <c r="B8" s="880" t="s">
        <v>744</v>
      </c>
      <c r="C8" s="583"/>
      <c r="D8" s="583"/>
      <c r="E8" s="862">
        <f t="shared" si="0"/>
        <v>0</v>
      </c>
      <c r="F8" s="583"/>
      <c r="G8" s="583"/>
      <c r="H8" s="863">
        <f t="shared" si="1"/>
        <v>0</v>
      </c>
    </row>
    <row r="9" spans="1:8" ht="21.6" customHeight="1">
      <c r="A9" s="876">
        <v>1.3</v>
      </c>
      <c r="B9" s="881" t="s">
        <v>745</v>
      </c>
      <c r="C9" s="583"/>
      <c r="D9" s="583"/>
      <c r="E9" s="862">
        <f t="shared" si="0"/>
        <v>0</v>
      </c>
      <c r="F9" s="583"/>
      <c r="G9" s="583"/>
      <c r="H9" s="863">
        <f t="shared" si="1"/>
        <v>0</v>
      </c>
    </row>
    <row r="10" spans="1:8" ht="20.399999999999999">
      <c r="A10" s="876">
        <v>1.4</v>
      </c>
      <c r="B10" s="881" t="s">
        <v>701</v>
      </c>
      <c r="C10" s="583">
        <v>0</v>
      </c>
      <c r="D10" s="583">
        <v>244170.86000000002</v>
      </c>
      <c r="E10" s="862">
        <f t="shared" si="0"/>
        <v>244170.86000000002</v>
      </c>
      <c r="F10" s="583">
        <v>0</v>
      </c>
      <c r="G10" s="583">
        <v>0</v>
      </c>
      <c r="H10" s="863">
        <f t="shared" si="1"/>
        <v>0</v>
      </c>
    </row>
    <row r="11" spans="1:8">
      <c r="A11" s="876">
        <v>1.5</v>
      </c>
      <c r="B11" s="881" t="s">
        <v>704</v>
      </c>
      <c r="C11" s="583">
        <v>528883.37000000011</v>
      </c>
      <c r="D11" s="583">
        <v>297081.28999999992</v>
      </c>
      <c r="E11" s="862">
        <f t="shared" si="0"/>
        <v>825964.66</v>
      </c>
      <c r="F11" s="583">
        <v>336780.85000000044</v>
      </c>
      <c r="G11" s="583">
        <v>19.03000000002794</v>
      </c>
      <c r="H11" s="863">
        <f t="shared" si="1"/>
        <v>336799.88000000047</v>
      </c>
    </row>
    <row r="12" spans="1:8">
      <c r="A12" s="876">
        <v>1.6</v>
      </c>
      <c r="B12" s="882" t="s">
        <v>88</v>
      </c>
      <c r="C12" s="583"/>
      <c r="D12" s="583"/>
      <c r="E12" s="862">
        <f t="shared" si="0"/>
        <v>0</v>
      </c>
      <c r="F12" s="583"/>
      <c r="G12" s="583"/>
      <c r="H12" s="863">
        <f t="shared" si="1"/>
        <v>0</v>
      </c>
    </row>
    <row r="13" spans="1:8">
      <c r="A13" s="876">
        <v>2</v>
      </c>
      <c r="B13" s="883" t="s">
        <v>746</v>
      </c>
      <c r="C13" s="583">
        <f>SUM(C14:C17)</f>
        <v>0</v>
      </c>
      <c r="D13" s="583">
        <f>SUM(D14:D17)</f>
        <v>-33016.480000000003</v>
      </c>
      <c r="E13" s="862">
        <f t="shared" si="0"/>
        <v>-33016.480000000003</v>
      </c>
      <c r="F13" s="583">
        <f>SUM(F14:F17)</f>
        <v>0</v>
      </c>
      <c r="G13" s="583">
        <f>SUM(G14:G17)</f>
        <v>0</v>
      </c>
      <c r="H13" s="863">
        <f t="shared" si="1"/>
        <v>0</v>
      </c>
    </row>
    <row r="14" spans="1:8">
      <c r="A14" s="876">
        <v>2.1</v>
      </c>
      <c r="B14" s="881" t="s">
        <v>747</v>
      </c>
      <c r="C14" s="583"/>
      <c r="D14" s="583"/>
      <c r="E14" s="862">
        <f t="shared" si="0"/>
        <v>0</v>
      </c>
      <c r="F14" s="583"/>
      <c r="G14" s="583"/>
      <c r="H14" s="863">
        <f t="shared" si="1"/>
        <v>0</v>
      </c>
    </row>
    <row r="15" spans="1:8" ht="24.6" customHeight="1">
      <c r="A15" s="876">
        <v>2.2000000000000002</v>
      </c>
      <c r="B15" s="881" t="s">
        <v>748</v>
      </c>
      <c r="C15" s="583"/>
      <c r="D15" s="583"/>
      <c r="E15" s="862">
        <f t="shared" si="0"/>
        <v>0</v>
      </c>
      <c r="F15" s="583"/>
      <c r="G15" s="583"/>
      <c r="H15" s="863">
        <f t="shared" si="1"/>
        <v>0</v>
      </c>
    </row>
    <row r="16" spans="1:8" ht="20.399999999999999" customHeight="1">
      <c r="A16" s="876">
        <v>2.2999999999999998</v>
      </c>
      <c r="B16" s="881" t="s">
        <v>749</v>
      </c>
      <c r="C16" s="583">
        <v>0</v>
      </c>
      <c r="D16" s="583">
        <v>-33016.480000000003</v>
      </c>
      <c r="E16" s="862">
        <f t="shared" si="0"/>
        <v>-33016.480000000003</v>
      </c>
      <c r="F16" s="583">
        <v>0</v>
      </c>
      <c r="G16" s="583">
        <v>0</v>
      </c>
      <c r="H16" s="863">
        <f t="shared" si="1"/>
        <v>0</v>
      </c>
    </row>
    <row r="17" spans="1:8">
      <c r="A17" s="876">
        <v>2.4</v>
      </c>
      <c r="B17" s="881" t="s">
        <v>750</v>
      </c>
      <c r="C17" s="583"/>
      <c r="D17" s="583"/>
      <c r="E17" s="862">
        <f t="shared" si="0"/>
        <v>0</v>
      </c>
      <c r="F17" s="583"/>
      <c r="G17" s="583"/>
      <c r="H17" s="863">
        <f t="shared" si="1"/>
        <v>0</v>
      </c>
    </row>
    <row r="18" spans="1:8">
      <c r="A18" s="876">
        <v>3</v>
      </c>
      <c r="B18" s="883" t="s">
        <v>751</v>
      </c>
      <c r="C18" s="583">
        <v>0</v>
      </c>
      <c r="D18" s="583">
        <v>0</v>
      </c>
      <c r="E18" s="862">
        <f t="shared" si="0"/>
        <v>0</v>
      </c>
      <c r="F18" s="583">
        <v>0</v>
      </c>
      <c r="G18" s="583">
        <v>0</v>
      </c>
      <c r="H18" s="863">
        <f t="shared" si="1"/>
        <v>0</v>
      </c>
    </row>
    <row r="19" spans="1:8">
      <c r="A19" s="876">
        <v>4</v>
      </c>
      <c r="B19" s="883" t="s">
        <v>752</v>
      </c>
      <c r="C19" s="583">
        <v>1290570.96</v>
      </c>
      <c r="D19" s="583">
        <v>1558920.7199999997</v>
      </c>
      <c r="E19" s="862">
        <f t="shared" si="0"/>
        <v>2849491.6799999997</v>
      </c>
      <c r="F19" s="583">
        <v>0</v>
      </c>
      <c r="G19" s="583">
        <v>0</v>
      </c>
      <c r="H19" s="863">
        <f t="shared" si="1"/>
        <v>0</v>
      </c>
    </row>
    <row r="20" spans="1:8">
      <c r="A20" s="876">
        <v>5</v>
      </c>
      <c r="B20" s="883" t="s">
        <v>753</v>
      </c>
      <c r="C20" s="583">
        <v>-21382.589999999997</v>
      </c>
      <c r="D20" s="583">
        <v>-953917.93</v>
      </c>
      <c r="E20" s="862">
        <f t="shared" si="0"/>
        <v>-975300.52</v>
      </c>
      <c r="F20" s="583">
        <v>0</v>
      </c>
      <c r="G20" s="583">
        <v>0</v>
      </c>
      <c r="H20" s="863">
        <f t="shared" si="1"/>
        <v>0</v>
      </c>
    </row>
    <row r="21" spans="1:8" ht="38.4" customHeight="1">
      <c r="A21" s="876">
        <v>6</v>
      </c>
      <c r="B21" s="883" t="s">
        <v>754</v>
      </c>
      <c r="C21" s="583">
        <v>0</v>
      </c>
      <c r="D21" s="583">
        <v>0</v>
      </c>
      <c r="E21" s="862">
        <f t="shared" si="0"/>
        <v>0</v>
      </c>
      <c r="F21" s="583">
        <v>0</v>
      </c>
      <c r="G21" s="583">
        <v>0</v>
      </c>
      <c r="H21" s="863">
        <f t="shared" si="1"/>
        <v>0</v>
      </c>
    </row>
    <row r="22" spans="1:8" ht="27.6" customHeight="1">
      <c r="A22" s="876">
        <v>7</v>
      </c>
      <c r="B22" s="883" t="s">
        <v>755</v>
      </c>
      <c r="C22" s="583"/>
      <c r="D22" s="583"/>
      <c r="E22" s="862">
        <f t="shared" si="0"/>
        <v>0</v>
      </c>
      <c r="F22" s="583"/>
      <c r="G22" s="583"/>
      <c r="H22" s="863">
        <f t="shared" si="1"/>
        <v>0</v>
      </c>
    </row>
    <row r="23" spans="1:8" ht="36.9" customHeight="1">
      <c r="A23" s="876">
        <v>8</v>
      </c>
      <c r="B23" s="884" t="s">
        <v>756</v>
      </c>
      <c r="C23" s="583">
        <v>0</v>
      </c>
      <c r="D23" s="583">
        <v>0</v>
      </c>
      <c r="E23" s="862">
        <f t="shared" si="0"/>
        <v>0</v>
      </c>
      <c r="F23" s="583">
        <v>0</v>
      </c>
      <c r="G23" s="583">
        <v>0</v>
      </c>
      <c r="H23" s="863">
        <f t="shared" si="1"/>
        <v>0</v>
      </c>
    </row>
    <row r="24" spans="1:8" ht="34.5" customHeight="1">
      <c r="A24" s="876">
        <v>9</v>
      </c>
      <c r="B24" s="884" t="s">
        <v>757</v>
      </c>
      <c r="C24" s="583"/>
      <c r="D24" s="583"/>
      <c r="E24" s="862">
        <f t="shared" si="0"/>
        <v>0</v>
      </c>
      <c r="F24" s="583"/>
      <c r="G24" s="583"/>
      <c r="H24" s="863">
        <f t="shared" si="1"/>
        <v>0</v>
      </c>
    </row>
    <row r="25" spans="1:8">
      <c r="A25" s="876">
        <v>10</v>
      </c>
      <c r="B25" s="883" t="s">
        <v>758</v>
      </c>
      <c r="C25" s="583">
        <v>55097.659999999982</v>
      </c>
      <c r="D25" s="583">
        <v>-9175.9900000001144</v>
      </c>
      <c r="E25" s="862">
        <f t="shared" si="0"/>
        <v>45921.669999999867</v>
      </c>
      <c r="F25" s="583">
        <v>-35685.899999999994</v>
      </c>
      <c r="G25" s="583">
        <v>2270.330000000009</v>
      </c>
      <c r="H25" s="863">
        <f t="shared" si="1"/>
        <v>-33415.569999999985</v>
      </c>
    </row>
    <row r="26" spans="1:8" ht="27" customHeight="1">
      <c r="A26" s="876">
        <v>11</v>
      </c>
      <c r="B26" s="885" t="s">
        <v>759</v>
      </c>
      <c r="C26" s="583">
        <v>0</v>
      </c>
      <c r="D26" s="583">
        <v>0</v>
      </c>
      <c r="E26" s="862">
        <f t="shared" si="0"/>
        <v>0</v>
      </c>
      <c r="F26" s="583">
        <v>0</v>
      </c>
      <c r="G26" s="583">
        <v>0</v>
      </c>
      <c r="H26" s="863">
        <f t="shared" si="1"/>
        <v>0</v>
      </c>
    </row>
    <row r="27" spans="1:8">
      <c r="A27" s="876">
        <v>12</v>
      </c>
      <c r="B27" s="883" t="s">
        <v>760</v>
      </c>
      <c r="C27" s="583">
        <v>0.28999999999999998</v>
      </c>
      <c r="D27" s="583">
        <v>553309.46</v>
      </c>
      <c r="E27" s="862">
        <f t="shared" si="0"/>
        <v>553309.75</v>
      </c>
      <c r="F27" s="583">
        <v>0</v>
      </c>
      <c r="G27" s="583">
        <v>136329.47</v>
      </c>
      <c r="H27" s="863">
        <f t="shared" si="1"/>
        <v>136329.47</v>
      </c>
    </row>
    <row r="28" spans="1:8">
      <c r="A28" s="876">
        <v>13</v>
      </c>
      <c r="B28" s="886" t="s">
        <v>761</v>
      </c>
      <c r="C28" s="583">
        <v>-174494.78000000003</v>
      </c>
      <c r="D28" s="583">
        <v>-103649.74000000005</v>
      </c>
      <c r="E28" s="862">
        <f t="shared" si="0"/>
        <v>-278144.52000000008</v>
      </c>
      <c r="F28" s="583">
        <v>-206321.85</v>
      </c>
      <c r="G28" s="583">
        <v>-392467.51000000013</v>
      </c>
      <c r="H28" s="863">
        <f t="shared" si="1"/>
        <v>-598789.3600000001</v>
      </c>
    </row>
    <row r="29" spans="1:8">
      <c r="A29" s="876">
        <v>14</v>
      </c>
      <c r="B29" s="887" t="s">
        <v>762</v>
      </c>
      <c r="C29" s="583">
        <f>SUM(C30:C31)</f>
        <v>-1884766.7599999998</v>
      </c>
      <c r="D29" s="583">
        <f>SUM(D30:D31)</f>
        <v>-526585.47</v>
      </c>
      <c r="E29" s="862">
        <f t="shared" si="0"/>
        <v>-2411352.2299999995</v>
      </c>
      <c r="F29" s="583">
        <f>SUM(F30:F31)</f>
        <v>-214934.74</v>
      </c>
      <c r="G29" s="583">
        <f>SUM(G30:G31)</f>
        <v>0</v>
      </c>
      <c r="H29" s="863">
        <f t="shared" si="1"/>
        <v>-214934.74</v>
      </c>
    </row>
    <row r="30" spans="1:8">
      <c r="A30" s="876">
        <v>14.1</v>
      </c>
      <c r="B30" s="888" t="s">
        <v>763</v>
      </c>
      <c r="C30" s="583">
        <v>-1483200.1099999999</v>
      </c>
      <c r="D30" s="583">
        <v>0</v>
      </c>
      <c r="E30" s="862">
        <f t="shared" si="0"/>
        <v>-1483200.1099999999</v>
      </c>
      <c r="F30" s="583">
        <v>-214934.74</v>
      </c>
      <c r="G30" s="583">
        <v>0</v>
      </c>
      <c r="H30" s="863">
        <f t="shared" si="1"/>
        <v>-214934.74</v>
      </c>
    </row>
    <row r="31" spans="1:8">
      <c r="A31" s="876">
        <v>14.2</v>
      </c>
      <c r="B31" s="888" t="s">
        <v>764</v>
      </c>
      <c r="C31" s="583">
        <v>-401566.64999999997</v>
      </c>
      <c r="D31" s="583">
        <v>-526585.47</v>
      </c>
      <c r="E31" s="862">
        <f t="shared" si="0"/>
        <v>-928152.11999999988</v>
      </c>
      <c r="F31" s="583">
        <v>0</v>
      </c>
      <c r="G31" s="583">
        <v>0</v>
      </c>
      <c r="H31" s="863">
        <f t="shared" si="1"/>
        <v>0</v>
      </c>
    </row>
    <row r="32" spans="1:8">
      <c r="A32" s="876">
        <v>15</v>
      </c>
      <c r="B32" s="889" t="s">
        <v>765</v>
      </c>
      <c r="C32" s="583">
        <v>-15880.92</v>
      </c>
      <c r="D32" s="583">
        <v>0</v>
      </c>
      <c r="E32" s="862">
        <f t="shared" si="0"/>
        <v>-15880.92</v>
      </c>
      <c r="F32" s="583">
        <v>-442.86</v>
      </c>
      <c r="G32" s="583">
        <v>0</v>
      </c>
      <c r="H32" s="863">
        <f t="shared" si="1"/>
        <v>-442.86</v>
      </c>
    </row>
    <row r="33" spans="1:8" ht="22.5" customHeight="1">
      <c r="A33" s="876">
        <v>16</v>
      </c>
      <c r="B33" s="890" t="s">
        <v>766</v>
      </c>
      <c r="C33" s="583"/>
      <c r="D33" s="583"/>
      <c r="E33" s="862">
        <f t="shared" si="0"/>
        <v>0</v>
      </c>
      <c r="F33" s="583"/>
      <c r="G33" s="583"/>
      <c r="H33" s="863">
        <f t="shared" si="1"/>
        <v>0</v>
      </c>
    </row>
    <row r="34" spans="1:8">
      <c r="A34" s="876">
        <v>17</v>
      </c>
      <c r="B34" s="883" t="s">
        <v>767</v>
      </c>
      <c r="C34" s="583">
        <f>SUM(C35:C36)</f>
        <v>0</v>
      </c>
      <c r="D34" s="583">
        <f>SUM(D35:D36)</f>
        <v>0</v>
      </c>
      <c r="E34" s="862">
        <f t="shared" si="0"/>
        <v>0</v>
      </c>
      <c r="F34" s="583">
        <f>SUM(F35:F36)</f>
        <v>0</v>
      </c>
      <c r="G34" s="583">
        <f>SUM(G35:G36)</f>
        <v>0</v>
      </c>
      <c r="H34" s="863">
        <f t="shared" si="1"/>
        <v>0</v>
      </c>
    </row>
    <row r="35" spans="1:8">
      <c r="A35" s="876">
        <v>17.100000000000001</v>
      </c>
      <c r="B35" s="891" t="s">
        <v>768</v>
      </c>
      <c r="C35" s="583"/>
      <c r="D35" s="583"/>
      <c r="E35" s="862">
        <f t="shared" si="0"/>
        <v>0</v>
      </c>
      <c r="F35" s="583"/>
      <c r="G35" s="583"/>
      <c r="H35" s="863">
        <f t="shared" si="1"/>
        <v>0</v>
      </c>
    </row>
    <row r="36" spans="1:8">
      <c r="A36" s="876">
        <v>17.2</v>
      </c>
      <c r="B36" s="888" t="s">
        <v>769</v>
      </c>
      <c r="C36" s="583"/>
      <c r="D36" s="583"/>
      <c r="E36" s="862">
        <f t="shared" si="0"/>
        <v>0</v>
      </c>
      <c r="F36" s="583"/>
      <c r="G36" s="583"/>
      <c r="H36" s="863">
        <f t="shared" si="1"/>
        <v>0</v>
      </c>
    </row>
    <row r="37" spans="1:8" ht="41.4" customHeight="1">
      <c r="A37" s="876">
        <v>18</v>
      </c>
      <c r="B37" s="892" t="s">
        <v>770</v>
      </c>
      <c r="C37" s="583">
        <f>SUM(C38:C39)</f>
        <v>0</v>
      </c>
      <c r="D37" s="583">
        <f>SUM(D38:D39)</f>
        <v>0</v>
      </c>
      <c r="E37" s="862">
        <f t="shared" si="0"/>
        <v>0</v>
      </c>
      <c r="F37" s="583">
        <f>SUM(F38:F39)</f>
        <v>0</v>
      </c>
      <c r="G37" s="583">
        <f>SUM(G38:G39)</f>
        <v>0</v>
      </c>
      <c r="H37" s="863">
        <f t="shared" si="1"/>
        <v>0</v>
      </c>
    </row>
    <row r="38" spans="1:8" ht="20.399999999999999">
      <c r="A38" s="876">
        <v>18.100000000000001</v>
      </c>
      <c r="B38" s="881" t="s">
        <v>771</v>
      </c>
      <c r="C38" s="583"/>
      <c r="D38" s="583"/>
      <c r="E38" s="862">
        <f t="shared" si="0"/>
        <v>0</v>
      </c>
      <c r="F38" s="583"/>
      <c r="G38" s="583"/>
      <c r="H38" s="863">
        <f t="shared" si="1"/>
        <v>0</v>
      </c>
    </row>
    <row r="39" spans="1:8">
      <c r="A39" s="876">
        <v>18.2</v>
      </c>
      <c r="B39" s="881" t="s">
        <v>772</v>
      </c>
      <c r="C39" s="583"/>
      <c r="D39" s="583"/>
      <c r="E39" s="862">
        <f t="shared" si="0"/>
        <v>0</v>
      </c>
      <c r="F39" s="583"/>
      <c r="G39" s="583"/>
      <c r="H39" s="863">
        <f t="shared" si="1"/>
        <v>0</v>
      </c>
    </row>
    <row r="40" spans="1:8" ht="24.6" customHeight="1">
      <c r="A40" s="876">
        <v>19</v>
      </c>
      <c r="B40" s="892" t="s">
        <v>773</v>
      </c>
      <c r="C40" s="583"/>
      <c r="D40" s="583"/>
      <c r="E40" s="862">
        <f t="shared" si="0"/>
        <v>0</v>
      </c>
      <c r="F40" s="583"/>
      <c r="G40" s="583"/>
      <c r="H40" s="863">
        <f t="shared" si="1"/>
        <v>0</v>
      </c>
    </row>
    <row r="41" spans="1:8" ht="24.9" customHeight="1">
      <c r="A41" s="876">
        <v>20</v>
      </c>
      <c r="B41" s="892" t="s">
        <v>774</v>
      </c>
      <c r="C41" s="583"/>
      <c r="D41" s="583"/>
      <c r="E41" s="862">
        <f t="shared" si="0"/>
        <v>0</v>
      </c>
      <c r="F41" s="583"/>
      <c r="G41" s="583"/>
      <c r="H41" s="863">
        <f t="shared" si="1"/>
        <v>0</v>
      </c>
    </row>
    <row r="42" spans="1:8" ht="33" customHeight="1">
      <c r="A42" s="876">
        <v>21</v>
      </c>
      <c r="B42" s="893" t="s">
        <v>775</v>
      </c>
      <c r="C42" s="583"/>
      <c r="D42" s="583"/>
      <c r="E42" s="862">
        <f t="shared" si="0"/>
        <v>0</v>
      </c>
      <c r="F42" s="583"/>
      <c r="G42" s="583"/>
      <c r="H42" s="863">
        <f t="shared" si="1"/>
        <v>0</v>
      </c>
    </row>
    <row r="43" spans="1:8">
      <c r="A43" s="876">
        <v>22</v>
      </c>
      <c r="B43" s="894" t="s">
        <v>776</v>
      </c>
      <c r="C43" s="583">
        <f>SUM(C6,C13,C18,C19,C20,C21,C22,C23,C24,C25,C26,C27,C28,C29,C32,C33,C34,C37,C40,C41,C42)</f>
        <v>-221972.76999999987</v>
      </c>
      <c r="D43" s="583">
        <f>SUM(D6,D13,D18,D19,D20,D21,D22,D23,D24,D25,D26,D27,D28,D29,D32,D33,D34,D37,D40,D41,D42)</f>
        <v>1027136.7199999993</v>
      </c>
      <c r="E43" s="862">
        <f t="shared" si="0"/>
        <v>805163.94999999937</v>
      </c>
      <c r="F43" s="583">
        <f>SUM(F6,F13,F18,F19,F20,F21,F22,F23,F24,F25,F26,F27,F28,F29,F32,F33,F34,F37,F40,F41,F42)</f>
        <v>-120604.49999999958</v>
      </c>
      <c r="G43" s="583">
        <f>SUM(G6,G13,G18,G19,G20,G21,G22,G23,G24,G25,G26,G27,G28,G29,G32,G33,G34,G37,G40,G41,G42)</f>
        <v>-253848.68000000008</v>
      </c>
      <c r="H43" s="863">
        <f t="shared" si="1"/>
        <v>-374453.17999999964</v>
      </c>
    </row>
    <row r="44" spans="1:8">
      <c r="A44" s="876">
        <v>23</v>
      </c>
      <c r="B44" s="894" t="s">
        <v>777</v>
      </c>
      <c r="C44" s="583"/>
      <c r="D44" s="583"/>
      <c r="E44" s="862">
        <f t="shared" si="0"/>
        <v>0</v>
      </c>
      <c r="F44" s="583"/>
      <c r="G44" s="583"/>
      <c r="H44" s="863">
        <f t="shared" si="1"/>
        <v>0</v>
      </c>
    </row>
    <row r="45" spans="1:8" ht="15" thickBot="1">
      <c r="A45" s="876">
        <v>24</v>
      </c>
      <c r="B45" s="895" t="s">
        <v>778</v>
      </c>
      <c r="C45" s="871">
        <f>C43-C44</f>
        <v>-221972.76999999987</v>
      </c>
      <c r="D45" s="871">
        <f>D43-D44</f>
        <v>1027136.7199999993</v>
      </c>
      <c r="E45" s="872">
        <f t="shared" si="0"/>
        <v>805163.94999999937</v>
      </c>
      <c r="F45" s="871">
        <f>F43-F44</f>
        <v>-120604.49999999958</v>
      </c>
      <c r="G45" s="871">
        <f>G43-G44</f>
        <v>-253848.68000000008</v>
      </c>
      <c r="H45" s="873">
        <f>F45+G45</f>
        <v>-374453.17999999964</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H47"/>
  <sheetViews>
    <sheetView zoomScale="80" zoomScaleNormal="80" workbookViewId="0">
      <selection activeCell="D45" sqref="D45"/>
    </sheetView>
  </sheetViews>
  <sheetFormatPr defaultRowHeight="14.4"/>
  <cols>
    <col min="1" max="1" width="8.88671875" style="327"/>
    <col min="2" max="2" width="87.6640625" bestFit="1" customWidth="1"/>
    <col min="3" max="8" width="12.88671875" customWidth="1"/>
  </cols>
  <sheetData>
    <row r="1" spans="1:8">
      <c r="A1" s="10" t="s">
        <v>96</v>
      </c>
      <c r="B1" s="224" t="str">
        <f>Info!C2</f>
        <v>სს პეივ ბანკ ჯორჯია</v>
      </c>
      <c r="C1" s="9"/>
      <c r="D1" s="1"/>
      <c r="E1" s="1"/>
      <c r="F1" s="1"/>
      <c r="G1" s="1"/>
    </row>
    <row r="2" spans="1:8">
      <c r="A2" s="10" t="s">
        <v>97</v>
      </c>
      <c r="B2" s="245">
        <f>'1. key ratios'!B2</f>
        <v>45930</v>
      </c>
      <c r="C2" s="9"/>
      <c r="D2" s="1"/>
      <c r="E2" s="1"/>
      <c r="F2" s="1"/>
      <c r="G2" s="1"/>
    </row>
    <row r="3" spans="1:8">
      <c r="A3" s="10"/>
      <c r="B3" s="9"/>
      <c r="C3" s="9"/>
      <c r="D3" s="1"/>
      <c r="E3" s="1"/>
      <c r="F3" s="1"/>
      <c r="G3" s="1"/>
    </row>
    <row r="4" spans="1:8">
      <c r="A4" s="684" t="s">
        <v>25</v>
      </c>
      <c r="B4" s="688" t="s">
        <v>139</v>
      </c>
      <c r="C4" s="689" t="s">
        <v>102</v>
      </c>
      <c r="D4" s="689"/>
      <c r="E4" s="689"/>
      <c r="F4" s="689" t="s">
        <v>103</v>
      </c>
      <c r="G4" s="689"/>
      <c r="H4" s="690"/>
    </row>
    <row r="5" spans="1:8">
      <c r="A5" s="684"/>
      <c r="B5" s="688"/>
      <c r="C5" s="314" t="s">
        <v>26</v>
      </c>
      <c r="D5" s="314" t="s">
        <v>77</v>
      </c>
      <c r="E5" s="314" t="s">
        <v>66</v>
      </c>
      <c r="F5" s="314" t="s">
        <v>26</v>
      </c>
      <c r="G5" s="314" t="s">
        <v>77</v>
      </c>
      <c r="H5" s="315" t="s">
        <v>66</v>
      </c>
    </row>
    <row r="6" spans="1:8">
      <c r="A6" s="316">
        <v>1</v>
      </c>
      <c r="B6" s="320" t="s">
        <v>779</v>
      </c>
      <c r="C6" s="317"/>
      <c r="D6" s="317"/>
      <c r="E6" s="318">
        <f t="shared" ref="E6:E43" si="0">C6+D6</f>
        <v>0</v>
      </c>
      <c r="F6" s="317"/>
      <c r="G6" s="317"/>
      <c r="H6" s="319">
        <f t="shared" ref="H6:H43" si="1">F6+G6</f>
        <v>0</v>
      </c>
    </row>
    <row r="7" spans="1:8">
      <c r="A7" s="316">
        <v>2</v>
      </c>
      <c r="B7" s="320" t="s">
        <v>165</v>
      </c>
      <c r="C7" s="317"/>
      <c r="D7" s="317"/>
      <c r="E7" s="318">
        <f t="shared" si="0"/>
        <v>0</v>
      </c>
      <c r="F7" s="317"/>
      <c r="G7" s="317"/>
      <c r="H7" s="319">
        <f t="shared" si="1"/>
        <v>0</v>
      </c>
    </row>
    <row r="8" spans="1:8">
      <c r="A8" s="316">
        <v>3</v>
      </c>
      <c r="B8" s="320" t="s">
        <v>167</v>
      </c>
      <c r="C8" s="317">
        <f>C9+C10</f>
        <v>0</v>
      </c>
      <c r="D8" s="317">
        <f>D9+D10</f>
        <v>0</v>
      </c>
      <c r="E8" s="318">
        <f t="shared" si="0"/>
        <v>0</v>
      </c>
      <c r="F8" s="317">
        <f>F9+F10</f>
        <v>0</v>
      </c>
      <c r="G8" s="317">
        <f>G9+G10</f>
        <v>0</v>
      </c>
      <c r="H8" s="319">
        <f t="shared" si="1"/>
        <v>0</v>
      </c>
    </row>
    <row r="9" spans="1:8">
      <c r="A9" s="316">
        <v>3.1</v>
      </c>
      <c r="B9" s="321" t="s">
        <v>780</v>
      </c>
      <c r="C9" s="317"/>
      <c r="D9" s="317"/>
      <c r="E9" s="318">
        <f t="shared" si="0"/>
        <v>0</v>
      </c>
      <c r="F9" s="317"/>
      <c r="G9" s="317"/>
      <c r="H9" s="319">
        <f t="shared" si="1"/>
        <v>0</v>
      </c>
    </row>
    <row r="10" spans="1:8">
      <c r="A10" s="316">
        <v>3.2</v>
      </c>
      <c r="B10" s="321" t="s">
        <v>781</v>
      </c>
      <c r="C10" s="317"/>
      <c r="D10" s="317"/>
      <c r="E10" s="318">
        <f t="shared" si="0"/>
        <v>0</v>
      </c>
      <c r="F10" s="317"/>
      <c r="G10" s="317"/>
      <c r="H10" s="319">
        <f t="shared" si="1"/>
        <v>0</v>
      </c>
    </row>
    <row r="11" spans="1:8">
      <c r="A11" s="316">
        <v>4</v>
      </c>
      <c r="B11" s="320" t="s">
        <v>166</v>
      </c>
      <c r="C11" s="317">
        <f>C12+C13</f>
        <v>0</v>
      </c>
      <c r="D11" s="317">
        <f>D12+D13</f>
        <v>0</v>
      </c>
      <c r="E11" s="318">
        <f t="shared" si="0"/>
        <v>0</v>
      </c>
      <c r="F11" s="317">
        <f>F12+F13</f>
        <v>0</v>
      </c>
      <c r="G11" s="317">
        <f>G12+G13</f>
        <v>0</v>
      </c>
      <c r="H11" s="319">
        <f t="shared" si="1"/>
        <v>0</v>
      </c>
    </row>
    <row r="12" spans="1:8">
      <c r="A12" s="316">
        <v>4.0999999999999996</v>
      </c>
      <c r="B12" s="321" t="s">
        <v>782</v>
      </c>
      <c r="C12" s="317"/>
      <c r="D12" s="317"/>
      <c r="E12" s="318">
        <f t="shared" si="0"/>
        <v>0</v>
      </c>
      <c r="F12" s="317"/>
      <c r="G12" s="317"/>
      <c r="H12" s="319">
        <f t="shared" si="1"/>
        <v>0</v>
      </c>
    </row>
    <row r="13" spans="1:8">
      <c r="A13" s="316">
        <v>4.2</v>
      </c>
      <c r="B13" s="321" t="s">
        <v>783</v>
      </c>
      <c r="C13" s="317"/>
      <c r="D13" s="317"/>
      <c r="E13" s="318">
        <f t="shared" si="0"/>
        <v>0</v>
      </c>
      <c r="F13" s="317"/>
      <c r="G13" s="317"/>
      <c r="H13" s="319">
        <f t="shared" si="1"/>
        <v>0</v>
      </c>
    </row>
    <row r="14" spans="1:8">
      <c r="A14" s="316">
        <v>5</v>
      </c>
      <c r="B14" s="322" t="s">
        <v>784</v>
      </c>
      <c r="C14" s="317">
        <f>C15+C16+C17+C23+C24+C25+C26</f>
        <v>0</v>
      </c>
      <c r="D14" s="317">
        <f>D15+D16+D17+D23+D24+D25+D26</f>
        <v>0</v>
      </c>
      <c r="E14" s="318">
        <f t="shared" si="0"/>
        <v>0</v>
      </c>
      <c r="F14" s="317">
        <f>F15+F16+F17+F23+F24+F25+F26</f>
        <v>0</v>
      </c>
      <c r="G14" s="317">
        <f>G15+G16+G17+G23+G24+G25+G26</f>
        <v>0</v>
      </c>
      <c r="H14" s="319">
        <f t="shared" si="1"/>
        <v>0</v>
      </c>
    </row>
    <row r="15" spans="1:8">
      <c r="A15" s="316">
        <v>5.0999999999999996</v>
      </c>
      <c r="B15" s="323" t="s">
        <v>785</v>
      </c>
      <c r="C15" s="317"/>
      <c r="D15" s="317"/>
      <c r="E15" s="318">
        <f t="shared" si="0"/>
        <v>0</v>
      </c>
      <c r="F15" s="317"/>
      <c r="G15" s="317"/>
      <c r="H15" s="319">
        <f t="shared" si="1"/>
        <v>0</v>
      </c>
    </row>
    <row r="16" spans="1:8">
      <c r="A16" s="316">
        <v>5.2</v>
      </c>
      <c r="B16" s="323" t="s">
        <v>786</v>
      </c>
      <c r="C16" s="317"/>
      <c r="D16" s="317"/>
      <c r="E16" s="318">
        <f t="shared" si="0"/>
        <v>0</v>
      </c>
      <c r="F16" s="317"/>
      <c r="G16" s="317"/>
      <c r="H16" s="319">
        <f t="shared" si="1"/>
        <v>0</v>
      </c>
    </row>
    <row r="17" spans="1:8">
      <c r="A17" s="316">
        <v>5.3</v>
      </c>
      <c r="B17" s="323" t="s">
        <v>787</v>
      </c>
      <c r="C17" s="317">
        <f>C18+C19+C20+C21+C22</f>
        <v>0</v>
      </c>
      <c r="D17" s="317">
        <f>D18+D19+D20+D21+D22</f>
        <v>0</v>
      </c>
      <c r="E17" s="318">
        <f t="shared" si="0"/>
        <v>0</v>
      </c>
      <c r="F17" s="317"/>
      <c r="G17" s="317"/>
      <c r="H17" s="319">
        <f t="shared" si="1"/>
        <v>0</v>
      </c>
    </row>
    <row r="18" spans="1:8">
      <c r="A18" s="316" t="s">
        <v>168</v>
      </c>
      <c r="B18" s="324" t="s">
        <v>788</v>
      </c>
      <c r="C18" s="317"/>
      <c r="D18" s="317"/>
      <c r="E18" s="318">
        <f t="shared" si="0"/>
        <v>0</v>
      </c>
      <c r="F18" s="317"/>
      <c r="G18" s="317"/>
      <c r="H18" s="319">
        <f t="shared" si="1"/>
        <v>0</v>
      </c>
    </row>
    <row r="19" spans="1:8">
      <c r="A19" s="316" t="s">
        <v>169</v>
      </c>
      <c r="B19" s="325" t="s">
        <v>789</v>
      </c>
      <c r="C19" s="317"/>
      <c r="D19" s="317"/>
      <c r="E19" s="318">
        <f t="shared" si="0"/>
        <v>0</v>
      </c>
      <c r="F19" s="317"/>
      <c r="G19" s="317"/>
      <c r="H19" s="319">
        <f t="shared" si="1"/>
        <v>0</v>
      </c>
    </row>
    <row r="20" spans="1:8">
      <c r="A20" s="316" t="s">
        <v>170</v>
      </c>
      <c r="B20" s="325" t="s">
        <v>790</v>
      </c>
      <c r="C20" s="317"/>
      <c r="D20" s="317"/>
      <c r="E20" s="318">
        <f t="shared" si="0"/>
        <v>0</v>
      </c>
      <c r="F20" s="317"/>
      <c r="G20" s="317"/>
      <c r="H20" s="319">
        <f t="shared" si="1"/>
        <v>0</v>
      </c>
    </row>
    <row r="21" spans="1:8">
      <c r="A21" s="316" t="s">
        <v>171</v>
      </c>
      <c r="B21" s="325" t="s">
        <v>791</v>
      </c>
      <c r="C21" s="317"/>
      <c r="D21" s="317"/>
      <c r="E21" s="318">
        <f t="shared" si="0"/>
        <v>0</v>
      </c>
      <c r="F21" s="317"/>
      <c r="G21" s="317"/>
      <c r="H21" s="319">
        <f t="shared" si="1"/>
        <v>0</v>
      </c>
    </row>
    <row r="22" spans="1:8">
      <c r="A22" s="316" t="s">
        <v>172</v>
      </c>
      <c r="B22" s="325" t="s">
        <v>509</v>
      </c>
      <c r="C22" s="317"/>
      <c r="D22" s="317"/>
      <c r="E22" s="318">
        <f t="shared" si="0"/>
        <v>0</v>
      </c>
      <c r="F22" s="317"/>
      <c r="G22" s="317"/>
      <c r="H22" s="319">
        <f t="shared" si="1"/>
        <v>0</v>
      </c>
    </row>
    <row r="23" spans="1:8">
      <c r="A23" s="316">
        <v>5.4</v>
      </c>
      <c r="B23" s="323" t="s">
        <v>792</v>
      </c>
      <c r="C23" s="317"/>
      <c r="D23" s="317"/>
      <c r="E23" s="318">
        <f t="shared" si="0"/>
        <v>0</v>
      </c>
      <c r="F23" s="317"/>
      <c r="G23" s="317"/>
      <c r="H23" s="319">
        <f t="shared" si="1"/>
        <v>0</v>
      </c>
    </row>
    <row r="24" spans="1:8">
      <c r="A24" s="316">
        <v>5.5</v>
      </c>
      <c r="B24" s="323" t="s">
        <v>793</v>
      </c>
      <c r="C24" s="317"/>
      <c r="D24" s="317"/>
      <c r="E24" s="318">
        <f t="shared" si="0"/>
        <v>0</v>
      </c>
      <c r="F24" s="317"/>
      <c r="G24" s="317"/>
      <c r="H24" s="319">
        <f t="shared" si="1"/>
        <v>0</v>
      </c>
    </row>
    <row r="25" spans="1:8">
      <c r="A25" s="316">
        <v>5.6</v>
      </c>
      <c r="B25" s="323" t="s">
        <v>794</v>
      </c>
      <c r="C25" s="317"/>
      <c r="D25" s="317"/>
      <c r="E25" s="318">
        <f t="shared" si="0"/>
        <v>0</v>
      </c>
      <c r="F25" s="317"/>
      <c r="G25" s="317"/>
      <c r="H25" s="319">
        <f t="shared" si="1"/>
        <v>0</v>
      </c>
    </row>
    <row r="26" spans="1:8">
      <c r="A26" s="316">
        <v>5.7</v>
      </c>
      <c r="B26" s="323" t="s">
        <v>509</v>
      </c>
      <c r="C26" s="317"/>
      <c r="D26" s="317"/>
      <c r="E26" s="318">
        <f t="shared" si="0"/>
        <v>0</v>
      </c>
      <c r="F26" s="317"/>
      <c r="G26" s="317"/>
      <c r="H26" s="319">
        <f t="shared" si="1"/>
        <v>0</v>
      </c>
    </row>
    <row r="27" spans="1:8">
      <c r="A27" s="316">
        <v>6</v>
      </c>
      <c r="B27" s="322" t="s">
        <v>795</v>
      </c>
      <c r="C27" s="317"/>
      <c r="D27" s="317"/>
      <c r="E27" s="318">
        <f t="shared" si="0"/>
        <v>0</v>
      </c>
      <c r="F27" s="317"/>
      <c r="G27" s="317"/>
      <c r="H27" s="319">
        <f t="shared" si="1"/>
        <v>0</v>
      </c>
    </row>
    <row r="28" spans="1:8">
      <c r="A28" s="316">
        <v>7</v>
      </c>
      <c r="B28" s="322" t="s">
        <v>796</v>
      </c>
      <c r="C28" s="317"/>
      <c r="D28" s="317"/>
      <c r="E28" s="318">
        <f t="shared" si="0"/>
        <v>0</v>
      </c>
      <c r="F28" s="317"/>
      <c r="G28" s="317"/>
      <c r="H28" s="319">
        <f t="shared" si="1"/>
        <v>0</v>
      </c>
    </row>
    <row r="29" spans="1:8">
      <c r="A29" s="316">
        <v>8</v>
      </c>
      <c r="B29" s="322" t="s">
        <v>797</v>
      </c>
      <c r="C29" s="317"/>
      <c r="D29" s="317"/>
      <c r="E29" s="318">
        <f t="shared" si="0"/>
        <v>0</v>
      </c>
      <c r="F29" s="317"/>
      <c r="G29" s="317"/>
      <c r="H29" s="319">
        <f t="shared" si="1"/>
        <v>0</v>
      </c>
    </row>
    <row r="30" spans="1:8">
      <c r="A30" s="316">
        <v>9</v>
      </c>
      <c r="B30" s="320" t="s">
        <v>173</v>
      </c>
      <c r="C30" s="317">
        <f>C31+C32+C33+C34+C35+C36+C37</f>
        <v>0</v>
      </c>
      <c r="D30" s="317">
        <f>D31+D32+D33+D34+D35+D36+D37</f>
        <v>0</v>
      </c>
      <c r="E30" s="318">
        <f t="shared" si="0"/>
        <v>0</v>
      </c>
      <c r="F30" s="317">
        <f>F31+F32+F33+F34+F35+F36+F37</f>
        <v>0</v>
      </c>
      <c r="G30" s="317">
        <f>G31+G32+G33+G34+G35+G36+G37</f>
        <v>0</v>
      </c>
      <c r="H30" s="319">
        <f t="shared" si="1"/>
        <v>0</v>
      </c>
    </row>
    <row r="31" spans="1:8" ht="27.6">
      <c r="A31" s="316">
        <v>9.1</v>
      </c>
      <c r="B31" s="321" t="s">
        <v>798</v>
      </c>
      <c r="C31" s="317"/>
      <c r="D31" s="317"/>
      <c r="E31" s="318">
        <f t="shared" si="0"/>
        <v>0</v>
      </c>
      <c r="F31" s="317"/>
      <c r="G31" s="317"/>
      <c r="H31" s="319">
        <f t="shared" si="1"/>
        <v>0</v>
      </c>
    </row>
    <row r="32" spans="1:8" ht="27.6">
      <c r="A32" s="316">
        <v>9.1999999999999993</v>
      </c>
      <c r="B32" s="321" t="s">
        <v>799</v>
      </c>
      <c r="C32" s="317"/>
      <c r="D32" s="317"/>
      <c r="E32" s="318">
        <f t="shared" si="0"/>
        <v>0</v>
      </c>
      <c r="F32" s="317"/>
      <c r="G32" s="317"/>
      <c r="H32" s="319">
        <f t="shared" si="1"/>
        <v>0</v>
      </c>
    </row>
    <row r="33" spans="1:8" ht="27.6">
      <c r="A33" s="316">
        <v>9.3000000000000007</v>
      </c>
      <c r="B33" s="321" t="s">
        <v>800</v>
      </c>
      <c r="C33" s="317"/>
      <c r="D33" s="317"/>
      <c r="E33" s="318">
        <f t="shared" si="0"/>
        <v>0</v>
      </c>
      <c r="F33" s="317"/>
      <c r="G33" s="317"/>
      <c r="H33" s="319">
        <f t="shared" si="1"/>
        <v>0</v>
      </c>
    </row>
    <row r="34" spans="1:8">
      <c r="A34" s="316">
        <v>9.4</v>
      </c>
      <c r="B34" s="321" t="s">
        <v>801</v>
      </c>
      <c r="C34" s="317"/>
      <c r="D34" s="317"/>
      <c r="E34" s="318">
        <f t="shared" si="0"/>
        <v>0</v>
      </c>
      <c r="F34" s="317"/>
      <c r="G34" s="317"/>
      <c r="H34" s="319">
        <f t="shared" si="1"/>
        <v>0</v>
      </c>
    </row>
    <row r="35" spans="1:8">
      <c r="A35" s="316">
        <v>9.5</v>
      </c>
      <c r="B35" s="321" t="s">
        <v>802</v>
      </c>
      <c r="C35" s="317"/>
      <c r="D35" s="317"/>
      <c r="E35" s="318">
        <f t="shared" si="0"/>
        <v>0</v>
      </c>
      <c r="F35" s="317"/>
      <c r="G35" s="317"/>
      <c r="H35" s="319">
        <f t="shared" si="1"/>
        <v>0</v>
      </c>
    </row>
    <row r="36" spans="1:8" ht="27.6">
      <c r="A36" s="316">
        <v>9.6</v>
      </c>
      <c r="B36" s="321" t="s">
        <v>803</v>
      </c>
      <c r="C36" s="317"/>
      <c r="D36" s="317"/>
      <c r="E36" s="318">
        <f t="shared" si="0"/>
        <v>0</v>
      </c>
      <c r="F36" s="317"/>
      <c r="G36" s="317"/>
      <c r="H36" s="319">
        <f t="shared" si="1"/>
        <v>0</v>
      </c>
    </row>
    <row r="37" spans="1:8" ht="27.6">
      <c r="A37" s="316">
        <v>9.6999999999999993</v>
      </c>
      <c r="B37" s="321" t="s">
        <v>804</v>
      </c>
      <c r="C37" s="317"/>
      <c r="D37" s="317"/>
      <c r="E37" s="318">
        <f t="shared" si="0"/>
        <v>0</v>
      </c>
      <c r="F37" s="317"/>
      <c r="G37" s="317"/>
      <c r="H37" s="319">
        <f t="shared" si="1"/>
        <v>0</v>
      </c>
    </row>
    <row r="38" spans="1:8">
      <c r="A38" s="316">
        <v>10</v>
      </c>
      <c r="B38" s="322" t="s">
        <v>805</v>
      </c>
      <c r="C38" s="517">
        <f>C41+C42</f>
        <v>0</v>
      </c>
      <c r="D38" s="517">
        <f>D41+D42</f>
        <v>0</v>
      </c>
      <c r="E38" s="318">
        <f t="shared" si="0"/>
        <v>0</v>
      </c>
      <c r="F38" s="517">
        <f>F41+F42</f>
        <v>0</v>
      </c>
      <c r="G38" s="517">
        <f>G41+G42</f>
        <v>0</v>
      </c>
      <c r="H38" s="319">
        <f t="shared" si="1"/>
        <v>0</v>
      </c>
    </row>
    <row r="39" spans="1:8">
      <c r="A39" s="316">
        <v>10.1</v>
      </c>
      <c r="B39" s="321" t="s">
        <v>806</v>
      </c>
      <c r="C39" s="317"/>
      <c r="D39" s="317"/>
      <c r="E39" s="318">
        <f t="shared" si="0"/>
        <v>0</v>
      </c>
      <c r="F39" s="317"/>
      <c r="G39" s="317"/>
      <c r="H39" s="319">
        <f t="shared" si="1"/>
        <v>0</v>
      </c>
    </row>
    <row r="40" spans="1:8" ht="27.6">
      <c r="A40" s="316">
        <v>10.199999999999999</v>
      </c>
      <c r="B40" s="321" t="s">
        <v>807</v>
      </c>
      <c r="C40" s="317"/>
      <c r="D40" s="317"/>
      <c r="E40" s="318">
        <f t="shared" si="0"/>
        <v>0</v>
      </c>
      <c r="F40" s="317"/>
      <c r="G40" s="317"/>
      <c r="H40" s="319">
        <f t="shared" si="1"/>
        <v>0</v>
      </c>
    </row>
    <row r="41" spans="1:8" ht="27.6">
      <c r="A41" s="316">
        <v>10.3</v>
      </c>
      <c r="B41" s="321" t="s">
        <v>808</v>
      </c>
      <c r="C41" s="317"/>
      <c r="D41" s="317"/>
      <c r="E41" s="318">
        <f t="shared" si="0"/>
        <v>0</v>
      </c>
      <c r="F41" s="317"/>
      <c r="G41" s="317"/>
      <c r="H41" s="319">
        <f t="shared" si="1"/>
        <v>0</v>
      </c>
    </row>
    <row r="42" spans="1:8" ht="27.6">
      <c r="A42" s="316">
        <v>10.4</v>
      </c>
      <c r="B42" s="321" t="s">
        <v>809</v>
      </c>
      <c r="C42" s="317"/>
      <c r="D42" s="317"/>
      <c r="E42" s="318">
        <f t="shared" si="0"/>
        <v>0</v>
      </c>
      <c r="F42" s="317"/>
      <c r="G42" s="317"/>
      <c r="H42" s="319">
        <f t="shared" si="1"/>
        <v>0</v>
      </c>
    </row>
    <row r="43" spans="1:8">
      <c r="A43" s="316">
        <v>11</v>
      </c>
      <c r="B43" s="326" t="s">
        <v>174</v>
      </c>
      <c r="C43" s="317"/>
      <c r="D43" s="317"/>
      <c r="E43" s="318">
        <f t="shared" si="0"/>
        <v>0</v>
      </c>
      <c r="F43" s="317"/>
      <c r="G43" s="317"/>
      <c r="H43" s="319">
        <f t="shared" si="1"/>
        <v>0</v>
      </c>
    </row>
    <row r="44" spans="1:8">
      <c r="A44" s="316">
        <v>12</v>
      </c>
      <c r="B44" s="326" t="s">
        <v>1016</v>
      </c>
      <c r="C44" s="317"/>
      <c r="D44" s="317">
        <f>5000*3.1739</f>
        <v>15869.5</v>
      </c>
      <c r="E44" s="318">
        <f t="shared" ref="E44" si="2">C44+D44</f>
        <v>15869.5</v>
      </c>
      <c r="F44" s="317"/>
      <c r="G44" s="317"/>
      <c r="H44" s="319">
        <f t="shared" ref="H44" si="3">F44+G44</f>
        <v>0</v>
      </c>
    </row>
    <row r="45" spans="1:8">
      <c r="C45" s="328"/>
      <c r="D45" s="328"/>
      <c r="E45" s="328"/>
      <c r="F45" s="328"/>
      <c r="G45" s="328"/>
      <c r="H45" s="328"/>
    </row>
    <row r="46" spans="1:8">
      <c r="C46" s="328"/>
      <c r="D46" s="328"/>
      <c r="E46" s="328"/>
      <c r="F46" s="328"/>
      <c r="G46" s="328"/>
      <c r="H46" s="328"/>
    </row>
    <row r="47" spans="1:8">
      <c r="C47" s="328"/>
      <c r="D47" s="328"/>
      <c r="E47" s="328"/>
      <c r="F47" s="328"/>
      <c r="G47" s="328"/>
      <c r="H47" s="328"/>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G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O29" sqref="O29"/>
    </sheetView>
  </sheetViews>
  <sheetFormatPr defaultColWidth="9.109375" defaultRowHeight="13.8"/>
  <cols>
    <col min="1" max="1" width="9.44140625" style="1" bestFit="1" customWidth="1"/>
    <col min="2" max="2" width="93.44140625" style="1" customWidth="1"/>
    <col min="3" max="5" width="13.21875" style="1" customWidth="1"/>
    <col min="6" max="7" width="13.21875" style="5" customWidth="1"/>
    <col min="8" max="8" width="9.88671875" style="5" customWidth="1"/>
    <col min="9" max="16384" width="9.109375" style="5"/>
  </cols>
  <sheetData>
    <row r="1" spans="1:7">
      <c r="A1" s="10" t="s">
        <v>96</v>
      </c>
      <c r="B1" s="9" t="str">
        <f>Info!C2</f>
        <v>სს პეივ ბანკ ჯორჯია</v>
      </c>
      <c r="C1" s="9"/>
    </row>
    <row r="2" spans="1:7">
      <c r="A2" s="10" t="s">
        <v>97</v>
      </c>
      <c r="B2" s="245">
        <f>'1. key ratios'!B2</f>
        <v>45930</v>
      </c>
      <c r="C2" s="9"/>
    </row>
    <row r="3" spans="1:7">
      <c r="A3" s="10"/>
      <c r="B3" s="9"/>
      <c r="C3" s="9"/>
    </row>
    <row r="4" spans="1:7" ht="15" customHeight="1" thickBot="1">
      <c r="A4" s="113" t="s">
        <v>241</v>
      </c>
      <c r="B4" s="114" t="s">
        <v>95</v>
      </c>
      <c r="C4" s="115" t="s">
        <v>76</v>
      </c>
    </row>
    <row r="5" spans="1:7" ht="15" customHeight="1">
      <c r="A5" s="111" t="s">
        <v>25</v>
      </c>
      <c r="B5" s="112"/>
      <c r="C5" s="243" t="str">
        <f>INT((MONTH($B$2))/3)&amp;"Q"&amp;"-"&amp;YEAR($B$2)</f>
        <v>3Q-2025</v>
      </c>
      <c r="D5" s="243" t="str">
        <f>IF(INT(MONTH($B$2))=3, "4"&amp;"Q"&amp;"-"&amp;YEAR($B$2)-1, IF(INT(MONTH($B$2))=6, "1"&amp;"Q"&amp;"-"&amp;YEAR($B$2), IF(INT(MONTH($B$2))=9, "2"&amp;"Q"&amp;"-"&amp;YEAR($B$2),IF(INT(MONTH($B$2))=12, "3"&amp;"Q"&amp;"-"&amp;YEAR($B$2), 0))))</f>
        <v>2Q-2025</v>
      </c>
      <c r="E5" s="243" t="str">
        <f>IF(INT(MONTH($B$2))=3, "3"&amp;"Q"&amp;"-"&amp;YEAR($B$2)-1, IF(INT(MONTH($B$2))=6, "4"&amp;"Q"&amp;"-"&amp;YEAR($B$2)-1, IF(INT(MONTH($B$2))=9, "1"&amp;"Q"&amp;"-"&amp;YEAR($B$2),IF(INT(MONTH($B$2))=12, "2"&amp;"Q"&amp;"-"&amp;YEAR($B$2), 0))))</f>
        <v>1Q-2025</v>
      </c>
      <c r="F5" s="243" t="str">
        <f>IF(INT(MONTH($B$2))=3, "2"&amp;"Q"&amp;"-"&amp;YEAR($B$2)-1, IF(INT(MONTH($B$2))=6, "3"&amp;"Q"&amp;"-"&amp;YEAR($B$2)-1, IF(INT(MONTH($B$2))=9, "4"&amp;"Q"&amp;"-"&amp;YEAR($B$2)-1,IF(INT(MONTH($B$2))=12, "1"&amp;"Q"&amp;"-"&amp;YEAR($B$2), 0))))</f>
        <v>4Q-2024</v>
      </c>
      <c r="G5" s="243" t="str">
        <f>IF(INT(MONTH($B$2))=3, "1"&amp;"Q"&amp;"-"&amp;YEAR($B$2)-1, IF(INT(MONTH($B$2))=6, "2"&amp;"Q"&amp;"-"&amp;YEAR($B$2)-1, IF(INT(MONTH($B$2))=9, "3"&amp;"Q"&amp;"-"&amp;YEAR($B$2)-1,IF(INT(MONTH($B$2))=12, "4"&amp;"Q"&amp;"-"&amp;YEAR($B$2)-1, 0))))</f>
        <v>3Q-2024</v>
      </c>
    </row>
    <row r="6" spans="1:7" ht="15" customHeight="1">
      <c r="A6" s="202">
        <v>1</v>
      </c>
      <c r="B6" s="228" t="s">
        <v>100</v>
      </c>
      <c r="C6" s="203">
        <f>C7+C9+C10</f>
        <v>39104598.574000001</v>
      </c>
      <c r="D6" s="230">
        <f>D7+D9+D10</f>
        <v>21511362.232000001</v>
      </c>
      <c r="E6" s="230">
        <f t="shared" ref="E6:G6" si="0">E7+E9+E10</f>
        <v>21136257.579999998</v>
      </c>
      <c r="F6" s="203">
        <f t="shared" si="0"/>
        <v>2491048.2879999997</v>
      </c>
      <c r="G6" s="231">
        <f t="shared" si="0"/>
        <v>8040672.950000002</v>
      </c>
    </row>
    <row r="7" spans="1:7" ht="15" customHeight="1">
      <c r="A7" s="202">
        <v>1.1000000000000001</v>
      </c>
      <c r="B7" s="204" t="s">
        <v>994</v>
      </c>
      <c r="C7" s="205">
        <v>39104598.574000001</v>
      </c>
      <c r="D7" s="232">
        <v>21511362.232000001</v>
      </c>
      <c r="E7" s="232">
        <v>21136257.579999998</v>
      </c>
      <c r="F7" s="205">
        <v>2491048.2879999997</v>
      </c>
      <c r="G7" s="233">
        <v>8040672.950000002</v>
      </c>
    </row>
    <row r="8" spans="1:7" ht="27.6">
      <c r="A8" s="202" t="s">
        <v>145</v>
      </c>
      <c r="B8" s="206" t="s">
        <v>238</v>
      </c>
      <c r="C8" s="205">
        <v>0</v>
      </c>
      <c r="D8" s="232">
        <v>0</v>
      </c>
      <c r="E8" s="232">
        <v>0</v>
      </c>
      <c r="F8" s="205">
        <v>0</v>
      </c>
      <c r="G8" s="233">
        <v>0</v>
      </c>
    </row>
    <row r="9" spans="1:7" ht="15" customHeight="1">
      <c r="A9" s="202">
        <v>1.2</v>
      </c>
      <c r="B9" s="204" t="s">
        <v>21</v>
      </c>
      <c r="C9" s="205">
        <v>0</v>
      </c>
      <c r="D9" s="232">
        <v>0</v>
      </c>
      <c r="E9" s="232">
        <v>0</v>
      </c>
      <c r="F9" s="205">
        <v>0</v>
      </c>
      <c r="G9" s="233">
        <v>0</v>
      </c>
    </row>
    <row r="10" spans="1:7" ht="15" customHeight="1">
      <c r="A10" s="202">
        <v>1.3</v>
      </c>
      <c r="B10" s="229" t="s">
        <v>73</v>
      </c>
      <c r="C10" s="205">
        <v>0</v>
      </c>
      <c r="D10" s="232">
        <v>0</v>
      </c>
      <c r="E10" s="232">
        <v>0</v>
      </c>
      <c r="F10" s="205">
        <v>0</v>
      </c>
      <c r="G10" s="233">
        <v>0</v>
      </c>
    </row>
    <row r="11" spans="1:7" ht="15" customHeight="1">
      <c r="A11" s="202">
        <v>2</v>
      </c>
      <c r="B11" s="228" t="s">
        <v>101</v>
      </c>
      <c r="C11" s="205">
        <v>304344.33507198421</v>
      </c>
      <c r="D11" s="232">
        <v>212273.95999999976</v>
      </c>
      <c r="E11" s="232">
        <v>490516.39999997796</v>
      </c>
      <c r="F11" s="205">
        <v>430596.87999999995</v>
      </c>
      <c r="G11" s="233">
        <v>837759.44010199956</v>
      </c>
    </row>
    <row r="12" spans="1:7" ht="15" customHeight="1">
      <c r="A12" s="202">
        <v>3</v>
      </c>
      <c r="B12" s="228" t="s">
        <v>99</v>
      </c>
      <c r="C12" s="205">
        <v>204515.16175999999</v>
      </c>
      <c r="D12" s="232">
        <v>204515.16175999999</v>
      </c>
      <c r="E12" s="232">
        <v>204515.16175999999</v>
      </c>
      <c r="F12" s="205">
        <v>204515.16175999999</v>
      </c>
      <c r="G12" s="233">
        <v>0</v>
      </c>
    </row>
    <row r="13" spans="1:7" ht="15" customHeight="1" thickBot="1">
      <c r="A13" s="59">
        <v>4</v>
      </c>
      <c r="B13" s="236" t="s">
        <v>146</v>
      </c>
      <c r="C13" s="131">
        <f>C6+C11+C12</f>
        <v>39613458.070831984</v>
      </c>
      <c r="D13" s="234">
        <f>D6+D11+D12</f>
        <v>21928151.35376</v>
      </c>
      <c r="E13" s="234">
        <f t="shared" ref="E13:G13" si="1">E6+E11+E12</f>
        <v>21831289.141759973</v>
      </c>
      <c r="F13" s="131">
        <f t="shared" si="1"/>
        <v>3126160.3297599996</v>
      </c>
      <c r="G13" s="235">
        <f t="shared" si="1"/>
        <v>8878432.3901020009</v>
      </c>
    </row>
    <row r="14" spans="1:7">
      <c r="B14" s="14"/>
    </row>
    <row r="15" spans="1:7">
      <c r="B15" s="14"/>
    </row>
    <row r="16" spans="1:7">
      <c r="B16" s="14"/>
    </row>
    <row r="17" spans="2:2">
      <c r="B17" s="14"/>
    </row>
    <row r="18" spans="2:2">
      <c r="B18" s="14"/>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6"/>
  <sheetViews>
    <sheetView showGridLines="0" zoomScale="80" zoomScaleNormal="80" workbookViewId="0">
      <pane xSplit="1" ySplit="4" topLeftCell="B5" activePane="bottomRight" state="frozen"/>
      <selection pane="topRight" activeCell="B1" sqref="B1"/>
      <selection pane="bottomLeft" activeCell="A4" sqref="A4"/>
      <selection pane="bottomRight" activeCell="F15" sqref="F15"/>
    </sheetView>
  </sheetViews>
  <sheetFormatPr defaultRowHeight="14.4"/>
  <cols>
    <col min="1" max="1" width="9.44140625" style="1" bestFit="1" customWidth="1"/>
    <col min="2" max="2" width="58.88671875" style="1" customWidth="1"/>
    <col min="3" max="3" width="34.109375" style="1" customWidth="1"/>
  </cols>
  <sheetData>
    <row r="1" spans="1:8">
      <c r="A1" s="1" t="s">
        <v>96</v>
      </c>
      <c r="B1" s="1" t="str">
        <f>Info!C2</f>
        <v>სს პეივ ბანკ ჯორჯია</v>
      </c>
    </row>
    <row r="2" spans="1:8">
      <c r="A2" s="1" t="s">
        <v>97</v>
      </c>
      <c r="B2" s="245">
        <f>'1. key ratios'!B2</f>
        <v>45930</v>
      </c>
    </row>
    <row r="4" spans="1:8" ht="25.5" customHeight="1" thickBot="1">
      <c r="A4" s="126" t="s">
        <v>242</v>
      </c>
      <c r="B4" s="20" t="s">
        <v>80</v>
      </c>
      <c r="C4" s="6"/>
    </row>
    <row r="5" spans="1:8">
      <c r="A5" s="4"/>
      <c r="B5" s="226" t="s">
        <v>81</v>
      </c>
      <c r="C5" s="241" t="s">
        <v>418</v>
      </c>
    </row>
    <row r="6" spans="1:8" ht="15">
      <c r="A6" s="7">
        <v>1</v>
      </c>
      <c r="B6" s="21" t="s">
        <v>1000</v>
      </c>
      <c r="C6" s="237" t="s">
        <v>1001</v>
      </c>
    </row>
    <row r="7" spans="1:8" ht="15">
      <c r="A7" s="7">
        <v>2</v>
      </c>
      <c r="B7" s="21" t="s">
        <v>1002</v>
      </c>
      <c r="C7" s="237" t="s">
        <v>1003</v>
      </c>
    </row>
    <row r="8" spans="1:8" ht="15">
      <c r="A8" s="7">
        <v>3</v>
      </c>
      <c r="B8" s="21" t="s">
        <v>1004</v>
      </c>
      <c r="C8" s="237" t="s">
        <v>1001</v>
      </c>
    </row>
    <row r="9" spans="1:8" ht="15">
      <c r="A9" s="7">
        <v>4</v>
      </c>
      <c r="B9" s="21" t="s">
        <v>1014</v>
      </c>
      <c r="C9" s="237" t="s">
        <v>1001</v>
      </c>
    </row>
    <row r="10" spans="1:8" ht="15">
      <c r="A10" s="7">
        <v>5</v>
      </c>
      <c r="B10" s="21"/>
      <c r="C10" s="237"/>
    </row>
    <row r="11" spans="1:8" ht="15">
      <c r="A11" s="7">
        <v>6</v>
      </c>
      <c r="B11" s="21"/>
      <c r="C11" s="237"/>
    </row>
    <row r="12" spans="1:8" ht="15">
      <c r="A12" s="7">
        <v>7</v>
      </c>
      <c r="B12" s="21"/>
      <c r="C12" s="237"/>
      <c r="H12" s="2"/>
    </row>
    <row r="13" spans="1:8" ht="15">
      <c r="A13" s="7">
        <v>8</v>
      </c>
      <c r="B13" s="21"/>
      <c r="C13" s="237"/>
    </row>
    <row r="14" spans="1:8" ht="15">
      <c r="A14" s="7">
        <v>9</v>
      </c>
      <c r="B14" s="21"/>
      <c r="C14" s="237"/>
    </row>
    <row r="15" spans="1:8" ht="15">
      <c r="A15" s="7">
        <v>10</v>
      </c>
      <c r="B15" s="21"/>
      <c r="C15" s="237"/>
    </row>
    <row r="16" spans="1:8" ht="15">
      <c r="A16" s="7"/>
      <c r="B16" s="691"/>
      <c r="C16" s="692"/>
    </row>
    <row r="17" spans="1:3" ht="55.2">
      <c r="A17" s="7"/>
      <c r="B17" s="227" t="s">
        <v>82</v>
      </c>
      <c r="C17" s="242" t="s">
        <v>419</v>
      </c>
    </row>
    <row r="18" spans="1:3">
      <c r="A18" s="7">
        <v>1</v>
      </c>
      <c r="B18" s="17" t="s">
        <v>1005</v>
      </c>
      <c r="C18" s="239" t="s">
        <v>1006</v>
      </c>
    </row>
    <row r="19" spans="1:3">
      <c r="A19" s="7">
        <v>2</v>
      </c>
      <c r="B19" s="17" t="s">
        <v>1007</v>
      </c>
      <c r="C19" s="239" t="s">
        <v>1008</v>
      </c>
    </row>
    <row r="20" spans="1:3">
      <c r="A20" s="7">
        <v>3</v>
      </c>
      <c r="B20" s="17" t="s">
        <v>1009</v>
      </c>
      <c r="C20" s="239" t="s">
        <v>1010</v>
      </c>
    </row>
    <row r="21" spans="1:3">
      <c r="A21" s="7">
        <v>4</v>
      </c>
      <c r="B21" s="17"/>
      <c r="C21" s="239"/>
    </row>
    <row r="22" spans="1:3">
      <c r="A22" s="7">
        <v>5</v>
      </c>
      <c r="B22" s="17"/>
      <c r="C22" s="239"/>
    </row>
    <row r="23" spans="1:3">
      <c r="A23" s="7">
        <v>6</v>
      </c>
      <c r="B23" s="17"/>
      <c r="C23" s="239"/>
    </row>
    <row r="24" spans="1:3">
      <c r="A24" s="7">
        <v>7</v>
      </c>
      <c r="B24" s="17"/>
      <c r="C24" s="239"/>
    </row>
    <row r="25" spans="1:3">
      <c r="A25" s="7">
        <v>8</v>
      </c>
      <c r="B25" s="17"/>
      <c r="C25" s="239"/>
    </row>
    <row r="26" spans="1:3">
      <c r="A26" s="7">
        <v>9</v>
      </c>
      <c r="B26" s="17"/>
      <c r="C26" s="239"/>
    </row>
    <row r="27" spans="1:3" ht="15.75" customHeight="1">
      <c r="A27" s="7">
        <v>10</v>
      </c>
      <c r="B27" s="17"/>
      <c r="C27" s="240"/>
    </row>
    <row r="28" spans="1:3" ht="15.75" customHeight="1">
      <c r="A28" s="7"/>
      <c r="B28" s="17"/>
      <c r="C28" s="18"/>
    </row>
    <row r="29" spans="1:3" ht="30" customHeight="1">
      <c r="A29" s="7"/>
      <c r="B29" s="693" t="s">
        <v>83</v>
      </c>
      <c r="C29" s="694"/>
    </row>
    <row r="30" spans="1:3" ht="15">
      <c r="A30" s="7">
        <v>1</v>
      </c>
      <c r="B30" s="21" t="s">
        <v>1011</v>
      </c>
      <c r="C30" s="568">
        <v>1</v>
      </c>
    </row>
    <row r="31" spans="1:3" ht="15.75" customHeight="1">
      <c r="A31" s="7"/>
      <c r="B31" s="21"/>
      <c r="C31" s="22"/>
    </row>
    <row r="32" spans="1:3" ht="29.25" customHeight="1">
      <c r="A32" s="7"/>
      <c r="B32" s="693" t="s">
        <v>162</v>
      </c>
      <c r="C32" s="694"/>
    </row>
    <row r="33" spans="1:3" ht="15">
      <c r="A33" s="7">
        <v>1</v>
      </c>
      <c r="B33" s="21" t="s">
        <v>1005</v>
      </c>
      <c r="C33" s="584">
        <v>0.7087</v>
      </c>
    </row>
    <row r="34" spans="1:3" ht="15">
      <c r="A34" s="569">
        <v>2</v>
      </c>
      <c r="B34" s="570" t="s">
        <v>1007</v>
      </c>
      <c r="C34" s="585">
        <v>0.12330000000000001</v>
      </c>
    </row>
    <row r="35" spans="1:3" ht="15">
      <c r="A35" s="569">
        <v>3</v>
      </c>
      <c r="B35" s="570" t="s">
        <v>1009</v>
      </c>
      <c r="C35" s="585">
        <v>0.16800000000000001</v>
      </c>
    </row>
    <row r="36" spans="1:3" ht="15.6" thickBot="1">
      <c r="A36" s="8"/>
      <c r="B36" s="23"/>
      <c r="C36" s="238"/>
    </row>
  </sheetData>
  <mergeCells count="3">
    <mergeCell ref="B16:C16"/>
    <mergeCell ref="B32:C32"/>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J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D47" sqref="D47"/>
    </sheetView>
  </sheetViews>
  <sheetFormatPr defaultRowHeight="14.4"/>
  <cols>
    <col min="1" max="1" width="9.44140625" style="1" bestFit="1" customWidth="1"/>
    <col min="2" max="2" width="47.44140625" style="1" customWidth="1"/>
    <col min="3" max="3" width="28" style="1" customWidth="1"/>
    <col min="4" max="4" width="25.6640625" style="1" customWidth="1"/>
    <col min="5" max="5" width="18.88671875" style="1" customWidth="1"/>
    <col min="6" max="6" width="12" bestFit="1" customWidth="1"/>
    <col min="7" max="7" width="12.44140625" bestFit="1" customWidth="1"/>
  </cols>
  <sheetData>
    <row r="1" spans="1:5">
      <c r="A1" s="10" t="s">
        <v>96</v>
      </c>
      <c r="B1" s="9" t="str">
        <f>Info!C2</f>
        <v>სს პეივ ბანკ ჯორჯია</v>
      </c>
    </row>
    <row r="2" spans="1:5" s="10" customFormat="1" ht="15.75" customHeight="1">
      <c r="A2" s="10" t="s">
        <v>97</v>
      </c>
      <c r="B2" s="245">
        <f>'1. key ratios'!B2</f>
        <v>45930</v>
      </c>
    </row>
    <row r="3" spans="1:5" s="10" customFormat="1" ht="15.75" customHeight="1"/>
    <row r="4" spans="1:5" s="10" customFormat="1" ht="15.75" customHeight="1" thickBot="1">
      <c r="A4" s="127" t="s">
        <v>243</v>
      </c>
      <c r="B4" s="128" t="s">
        <v>156</v>
      </c>
      <c r="C4" s="93"/>
      <c r="D4" s="93"/>
      <c r="E4" s="94" t="s">
        <v>76</v>
      </c>
    </row>
    <row r="5" spans="1:5" s="56" customFormat="1" ht="17.399999999999999" customHeight="1">
      <c r="A5" s="183"/>
      <c r="B5" s="184"/>
      <c r="C5" s="92" t="s">
        <v>0</v>
      </c>
      <c r="D5" s="92" t="s">
        <v>1</v>
      </c>
      <c r="E5" s="185" t="s">
        <v>2</v>
      </c>
    </row>
    <row r="6" spans="1:5" ht="14.4" customHeight="1">
      <c r="A6" s="594"/>
      <c r="B6" s="695" t="s">
        <v>132</v>
      </c>
      <c r="C6" s="695" t="s">
        <v>823</v>
      </c>
      <c r="D6" s="696" t="s">
        <v>131</v>
      </c>
      <c r="E6" s="697"/>
    </row>
    <row r="7" spans="1:5" ht="99.6" customHeight="1">
      <c r="A7" s="594"/>
      <c r="B7" s="695"/>
      <c r="C7" s="695"/>
      <c r="D7" s="592" t="s">
        <v>130</v>
      </c>
      <c r="E7" s="593" t="s">
        <v>340</v>
      </c>
    </row>
    <row r="8" spans="1:5" ht="22.5" customHeight="1">
      <c r="A8" s="596">
        <v>1</v>
      </c>
      <c r="B8" s="597" t="s">
        <v>810</v>
      </c>
      <c r="C8" s="598">
        <f>SUM(C9:C11)</f>
        <v>53340607.230000004</v>
      </c>
      <c r="D8" s="598">
        <f t="shared" ref="D8:E8" si="0">SUM(D9:D11)</f>
        <v>0</v>
      </c>
      <c r="E8" s="599">
        <f t="shared" si="0"/>
        <v>53340607.230000004</v>
      </c>
    </row>
    <row r="9" spans="1:5">
      <c r="A9" s="600">
        <v>1.1000000000000001</v>
      </c>
      <c r="B9" s="601" t="s">
        <v>85</v>
      </c>
      <c r="C9" s="598">
        <f>'2. SOFP'!E8</f>
        <v>0</v>
      </c>
      <c r="D9" s="598"/>
      <c r="E9" s="599">
        <f>C9</f>
        <v>0</v>
      </c>
    </row>
    <row r="10" spans="1:5">
      <c r="A10" s="600">
        <v>1.2</v>
      </c>
      <c r="B10" s="601" t="s">
        <v>86</v>
      </c>
      <c r="C10" s="598">
        <f>'2. SOFP'!E9</f>
        <v>32795751.949999999</v>
      </c>
      <c r="D10" s="598"/>
      <c r="E10" s="599">
        <f>C10</f>
        <v>32795751.949999999</v>
      </c>
    </row>
    <row r="11" spans="1:5">
      <c r="A11" s="600">
        <v>1.3</v>
      </c>
      <c r="B11" s="601" t="s">
        <v>87</v>
      </c>
      <c r="C11" s="598">
        <f>'2. SOFP'!E10</f>
        <v>20544855.280000001</v>
      </c>
      <c r="D11" s="598"/>
      <c r="E11" s="599">
        <f>C11</f>
        <v>20544855.280000001</v>
      </c>
    </row>
    <row r="12" spans="1:5">
      <c r="A12" s="600">
        <v>2</v>
      </c>
      <c r="B12" s="602" t="s">
        <v>697</v>
      </c>
      <c r="C12" s="598">
        <f>'2. SOFP'!E11</f>
        <v>0</v>
      </c>
      <c r="D12" s="598"/>
      <c r="E12" s="599"/>
    </row>
    <row r="13" spans="1:5">
      <c r="A13" s="600">
        <v>2.1</v>
      </c>
      <c r="B13" s="603" t="s">
        <v>698</v>
      </c>
      <c r="C13" s="598">
        <f>'2. SOFP'!E12</f>
        <v>0</v>
      </c>
      <c r="D13" s="598"/>
      <c r="E13" s="599"/>
    </row>
    <row r="14" spans="1:5" ht="33.9" customHeight="1">
      <c r="A14" s="600">
        <v>3</v>
      </c>
      <c r="B14" s="303" t="s">
        <v>699</v>
      </c>
      <c r="C14" s="598">
        <f>'2. SOFP'!E13</f>
        <v>0</v>
      </c>
      <c r="D14" s="598"/>
      <c r="E14" s="599"/>
    </row>
    <row r="15" spans="1:5" ht="32.4" customHeight="1">
      <c r="A15" s="600">
        <v>4</v>
      </c>
      <c r="B15" s="304" t="s">
        <v>700</v>
      </c>
      <c r="C15" s="598">
        <f>'2. SOFP'!E14</f>
        <v>0</v>
      </c>
      <c r="D15" s="598"/>
      <c r="E15" s="599"/>
    </row>
    <row r="16" spans="1:5" ht="23.1" customHeight="1">
      <c r="A16" s="600">
        <v>5</v>
      </c>
      <c r="B16" s="304" t="s">
        <v>701</v>
      </c>
      <c r="C16" s="598">
        <f>SUM(C17:C19)</f>
        <v>0</v>
      </c>
      <c r="D16" s="598">
        <f t="shared" ref="D16:E16" si="1">SUM(D17:D19)</f>
        <v>0</v>
      </c>
      <c r="E16" s="599">
        <f t="shared" si="1"/>
        <v>0</v>
      </c>
    </row>
    <row r="17" spans="1:5">
      <c r="A17" s="600">
        <v>5.0999999999999996</v>
      </c>
      <c r="B17" s="305" t="s">
        <v>702</v>
      </c>
      <c r="C17" s="598">
        <f>'2. SOFP'!E16</f>
        <v>0</v>
      </c>
      <c r="D17" s="598"/>
      <c r="E17" s="599"/>
    </row>
    <row r="18" spans="1:5">
      <c r="A18" s="600">
        <v>5.2</v>
      </c>
      <c r="B18" s="305" t="s">
        <v>537</v>
      </c>
      <c r="C18" s="598">
        <f>'2. SOFP'!E17</f>
        <v>0</v>
      </c>
      <c r="D18" s="598"/>
      <c r="E18" s="599"/>
    </row>
    <row r="19" spans="1:5">
      <c r="A19" s="600">
        <v>5.3</v>
      </c>
      <c r="B19" s="305" t="s">
        <v>703</v>
      </c>
      <c r="C19" s="598"/>
      <c r="D19" s="598"/>
      <c r="E19" s="599"/>
    </row>
    <row r="20" spans="1:5" ht="20.399999999999999">
      <c r="A20" s="600">
        <v>6</v>
      </c>
      <c r="B20" s="303" t="s">
        <v>704</v>
      </c>
      <c r="C20" s="598">
        <f>SUM(C21:C22)</f>
        <v>24619763.620000005</v>
      </c>
      <c r="D20" s="598">
        <f t="shared" ref="D20:E20" si="2">SUM(D21:D22)</f>
        <v>0</v>
      </c>
      <c r="E20" s="599">
        <f t="shared" si="2"/>
        <v>24619763.620000005</v>
      </c>
    </row>
    <row r="21" spans="1:5">
      <c r="A21" s="600">
        <v>6.1</v>
      </c>
      <c r="B21" s="305" t="s">
        <v>537</v>
      </c>
      <c r="C21" s="604">
        <f>'2. SOFP'!E20</f>
        <v>24619763.620000005</v>
      </c>
      <c r="D21" s="604"/>
      <c r="E21" s="605">
        <f>C21</f>
        <v>24619763.620000005</v>
      </c>
    </row>
    <row r="22" spans="1:5">
      <c r="A22" s="600">
        <v>6.2</v>
      </c>
      <c r="B22" s="305" t="s">
        <v>703</v>
      </c>
      <c r="C22" s="604">
        <f>'2. SOFP'!E21</f>
        <v>0</v>
      </c>
      <c r="D22" s="604"/>
      <c r="E22" s="605"/>
    </row>
    <row r="23" spans="1:5" ht="20.399999999999999">
      <c r="A23" s="600">
        <v>7</v>
      </c>
      <c r="B23" s="306" t="s">
        <v>705</v>
      </c>
      <c r="C23" s="604">
        <f>'2. SOFP'!E22</f>
        <v>0</v>
      </c>
      <c r="D23" s="604"/>
      <c r="E23" s="605"/>
    </row>
    <row r="24" spans="1:5" ht="20.399999999999999">
      <c r="A24" s="600">
        <v>8</v>
      </c>
      <c r="B24" s="307" t="s">
        <v>706</v>
      </c>
      <c r="C24" s="604">
        <f>'2. SOFP'!E23</f>
        <v>0</v>
      </c>
      <c r="D24" s="604"/>
      <c r="E24" s="605"/>
    </row>
    <row r="25" spans="1:5">
      <c r="A25" s="600">
        <v>9</v>
      </c>
      <c r="B25" s="304" t="s">
        <v>707</v>
      </c>
      <c r="C25" s="604">
        <f>SUM(C26:C27)</f>
        <v>19459.38</v>
      </c>
      <c r="D25" s="604">
        <f t="shared" ref="D25:E25" si="3">SUM(D26:D27)</f>
        <v>0</v>
      </c>
      <c r="E25" s="605">
        <f t="shared" si="3"/>
        <v>19459.38</v>
      </c>
    </row>
    <row r="26" spans="1:5">
      <c r="A26" s="600">
        <v>9.1</v>
      </c>
      <c r="B26" s="308" t="s">
        <v>708</v>
      </c>
      <c r="C26" s="604">
        <f>'2. SOFP'!E25</f>
        <v>19459.38</v>
      </c>
      <c r="D26" s="604"/>
      <c r="E26" s="605">
        <f>C26</f>
        <v>19459.38</v>
      </c>
    </row>
    <row r="27" spans="1:5">
      <c r="A27" s="600">
        <v>9.1999999999999993</v>
      </c>
      <c r="B27" s="308" t="s">
        <v>709</v>
      </c>
      <c r="C27" s="604">
        <f>'2. SOFP'!E26</f>
        <v>0</v>
      </c>
      <c r="D27" s="604"/>
      <c r="E27" s="605"/>
    </row>
    <row r="28" spans="1:5">
      <c r="A28" s="600">
        <v>10</v>
      </c>
      <c r="B28" s="304" t="s">
        <v>36</v>
      </c>
      <c r="C28" s="604">
        <f>SUM(C29:C30)</f>
        <v>252640.53</v>
      </c>
      <c r="D28" s="604">
        <f t="shared" ref="D28:E28" si="4">SUM(D29:D30)</f>
        <v>252640.53</v>
      </c>
      <c r="E28" s="605">
        <f t="shared" si="4"/>
        <v>0</v>
      </c>
    </row>
    <row r="29" spans="1:5">
      <c r="A29" s="600">
        <v>10.1</v>
      </c>
      <c r="B29" s="308" t="s">
        <v>710</v>
      </c>
      <c r="C29" s="604">
        <f>'2. SOFP'!E28</f>
        <v>0</v>
      </c>
      <c r="D29" s="604"/>
      <c r="E29" s="605"/>
    </row>
    <row r="30" spans="1:5">
      <c r="A30" s="600">
        <v>10.199999999999999</v>
      </c>
      <c r="B30" s="308" t="s">
        <v>711</v>
      </c>
      <c r="C30" s="604">
        <f>'2. SOFP'!E29</f>
        <v>252640.53</v>
      </c>
      <c r="D30" s="604">
        <f>C30</f>
        <v>252640.53</v>
      </c>
      <c r="E30" s="605">
        <f>C30-D30</f>
        <v>0</v>
      </c>
    </row>
    <row r="31" spans="1:5">
      <c r="A31" s="600">
        <v>11</v>
      </c>
      <c r="B31" s="304" t="s">
        <v>712</v>
      </c>
      <c r="C31" s="604">
        <f>SUM(C32:C33)</f>
        <v>0</v>
      </c>
      <c r="D31" s="604">
        <f t="shared" ref="D31:E31" si="5">SUM(D32:D33)</f>
        <v>0</v>
      </c>
      <c r="E31" s="605">
        <f t="shared" si="5"/>
        <v>0</v>
      </c>
    </row>
    <row r="32" spans="1:5">
      <c r="A32" s="600">
        <v>11.1</v>
      </c>
      <c r="B32" s="308" t="s">
        <v>713</v>
      </c>
      <c r="C32" s="604">
        <f>'2. SOFP'!E31</f>
        <v>0</v>
      </c>
      <c r="D32" s="604"/>
      <c r="E32" s="605">
        <f>C32</f>
        <v>0</v>
      </c>
    </row>
    <row r="33" spans="1:10">
      <c r="A33" s="600">
        <v>11.2</v>
      </c>
      <c r="B33" s="308" t="s">
        <v>714</v>
      </c>
      <c r="C33" s="604">
        <f>'2. SOFP'!E32</f>
        <v>0</v>
      </c>
      <c r="D33" s="604"/>
      <c r="E33" s="605"/>
    </row>
    <row r="34" spans="1:10">
      <c r="A34" s="600">
        <v>13</v>
      </c>
      <c r="B34" s="304" t="s">
        <v>88</v>
      </c>
      <c r="C34" s="604">
        <f>'2. SOFP'!E33</f>
        <v>3833381.3299999996</v>
      </c>
      <c r="D34" s="604"/>
      <c r="E34" s="605">
        <f>C34</f>
        <v>3833381.3299999996</v>
      </c>
    </row>
    <row r="35" spans="1:10">
      <c r="A35" s="600">
        <v>13.1</v>
      </c>
      <c r="B35" s="606" t="s">
        <v>715</v>
      </c>
      <c r="C35" s="604">
        <f>'2. SOFP'!E34</f>
        <v>0</v>
      </c>
      <c r="D35" s="604"/>
      <c r="E35" s="605"/>
    </row>
    <row r="36" spans="1:10">
      <c r="A36" s="600">
        <v>13.2</v>
      </c>
      <c r="B36" s="606" t="s">
        <v>716</v>
      </c>
      <c r="C36" s="604">
        <f>'2. SOFP'!E35</f>
        <v>0</v>
      </c>
      <c r="D36" s="604"/>
      <c r="E36" s="605"/>
    </row>
    <row r="37" spans="1:10" ht="42" thickBot="1">
      <c r="A37" s="607"/>
      <c r="B37" s="608" t="s">
        <v>307</v>
      </c>
      <c r="C37" s="609">
        <f>SUM(C8,C12,C14,C15,C16,C20,C23,C24,C25,C28,C31,C34)</f>
        <v>82065852.090000004</v>
      </c>
      <c r="D37" s="609">
        <f t="shared" ref="D37:E37" si="6">SUM(D8,D12,D14,D15,D16,D20,D23,D24,D25,D28,D31,D34)</f>
        <v>252640.53</v>
      </c>
      <c r="E37" s="610">
        <f t="shared" si="6"/>
        <v>81813211.560000002</v>
      </c>
      <c r="G37" t="s">
        <v>999</v>
      </c>
      <c r="H37" s="572">
        <f>-'2. SOFP'!E36+C37</f>
        <v>0</v>
      </c>
      <c r="I37" s="586">
        <v>0</v>
      </c>
      <c r="J37" s="586">
        <v>0</v>
      </c>
    </row>
    <row r="38" spans="1:10">
      <c r="A38"/>
      <c r="B38"/>
      <c r="C38"/>
      <c r="D38"/>
      <c r="E38"/>
    </row>
    <row r="39" spans="1:10">
      <c r="A39"/>
      <c r="B39"/>
      <c r="C39"/>
      <c r="D39"/>
      <c r="E39"/>
    </row>
    <row r="40" spans="1:10">
      <c r="C40" s="571"/>
    </row>
    <row r="41" spans="1:10" s="1" customFormat="1">
      <c r="B41" s="25"/>
      <c r="F41"/>
      <c r="G41"/>
    </row>
    <row r="42" spans="1:10" s="1" customFormat="1">
      <c r="B42" s="26"/>
      <c r="F42"/>
      <c r="G42"/>
    </row>
    <row r="43" spans="1:10" s="1" customFormat="1">
      <c r="B43" s="25"/>
      <c r="F43"/>
      <c r="G43"/>
    </row>
    <row r="44" spans="1:10" s="1" customFormat="1">
      <c r="B44" s="25"/>
      <c r="F44"/>
      <c r="G44"/>
    </row>
    <row r="45" spans="1:10" s="1" customFormat="1">
      <c r="B45" s="25"/>
      <c r="F45"/>
      <c r="G45"/>
    </row>
    <row r="46" spans="1:10" s="1" customFormat="1">
      <c r="B46" s="25"/>
      <c r="F46"/>
      <c r="G46"/>
    </row>
    <row r="47" spans="1:10" s="1" customFormat="1">
      <c r="B47" s="25"/>
      <c r="F47"/>
      <c r="G47"/>
    </row>
    <row r="48" spans="1:10" s="1" customFormat="1">
      <c r="B48" s="26"/>
      <c r="F48"/>
      <c r="G48"/>
    </row>
    <row r="49" spans="2:7" s="1" customFormat="1">
      <c r="B49" s="26"/>
      <c r="F49"/>
      <c r="G49"/>
    </row>
    <row r="50" spans="2:7" s="1" customFormat="1">
      <c r="B50" s="26"/>
      <c r="F50"/>
      <c r="G50"/>
    </row>
    <row r="51" spans="2:7" s="1" customFormat="1">
      <c r="B51" s="26"/>
      <c r="F51"/>
      <c r="G51"/>
    </row>
    <row r="52" spans="2:7" s="1" customFormat="1">
      <c r="B52" s="26"/>
      <c r="F52"/>
      <c r="G52"/>
    </row>
    <row r="53" spans="2:7" s="1" customFormat="1">
      <c r="B53" s="26"/>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C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F17" sqref="F17:F18"/>
    </sheetView>
  </sheetViews>
  <sheetFormatPr defaultRowHeight="14.4" outlineLevelRow="1"/>
  <cols>
    <col min="1" max="1" width="9.44140625" style="1" bestFit="1" customWidth="1"/>
    <col min="2" max="2" width="114.109375" style="1" customWidth="1"/>
    <col min="3" max="3" width="18.88671875" customWidth="1"/>
  </cols>
  <sheetData>
    <row r="1" spans="1:3">
      <c r="A1" s="10" t="s">
        <v>96</v>
      </c>
      <c r="B1" s="9" t="str">
        <f>Info!C2</f>
        <v>სს პეივ ბანკ ჯორჯია</v>
      </c>
    </row>
    <row r="2" spans="1:3" s="10" customFormat="1" ht="15.75" customHeight="1">
      <c r="A2" s="10" t="s">
        <v>97</v>
      </c>
      <c r="B2" s="245">
        <f>'1. key ratios'!B2</f>
        <v>45930</v>
      </c>
      <c r="C2"/>
    </row>
    <row r="3" spans="1:3" s="10" customFormat="1" ht="15.75" customHeight="1">
      <c r="C3"/>
    </row>
    <row r="4" spans="1:3" s="10" customFormat="1" ht="28.2" thickBot="1">
      <c r="A4" s="10" t="s">
        <v>244</v>
      </c>
      <c r="B4" s="100" t="s">
        <v>159</v>
      </c>
      <c r="C4" s="94" t="s">
        <v>76</v>
      </c>
    </row>
    <row r="5" spans="1:3">
      <c r="A5" s="95">
        <v>1</v>
      </c>
      <c r="B5" s="96" t="s">
        <v>694</v>
      </c>
      <c r="C5" s="132">
        <f>'7. LI1'!E37</f>
        <v>81813211.560000002</v>
      </c>
    </row>
    <row r="6" spans="1:3">
      <c r="A6" s="55">
        <v>2.1</v>
      </c>
      <c r="B6" s="102" t="s">
        <v>828</v>
      </c>
      <c r="C6" s="133">
        <v>0</v>
      </c>
    </row>
    <row r="7" spans="1:3" s="2" customFormat="1" ht="27.6" outlineLevel="1">
      <c r="A7" s="101">
        <v>2.2000000000000002</v>
      </c>
      <c r="B7" s="97" t="s">
        <v>829</v>
      </c>
      <c r="C7" s="134">
        <v>0</v>
      </c>
    </row>
    <row r="8" spans="1:3" s="2" customFormat="1" ht="27.6">
      <c r="A8" s="101">
        <v>3</v>
      </c>
      <c r="B8" s="98" t="s">
        <v>695</v>
      </c>
      <c r="C8" s="135">
        <f>SUM(C5:C7)</f>
        <v>81813211.560000002</v>
      </c>
    </row>
    <row r="9" spans="1:3">
      <c r="A9" s="55">
        <v>4</v>
      </c>
      <c r="B9" s="105" t="s">
        <v>157</v>
      </c>
      <c r="C9" s="133"/>
    </row>
    <row r="10" spans="1:3" s="2" customFormat="1" ht="27.6" outlineLevel="1">
      <c r="A10" s="101">
        <v>5.0999999999999996</v>
      </c>
      <c r="B10" s="97" t="s">
        <v>163</v>
      </c>
      <c r="C10" s="134">
        <v>0</v>
      </c>
    </row>
    <row r="11" spans="1:3" s="2" customFormat="1" ht="27.6" outlineLevel="1">
      <c r="A11" s="101">
        <v>5.2</v>
      </c>
      <c r="B11" s="97" t="s">
        <v>164</v>
      </c>
      <c r="C11" s="134">
        <v>0</v>
      </c>
    </row>
    <row r="12" spans="1:3" s="2" customFormat="1">
      <c r="A12" s="101">
        <v>6</v>
      </c>
      <c r="B12" s="103" t="s">
        <v>995</v>
      </c>
      <c r="C12" s="134"/>
    </row>
    <row r="13" spans="1:3" s="2" customFormat="1" ht="15" thickBot="1">
      <c r="A13" s="104">
        <v>7</v>
      </c>
      <c r="B13" s="99" t="s">
        <v>158</v>
      </c>
      <c r="C13" s="136">
        <f>SUM(C8:C12)</f>
        <v>81813211.560000002</v>
      </c>
    </row>
    <row r="15" spans="1:3">
      <c r="B15" s="14"/>
    </row>
    <row r="17" spans="2:3" s="1" customFormat="1">
      <c r="B17" s="27"/>
      <c r="C17"/>
    </row>
    <row r="18" spans="2:3" s="1" customFormat="1">
      <c r="B18" s="24"/>
      <c r="C18"/>
    </row>
    <row r="19" spans="2:3" s="1" customFormat="1">
      <c r="B19" s="24"/>
      <c r="C19"/>
    </row>
    <row r="20" spans="2:3" s="1" customFormat="1">
      <c r="B20" s="26"/>
      <c r="C20"/>
    </row>
    <row r="21" spans="2:3" s="1" customFormat="1">
      <c r="B21" s="25"/>
      <c r="C21"/>
    </row>
    <row r="22" spans="2:3" s="1" customFormat="1">
      <c r="B22" s="26"/>
      <c r="C22"/>
    </row>
    <row r="23" spans="2:3" s="1" customFormat="1">
      <c r="B23" s="25"/>
      <c r="C23"/>
    </row>
    <row r="24" spans="2:3" s="1" customFormat="1">
      <c r="B24" s="25"/>
      <c r="C24"/>
    </row>
    <row r="25" spans="2:3" s="1" customFormat="1">
      <c r="B25" s="25"/>
      <c r="C25"/>
    </row>
    <row r="26" spans="2:3" s="1" customFormat="1">
      <c r="B26" s="25"/>
      <c r="C26"/>
    </row>
    <row r="27" spans="2:3" s="1" customFormat="1">
      <c r="B27" s="25"/>
      <c r="C27"/>
    </row>
    <row r="28" spans="2:3" s="1" customFormat="1">
      <c r="B28" s="26"/>
      <c r="C28"/>
    </row>
    <row r="29" spans="2:3" s="1" customFormat="1">
      <c r="B29" s="26"/>
      <c r="C29"/>
    </row>
    <row r="30" spans="2:3" s="1" customFormat="1">
      <c r="B30" s="26"/>
      <c r="C30"/>
    </row>
    <row r="31" spans="2:3" s="1" customFormat="1">
      <c r="B31" s="26"/>
      <c r="C31"/>
    </row>
    <row r="32" spans="2:3" s="1" customFormat="1">
      <c r="B32" s="26"/>
      <c r="C32"/>
    </row>
    <row r="33" spans="2:3" s="1" customFormat="1">
      <c r="B33" s="26"/>
      <c r="C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2025-10-30T17:24:36Z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