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A812C3BB-43AD-44B7-AC43-31E934012BFF}" xr6:coauthVersionLast="47" xr6:coauthVersionMax="47" xr10:uidLastSave="{00000000-0000-0000-0000-000000000000}"/>
  <bookViews>
    <workbookView xWindow="-108" yWindow="-108" windowWidth="23256" windowHeight="14016" tabRatio="842"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79" l="1"/>
  <c r="C11" i="79"/>
  <c r="C10" i="79"/>
  <c r="B1" i="107"/>
  <c r="B1" i="37"/>
  <c r="G69" i="92" l="1"/>
  <c r="F69" i="92"/>
  <c r="E19" i="36" l="1"/>
  <c r="E15" i="36"/>
  <c r="E14" i="36"/>
  <c r="E13" i="36"/>
  <c r="E12" i="36"/>
  <c r="H12" i="36"/>
  <c r="K14" i="36"/>
  <c r="K13" i="36"/>
  <c r="K12" i="36"/>
  <c r="K10" i="36"/>
  <c r="H14" i="36"/>
  <c r="H13" i="36"/>
  <c r="H10" i="36"/>
  <c r="E11" i="36" l="1"/>
  <c r="K8" i="36" l="1"/>
  <c r="K15" i="36" l="1"/>
  <c r="H15" i="36"/>
  <c r="H8" i="36" l="1"/>
  <c r="H11" i="36" l="1"/>
  <c r="K11" i="36" l="1"/>
  <c r="K19" i="36"/>
  <c r="H19" i="36"/>
  <c r="G35" i="80" l="1"/>
  <c r="G23" i="80"/>
  <c r="G26" i="80"/>
  <c r="G20" i="80"/>
  <c r="G15" i="80"/>
  <c r="G9" i="80"/>
  <c r="C8" i="80"/>
  <c r="D8" i="80"/>
  <c r="E8" i="80"/>
  <c r="K21" i="36"/>
  <c r="J21" i="36"/>
  <c r="I21" i="36"/>
  <c r="H21" i="36"/>
  <c r="G21" i="36"/>
  <c r="F21" i="36"/>
  <c r="E21" i="36"/>
  <c r="C21" i="36"/>
  <c r="D16" i="36"/>
  <c r="J23" i="36"/>
  <c r="F23" i="36"/>
  <c r="D31" i="72"/>
  <c r="D25" i="72"/>
  <c r="E20" i="72"/>
  <c r="D20" i="72"/>
  <c r="E16" i="72"/>
  <c r="D16" i="72"/>
  <c r="D37" i="93"/>
  <c r="C37" i="93"/>
  <c r="D34" i="93"/>
  <c r="C34" i="93"/>
  <c r="F6" i="93"/>
  <c r="F47" i="92"/>
  <c r="G30" i="92"/>
  <c r="F30" i="92"/>
  <c r="G24" i="92"/>
  <c r="F24" i="92"/>
  <c r="F19" i="92"/>
  <c r="E18" i="92"/>
  <c r="C17" i="69" s="1"/>
  <c r="E66" i="92" l="1"/>
  <c r="C65" i="69" s="1"/>
  <c r="D13" i="93"/>
  <c r="G10" i="74"/>
  <c r="G14" i="74"/>
  <c r="G18" i="74"/>
  <c r="C31" i="79"/>
  <c r="C30" i="92"/>
  <c r="E30" i="92" s="1"/>
  <c r="E32" i="92"/>
  <c r="E33" i="92"/>
  <c r="C34" i="72" s="1"/>
  <c r="E55" i="92"/>
  <c r="C54" i="69" s="1"/>
  <c r="G11" i="74"/>
  <c r="G15" i="74"/>
  <c r="G19" i="74"/>
  <c r="D7" i="97"/>
  <c r="D47" i="92"/>
  <c r="G8" i="74"/>
  <c r="G12" i="74"/>
  <c r="G16" i="74"/>
  <c r="G20" i="74"/>
  <c r="D8" i="97"/>
  <c r="C27" i="92"/>
  <c r="D30" i="92"/>
  <c r="D39" i="92"/>
  <c r="D19" i="92"/>
  <c r="D24" i="92"/>
  <c r="C59" i="92"/>
  <c r="E61" i="92"/>
  <c r="C60" i="69" s="1"/>
  <c r="C13" i="93"/>
  <c r="G9" i="74"/>
  <c r="G13" i="74"/>
  <c r="G17" i="74"/>
  <c r="G21" i="74"/>
  <c r="D33" i="97"/>
  <c r="F27" i="92"/>
  <c r="G6" i="93"/>
  <c r="G19" i="92"/>
  <c r="E42" i="92"/>
  <c r="C41" i="69" s="1"/>
  <c r="E43" i="92"/>
  <c r="C42" i="69" s="1"/>
  <c r="E45" i="92"/>
  <c r="C44" i="69" s="1"/>
  <c r="E46" i="92"/>
  <c r="C45" i="69" s="1"/>
  <c r="E64" i="92"/>
  <c r="C63" i="69" s="1"/>
  <c r="E65" i="92"/>
  <c r="C64" i="69" s="1"/>
  <c r="G27" i="92"/>
  <c r="G29" i="93"/>
  <c r="G34" i="93"/>
  <c r="G37" i="93"/>
  <c r="D59" i="92"/>
  <c r="E17" i="92"/>
  <c r="C18" i="72" s="1"/>
  <c r="E20" i="92"/>
  <c r="C21" i="72" s="1"/>
  <c r="E21" i="92"/>
  <c r="C22" i="72" s="1"/>
  <c r="E23" i="92"/>
  <c r="C24" i="72" s="1"/>
  <c r="E56" i="92"/>
  <c r="C55" i="69" s="1"/>
  <c r="E25" i="92"/>
  <c r="C26" i="72" s="1"/>
  <c r="C22" i="74"/>
  <c r="C22" i="69"/>
  <c r="C32" i="69"/>
  <c r="C33" i="72"/>
  <c r="C31" i="69"/>
  <c r="C24" i="92"/>
  <c r="E24" i="92" s="1"/>
  <c r="G13" i="93"/>
  <c r="C29" i="93"/>
  <c r="F8" i="80"/>
  <c r="G10" i="80"/>
  <c r="C19" i="92"/>
  <c r="E22" i="92"/>
  <c r="E28" i="92"/>
  <c r="C39" i="92"/>
  <c r="E38" i="92"/>
  <c r="C37" i="69" s="1"/>
  <c r="E57" i="92"/>
  <c r="C56" i="69" s="1"/>
  <c r="E58" i="92"/>
  <c r="C57" i="69" s="1"/>
  <c r="C63" i="92"/>
  <c r="F37" i="93"/>
  <c r="C16" i="36"/>
  <c r="E16" i="36" s="1"/>
  <c r="G16" i="36"/>
  <c r="G24" i="36" s="1"/>
  <c r="I16" i="36"/>
  <c r="E49" i="92"/>
  <c r="C48" i="69" s="1"/>
  <c r="E50" i="92"/>
  <c r="C49" i="69" s="1"/>
  <c r="E59" i="92"/>
  <c r="F29" i="93"/>
  <c r="F16" i="36"/>
  <c r="J16" i="36"/>
  <c r="J24" i="36" s="1"/>
  <c r="J25" i="36" s="1"/>
  <c r="D21" i="36"/>
  <c r="H23" i="36"/>
  <c r="I23" i="36"/>
  <c r="G23" i="36"/>
  <c r="K23" i="36"/>
  <c r="F34" i="93"/>
  <c r="F13" i="93"/>
  <c r="E67" i="92"/>
  <c r="C66" i="69" s="1"/>
  <c r="E60" i="92"/>
  <c r="C59" i="69" s="1"/>
  <c r="E62" i="92"/>
  <c r="C61" i="69" s="1"/>
  <c r="D63" i="92"/>
  <c r="E51" i="92"/>
  <c r="C50" i="69" s="1"/>
  <c r="E44" i="92"/>
  <c r="C43" i="69" s="1"/>
  <c r="E48" i="92"/>
  <c r="C47" i="69" s="1"/>
  <c r="E52" i="92"/>
  <c r="C51" i="69" s="1"/>
  <c r="C47" i="92"/>
  <c r="E47" i="92" s="1"/>
  <c r="G47" i="92"/>
  <c r="E34" i="92"/>
  <c r="E31" i="92"/>
  <c r="E35" i="92"/>
  <c r="E16" i="92"/>
  <c r="E26" i="92"/>
  <c r="E34" i="72" l="1"/>
  <c r="E26" i="72"/>
  <c r="C58" i="69"/>
  <c r="E19" i="92"/>
  <c r="D29" i="93"/>
  <c r="E39" i="92"/>
  <c r="C38" i="69" s="1"/>
  <c r="E29" i="92"/>
  <c r="G43" i="93"/>
  <c r="G45" i="93" s="1"/>
  <c r="C16" i="69"/>
  <c r="C19" i="69"/>
  <c r="C62" i="69"/>
  <c r="C40" i="69"/>
  <c r="C24" i="69"/>
  <c r="D27" i="92"/>
  <c r="E27" i="92" s="1"/>
  <c r="G25" i="36"/>
  <c r="H16" i="36"/>
  <c r="H24" i="36" s="1"/>
  <c r="F24" i="36"/>
  <c r="F25" i="36" s="1"/>
  <c r="I24" i="36"/>
  <c r="I25" i="36" s="1"/>
  <c r="K16" i="36"/>
  <c r="K24" i="36" s="1"/>
  <c r="K25" i="36" s="1"/>
  <c r="C20" i="69"/>
  <c r="C46" i="69"/>
  <c r="C20" i="72"/>
  <c r="C67" i="69"/>
  <c r="C36" i="72"/>
  <c r="C34" i="69"/>
  <c r="C32" i="72"/>
  <c r="C30" i="69"/>
  <c r="C27" i="72"/>
  <c r="C25" i="69"/>
  <c r="C35" i="72"/>
  <c r="C33" i="69"/>
  <c r="E63" i="92"/>
  <c r="C29" i="72"/>
  <c r="C27" i="69"/>
  <c r="C17" i="72"/>
  <c r="C15" i="69"/>
  <c r="F43" i="93"/>
  <c r="F45" i="93" s="1"/>
  <c r="C23" i="72"/>
  <c r="C21" i="69"/>
  <c r="C30" i="72"/>
  <c r="C28" i="69"/>
  <c r="E25" i="72"/>
  <c r="C44" i="6"/>
  <c r="C16" i="72" l="1"/>
  <c r="C29" i="69"/>
  <c r="C25" i="72"/>
  <c r="D30" i="72"/>
  <c r="C23" i="69"/>
  <c r="C18" i="69"/>
  <c r="C26" i="69"/>
  <c r="C28" i="72"/>
  <c r="C45" i="6"/>
  <c r="H25" i="36"/>
  <c r="C46" i="6" s="1"/>
  <c r="E32" i="72"/>
  <c r="C31" i="72"/>
  <c r="E31" i="72" l="1"/>
  <c r="D28" i="72"/>
  <c r="E30" i="72"/>
  <c r="C38" i="94"/>
  <c r="E28" i="72" l="1"/>
  <c r="Q33" i="37"/>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Q14" i="37" s="1"/>
  <c r="I17" i="37"/>
  <c r="Q16" i="37"/>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L6" i="37" s="1"/>
  <c r="L34" i="37" s="1"/>
  <c r="K8" i="37"/>
  <c r="K6" i="37" s="1"/>
  <c r="K34" i="37" s="1"/>
  <c r="J8" i="37"/>
  <c r="J6" i="37" s="1"/>
  <c r="J34" i="37" s="1"/>
  <c r="G8" i="37"/>
  <c r="F8" i="37"/>
  <c r="I8" i="37" s="1"/>
  <c r="C8" i="37"/>
  <c r="P7" i="37"/>
  <c r="O7" i="37"/>
  <c r="O6" i="37" s="1"/>
  <c r="O34" i="37" s="1"/>
  <c r="N7" i="37"/>
  <c r="N6" i="37" s="1"/>
  <c r="N34" i="37" s="1"/>
  <c r="M7" i="37"/>
  <c r="M6" i="37" s="1"/>
  <c r="M34" i="37" s="1"/>
  <c r="L7" i="37"/>
  <c r="K7" i="37"/>
  <c r="J7" i="37"/>
  <c r="G7" i="37"/>
  <c r="F7" i="37"/>
  <c r="F6" i="37" s="1"/>
  <c r="F34" i="37" s="1"/>
  <c r="C7" i="37"/>
  <c r="C6" i="37" s="1"/>
  <c r="C34" i="37" s="1"/>
  <c r="P6" i="37"/>
  <c r="P34" i="37" s="1"/>
  <c r="G6" i="37"/>
  <c r="G34" i="37" s="1"/>
  <c r="E6" i="37"/>
  <c r="E34" i="37" s="1"/>
  <c r="D6" i="37"/>
  <c r="D34" i="37" s="1"/>
  <c r="C26" i="79"/>
  <c r="C22" i="79"/>
  <c r="C8" i="79"/>
  <c r="I34" i="37" l="1"/>
  <c r="C12" i="79" s="1"/>
  <c r="C14" i="79" s="1"/>
  <c r="C32" i="79" s="1"/>
  <c r="Q26" i="37"/>
  <c r="Q10" i="37"/>
  <c r="I7" i="37"/>
  <c r="I6" i="37" s="1"/>
  <c r="Q8" i="37"/>
  <c r="Q7" i="37"/>
  <c r="Q6" i="37" s="1"/>
  <c r="Q34" i="37" s="1"/>
  <c r="C34" i="79" l="1"/>
  <c r="F6" i="107"/>
  <c r="E6" i="107"/>
  <c r="D6" i="107"/>
  <c r="C6" i="107"/>
  <c r="H8" i="74" l="1"/>
  <c r="G38" i="94"/>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1" i="96"/>
  <c r="H22" i="95"/>
  <c r="C14" i="69"/>
  <c r="D8"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D43" i="93" s="1"/>
  <c r="D45" i="93" s="1"/>
  <c r="C6" i="93"/>
  <c r="C43" i="93" s="1"/>
  <c r="C45" i="93" s="1"/>
  <c r="G68" i="92"/>
  <c r="F68" i="92"/>
  <c r="H67" i="92"/>
  <c r="H66" i="92"/>
  <c r="H65" i="92"/>
  <c r="H64" i="92"/>
  <c r="H63" i="92"/>
  <c r="H62" i="92"/>
  <c r="H61" i="92"/>
  <c r="H60" i="92"/>
  <c r="H59" i="92"/>
  <c r="D68" i="92"/>
  <c r="C68" i="92"/>
  <c r="H58" i="92"/>
  <c r="H57" i="92"/>
  <c r="H56" i="92"/>
  <c r="H55" i="92"/>
  <c r="H52" i="92"/>
  <c r="H51" i="92"/>
  <c r="H50" i="92"/>
  <c r="H49" i="92"/>
  <c r="H48" i="92"/>
  <c r="H46" i="92"/>
  <c r="H45" i="92"/>
  <c r="H44" i="92"/>
  <c r="H43" i="92"/>
  <c r="H42" i="92"/>
  <c r="G41" i="92"/>
  <c r="G53" i="92" s="1"/>
  <c r="F41" i="92"/>
  <c r="D41" i="92"/>
  <c r="C41" i="92"/>
  <c r="H40" i="92"/>
  <c r="E40" i="92"/>
  <c r="C39" i="69" s="1"/>
  <c r="C52" i="69" s="1"/>
  <c r="C68" i="69" s="1"/>
  <c r="H39" i="92"/>
  <c r="H38" i="92"/>
  <c r="H35" i="92"/>
  <c r="H34" i="92"/>
  <c r="H33" i="92"/>
  <c r="H32" i="92"/>
  <c r="H31" i="92"/>
  <c r="H29" i="92"/>
  <c r="H28" i="92"/>
  <c r="H27" i="92"/>
  <c r="H26" i="92"/>
  <c r="H25" i="92"/>
  <c r="H23" i="92"/>
  <c r="H22" i="92"/>
  <c r="H21" i="92"/>
  <c r="H20" i="92"/>
  <c r="H19" i="92"/>
  <c r="H18" i="92"/>
  <c r="H17" i="92"/>
  <c r="H16" i="92"/>
  <c r="G15" i="92"/>
  <c r="F15" i="92"/>
  <c r="D15" i="92"/>
  <c r="C15" i="92"/>
  <c r="H14" i="92"/>
  <c r="E14" i="92"/>
  <c r="H13" i="92"/>
  <c r="E13" i="92"/>
  <c r="H12" i="92"/>
  <c r="E12" i="92"/>
  <c r="H11" i="92"/>
  <c r="E11" i="92"/>
  <c r="H10" i="92"/>
  <c r="E10" i="92"/>
  <c r="H9" i="92"/>
  <c r="E9" i="92"/>
  <c r="H8" i="92"/>
  <c r="E8" i="92"/>
  <c r="G7" i="92"/>
  <c r="G36" i="92" s="1"/>
  <c r="F7" i="92"/>
  <c r="D7" i="92"/>
  <c r="C7" i="92"/>
  <c r="H7" i="92" l="1"/>
  <c r="C10" i="72"/>
  <c r="C8" i="69"/>
  <c r="C12" i="72"/>
  <c r="C10" i="69"/>
  <c r="C14" i="72"/>
  <c r="C12" i="69"/>
  <c r="E68" i="92"/>
  <c r="C9" i="72"/>
  <c r="C7" i="69"/>
  <c r="C11" i="72"/>
  <c r="C9" i="69"/>
  <c r="C13" i="72"/>
  <c r="C11" i="69"/>
  <c r="C15" i="72"/>
  <c r="C13" i="69"/>
  <c r="H15" i="92"/>
  <c r="E15" i="92"/>
  <c r="F36" i="92"/>
  <c r="H36" i="92" s="1"/>
  <c r="E6" i="93"/>
  <c r="H30" i="92"/>
  <c r="H45" i="93"/>
  <c r="C36" i="92"/>
  <c r="D36" i="92"/>
  <c r="E41" i="92"/>
  <c r="H47" i="92"/>
  <c r="D53" i="92"/>
  <c r="H41" i="92"/>
  <c r="H8" i="94"/>
  <c r="E8" i="94"/>
  <c r="E14" i="94"/>
  <c r="H38" i="94"/>
  <c r="E30" i="94"/>
  <c r="E11" i="94"/>
  <c r="E17" i="94"/>
  <c r="H11" i="94"/>
  <c r="H14" i="94"/>
  <c r="H43" i="93"/>
  <c r="H6" i="93"/>
  <c r="H69" i="92"/>
  <c r="C53" i="92"/>
  <c r="H68" i="92"/>
  <c r="F53" i="92"/>
  <c r="H53" i="92" s="1"/>
  <c r="E7" i="92"/>
  <c r="H24" i="92"/>
  <c r="E10" i="72" l="1"/>
  <c r="E11" i="72"/>
  <c r="C6" i="69"/>
  <c r="C35" i="69" s="1"/>
  <c r="C8" i="72"/>
  <c r="C37" i="72" s="1"/>
  <c r="E9" i="72"/>
  <c r="D69" i="92"/>
  <c r="E36" i="92"/>
  <c r="E45" i="93"/>
  <c r="E43" i="93"/>
  <c r="C69" i="92"/>
  <c r="E53" i="92"/>
  <c r="E8" i="72" l="1"/>
  <c r="E37" i="72" s="1"/>
  <c r="E69" i="92"/>
  <c r="B1" i="80"/>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l="1"/>
  <c r="G39" i="80" s="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H22" i="74" s="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B10" i="105"/>
  <c r="C6" i="28"/>
  <c r="B9" i="105" l="1"/>
  <c r="C29" i="28"/>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7" i="105" l="1"/>
  <c r="B16" i="105" s="1"/>
  <c r="B14" i="105" s="1"/>
  <c r="C5" i="71"/>
  <c r="E5" i="71"/>
  <c r="F5" i="71"/>
  <c r="D5" i="71"/>
  <c r="B6" i="105" l="1"/>
  <c r="B21" i="105" s="1"/>
  <c r="B23" i="105"/>
  <c r="C25" i="6" s="1"/>
  <c r="B22"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<sst xmlns="http://schemas.openxmlformats.org/spreadsheetml/2006/main" count="1634" uniqueCount="1015">
  <si>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</si>
  <si>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</si>
  <si>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</si>
  <si>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</si>
  <si>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</si>
  <si>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</si>
  <si>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</si>
  <si>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</si>
  <si>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</si>
  <si>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</si>
  <si>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</si>
  <si>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</si>
  <si>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</si>
  <si>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</si>
  <si>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</si>
  <si>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</si>
  <si>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</si>
  <si>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</si>
  <si>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</si>
  <si>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</si>
  <si>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</si>
  <si>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</si>
  <si>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</si>
  <si>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</si>
  <si>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</si>
  <si>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</si>
  <si>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</si>
  <si>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</si>
  <si>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</si>
  <si>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</si>
  <si>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</si>
  <si>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</si>
  <si>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</si>
  <si>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</si>
  <si>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</si>
  <si>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</si>
  <si>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</si>
  <si>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</si>
  <si>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</si>
  <si>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</si>
  <si>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</si>
  <si>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</si>
  <si>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</si>
  <si>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</si>
  <si>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</si>
  <si>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</si>
  <si>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</si>
  <si>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</si>
  <si>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</si>
  <si>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</si>
  <si>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</si>
  <si>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</si>
  <si>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</si>
  <si>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</si>
  <si>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</si>
  <si>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</si>
  <si>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</si>
  <si>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</si>
  <si>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</si>
  <si>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</si>
  <si>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</si>
  <si>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</si>
  <si>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</si>
  <si>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</si>
  <si>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</si>
  <si>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</si>
  <si>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</si>
  <si>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</si>
  <si>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</si>
  <si>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</si>
  <si>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</si>
  <si>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</si>
  <si>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</si>
  <si>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</si>
  <si>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</si>
  <si>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</si>
  <si>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</si>
  <si>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</si>
  <si>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</si>
  <si>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</si>
  <si>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</si>
  <si>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</si>
  <si>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</si>
  <si>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</si>
  <si>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</si>
  <si>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</si>
  <si>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</si>
  <si>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</si>
  <si>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</si>
  <si>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</si>
  <si>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</si>
  <si>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</si>
  <si>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</si>
  <si>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</si>
  <si>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</si>
  <si>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</si>
  <si>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</si>
  <si>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</si>
  <si>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</si>
  <si>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</si>
  <si>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</si>
  <si>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</si>
  <si>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</si>
  <si>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</si>
  <si>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</si>
  <si>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</si>
  <si>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</si>
  <si>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</si>
  <si>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</si>
  <si>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</si>
  <si>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</si>
  <si>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</si>
  <si>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</si>
  <si>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</si>
  <si>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</si>
  <si>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</si>
  <si>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</si>
  <si>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</si>
  <si>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</si>
  <si>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</si>
  <si>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</si>
  <si>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</si>
  <si>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</si>
  <si>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</si>
  <si>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</si>
  <si>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</si>
  <si>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</si>
  <si>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</si>
  <si>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</si>
  <si>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</si>
  <si>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</si>
  <si>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</si>
  <si>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</si>
  <si>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</si>
  <si>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</si>
  <si>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</si>
  <si>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</si>
  <si>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</si>
  <si>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</si>
  <si>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</si>
  <si>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</si>
  <si>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</si>
  <si>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</si>
  <si>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</si>
  <si>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</si>
  <si>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</si>
  <si>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</si>
  <si>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</si>
  <si>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</si>
  <si>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</si>
  <si>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</si>
  <si>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</si>
  <si>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</si>
  <si>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</si>
  <si>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</si>
  <si>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</si>
  <si>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</si>
  <si>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</si>
  <si>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</si>
  <si>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</si>
  <si>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</si>
  <si>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</si>
  <si>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</si>
  <si>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</si>
  <si>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</si>
  <si>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</si>
  <si>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</si>
  <si>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</si>
  <si>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</si>
  <si>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</si>
  <si>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</si>
  <si>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</si>
  <si>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</si>
  <si>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</si>
  <si>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</si>
  <si>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</si>
  <si>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</si>
  <si>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</si>
  <si>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</si>
  <si>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</si>
  <si>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</si>
  <si>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</si>
  <si>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</si>
  <si>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</si>
  <si>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</si>
  <si>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</si>
  <si>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</si>
  <si>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</si>
  <si>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</si>
  <si>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</si>
  <si>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</si>
  <si>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</si>
  <si>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</si>
  <si>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</si>
  <si>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</si>
  <si>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</si>
  <si>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</si>
  <si>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</si>
  <si>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</si>
  <si>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</si>
  <si>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</si>
  <si>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</si>
  <si>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</si>
  <si>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</si>
  <si>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</si>
  <si>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</si>
  <si>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</si>
  <si>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</si>
  <si>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</si>
  <si>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</si>
  <si>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</si>
  <si>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</si>
  <si>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</si>
  <si>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</si>
  <si>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</si>
  <si>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</si>
  <si>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</si>
  <si>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</si>
  <si>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</si>
  <si>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</si>
  <si>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</si>
  <si>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</si>
  <si>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</si>
  <si>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</si>
  <si>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</si>
  <si>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</si>
  <si>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</si>
  <si>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</si>
  <si>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</si>
  <si>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</si>
  <si>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</si>
  <si>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</si>
  <si>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</si>
  <si>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</si>
  <si>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</si>
  <si>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</si>
  <si>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</si>
  <si>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</si>
  <si>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</si>
  <si>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</si>
  <si>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</si>
  <si>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</si>
  <si>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</si>
  <si>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</si>
  <si>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</si>
  <si>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</si>
  <si>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</si>
  <si>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</si>
  <si>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</si>
  <si>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</si>
  <si>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</si>
  <si>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</si>
  <si>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</si>
  <si>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</si>
  <si>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</si>
  <si>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</si>
  <si>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</si>
  <si>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</si>
  <si>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</si>
  <si>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</si>
  <si>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</si>
  <si>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</si>
  <si>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</si>
  <si>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</si>
  <si>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</si>
  <si>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</si>
  <si>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</si>
  <si>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</si>
  <si>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</si>
  <si>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</si>
  <si>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</si>
  <si>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</si>
  <si>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</si>
  <si>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</si>
  <si>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</si>
  <si>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</si>
  <si>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</si>
  <si>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</si>
  <si>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</si>
  <si>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</si>
  <si>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</si>
  <si>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</si>
  <si>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</si>
  <si>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</si>
  <si>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</si>
  <si>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</si>
  <si>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</si>
  <si>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</si>
  <si>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</si>
  <si>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</si>
  <si>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</si>
  <si>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</si>
  <si>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</si>
  <si>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</si>
  <si>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</si>
  <si>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</si>
  <si>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</si>
  <si>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</si>
  <si>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</si>
  <si>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</si>
  <si>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</si>
  <si>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</si>
  <si>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</si>
  <si>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</si>
  <si>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</si>
  <si>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</si>
  <si>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</si>
  <si>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</si>
  <si>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</si>
  <si>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</si>
  <si>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</si>
  <si>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</si>
  <si>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</si>
  <si>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</si>
  <si>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</si>
  <si>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</si>
  <si>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</si>
  <si>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</si>
  <si>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</si>
  <si>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</si>
  <si>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</si>
  <si>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</si>
  <si>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</si>
  <si>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</si>
  <si>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</si>
  <si>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</si>
  <si>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</si>
  <si>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</si>
  <si>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</si>
  <si>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</si>
  <si>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</si>
  <si>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</si>
  <si>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</si>
  <si>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</si>
  <si>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</si>
  <si>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</si>
  <si>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</si>
  <si>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</si>
  <si>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</si>
  <si>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</si>
  <si>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</si>
  <si>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</si>
  <si>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</si>
  <si>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</si>
  <si>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</si>
  <si>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</si>
  <si>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</si>
  <si>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</si>
  <si>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</si>
  <si>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</si>
  <si>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</si>
  <si>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</si>
  <si>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</si>
  <si>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</si>
  <si>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</si>
  <si>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</si>
  <si>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</si>
  <si>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</si>
  <si>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</si>
  <si>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</si>
  <si>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</si>
  <si>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</si>
  <si>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</si>
  <si>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</si>
  <si>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</si>
  <si>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</si>
  <si>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</si>
  <si>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</si>
  <si>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</si>
  <si>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</si>
  <si>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</si>
  <si>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</si>
  <si>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</si>
  <si>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</si>
  <si>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</si>
  <si>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</si>
  <si>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</si>
  <si>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</si>
  <si>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</si>
  <si>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</si>
  <si>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</si>
  <si>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</si>
  <si>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</si>
  <si>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</si>
  <si>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</si>
  <si>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</si>
  <si>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</si>
  <si>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</si>
  <si>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</si>
  <si>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</si>
  <si>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</si>
  <si>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</si>
  <si>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</si>
  <si>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</si>
  <si>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</si>
  <si>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</si>
  <si>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</si>
  <si>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</si>
  <si>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</si>
  <si>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</si>
  <si>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</si>
  <si>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</si>
  <si>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</si>
  <si>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</si>
  <si>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</si>
  <si>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</si>
  <si>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</si>
  <si>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</si>
  <si>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</si>
  <si>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</si>
  <si>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</si>
  <si>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</si>
  <si>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</si>
  <si>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</si>
  <si>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</si>
  <si>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</si>
  <si>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</si>
  <si>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</si>
  <si>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</si>
  <si>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</si>
  <si>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</si>
  <si>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</si>
  <si>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</si>
  <si>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</si>
  <si>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</si>
  <si>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</si>
  <si>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</si>
  <si>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</si>
  <si>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</si>
  <si>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</si>
  <si>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</si>
  <si>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</si>
  <si>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</si>
  <si>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</si>
  <si>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</si>
  <si>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</si>
  <si>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</si>
  <si>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</si>
  <si>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</si>
  <si>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</si>
  <si>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</si>
  <si>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</si>
  <si>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</si>
  <si>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</si>
  <si>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</si>
  <si>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</si>
  <si>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</si>
  <si>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</si>
  <si>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</si>
  <si>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</si>
  <si>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</si>
  <si>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</si>
  <si>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</si>
  <si>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</si>
  <si>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</si>
  <si>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</si>
  <si>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</si>
  <si>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</si>
  <si>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</si>
  <si>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</si>
  <si>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</si>
  <si>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</si>
  <si>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</si>
  <si>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</si>
  <si>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</si>
  <si>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</si>
  <si>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</si>
  <si>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</si>
  <si>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</si>
  <si>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</si>
  <si>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</si>
  <si>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</si>
  <si>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</si>
  <si>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</si>
  <si>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</si>
  <si>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</si>
  <si>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</si>
  <si>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</si>
  <si>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</si>
  <si>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</si>
  <si>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</si>
  <si>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</si>
  <si>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</si>
  <si>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</si>
  <si>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</si>
  <si>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</si>
  <si>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</si>
  <si>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</si>
  <si>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</si>
  <si>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</si>
  <si>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</si>
  <si>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</si>
  <si>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</si>
  <si>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</si>
  <si>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</si>
  <si>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</si>
  <si>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</si>
  <si>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</si>
  <si>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</si>
  <si>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</si>
  <si>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</si>
  <si>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</si>
  <si>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</si>
  <si>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</si>
  <si>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</si>
  <si>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</si>
  <si>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</si>
  <si>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</si>
  <si>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</si>
  <si>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</si>
  <si>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</si>
  <si>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</si>
  <si>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</si>
  <si>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</si>
  <si>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</si>
  <si>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</si>
  <si>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</si>
  <si>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</si>
  <si>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</si>
  <si>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</si>
  <si>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</si>
  <si>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</si>
  <si>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</si>
  <si>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</si>
  <si>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</si>
  <si>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</si>
  <si>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</si>
  <si>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</si>
  <si>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</si>
  <si>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</si>
  <si>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</si>
  <si>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</si>
  <si>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</si>
  <si>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</si>
  <si>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</si>
  <si>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</si>
  <si>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</si>
  <si>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</si>
  <si>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</si>
  <si>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</si>
  <si>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</si>
  <si>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</si>
  <si>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</si>
  <si>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</si>
  <si>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</si>
  <si>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</si>
  <si>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</si>
  <si>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</si>
  <si>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</si>
  <si>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</si>
  <si>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</si>
  <si>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</si>
  <si>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</si>
  <si>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</si>
  <si>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</si>
  <si>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</si>
  <si>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</si>
  <si>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</si>
  <si>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</si>
  <si>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</si>
  <si>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</si>
  <si>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</si>
  <si>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</si>
  <si>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</si>
  <si>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</si>
  <si>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</si>
  <si>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</si>
  <si>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</si>
  <si>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</si>
  <si>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</si>
  <si>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</si>
  <si>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</si>
  <si>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</si>
  <si>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</si>
  <si>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</si>
  <si>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</si>
  <si>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</si>
  <si>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</si>
  <si>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</si>
  <si>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</si>
  <si>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</si>
  <si>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</si>
  <si>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</si>
  <si>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</si>
  <si>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</si>
  <si>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</si>
  <si>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</si>
  <si>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</si>
  <si>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</si>
  <si>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</si>
  <si>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</si>
  <si>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</si>
  <si>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</si>
  <si>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</si>
  <si>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</si>
  <si>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</si>
  <si>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</si>
  <si>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</si>
  <si>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</si>
  <si>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</si>
  <si>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</si>
  <si>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</si>
  <si>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</si>
  <si>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</si>
  <si>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</si>
  <si>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</si>
  <si>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</si>
  <si>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</si>
  <si>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</si>
  <si>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</si>
  <si>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</si>
  <si>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</si>
  <si>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</si>
  <si>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</si>
  <si>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</si>
  <si>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</si>
  <si>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</si>
  <si>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</si>
  <si>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</si>
  <si>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</si>
  <si>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</si>
  <si>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</si>
  <si>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</si>
  <si>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</si>
  <si>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</si>
  <si>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</si>
  <si>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</si>
  <si>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</si>
  <si>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</si>
  <si>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</si>
  <si>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</si>
  <si>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</si>
  <si>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</si>
  <si>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</si>
  <si>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</si>
  <si>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</si>
  <si>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</si>
  <si>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</si>
  <si>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</si>
  <si>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</si>
  <si>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</si>
  <si>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</si>
  <si>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</si>
  <si>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</si>
  <si>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</si>
  <si>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</si>
  <si>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</si>
  <si>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</si>
  <si>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</si>
  <si>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</si>
  <si>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</si>
  <si>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</si>
  <si>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</si>
  <si>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</si>
  <si>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</si>
  <si>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</si>
  <si>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</si>
  <si>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</si>
  <si>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</si>
  <si>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</si>
  <si>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</si>
  <si>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</si>
  <si>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</si>
  <si>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</si>
  <si>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</si>
  <si>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</si>
  <si>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</si>
  <si>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</si>
  <si>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</si>
  <si>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</si>
  <si>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</si>
  <si>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</si>
  <si>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</si>
  <si>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</si>
  <si>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</si>
  <si>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</si>
  <si>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</si>
  <si>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</si>
  <si>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</si>
  <si>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</si>
  <si>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</si>
  <si>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</si>
  <si>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</si>
  <si>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</si>
  <si>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</si>
  <si>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</si>
  <si>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</si>
  <si>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</si>
  <si>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</si>
  <si>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</si>
  <si>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</si>
  <si>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</si>
  <si>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</si>
  <si>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</si>
  <si>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</si>
  <si>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</si>
  <si>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</si>
  <si>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</si>
  <si>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</si>
  <si>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</si>
  <si>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</si>
  <si>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</si>
  <si>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</si>
  <si>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</si>
  <si>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</si>
  <si>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</si>
  <si>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</si>
  <si>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</si>
  <si>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</si>
  <si>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</si>
  <si>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</si>
  <si>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</si>
  <si>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</si>
  <si>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</si>
  <si>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</si>
  <si>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</si>
  <si>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</si>
  <si>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</si>
  <si>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</si>
  <si>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</si>
  <si>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</si>
  <si>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</si>
  <si>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</si>
  <si>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</si>
  <si>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</si>
  <si>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</si>
  <si>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</si>
  <si>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</si>
  <si>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</si>
  <si>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</si>
  <si>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</si>
  <si>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</si>
  <si>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</si>
  <si>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</si>
  <si>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</si>
  <si>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</si>
  <si>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</si>
  <si>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</si>
  <si>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</si>
  <si>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</si>
  <si>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</si>
  <si>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</si>
  <si>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</si>
  <si>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</si>
  <si>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</si>
  <si>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</si>
  <si>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</si>
  <si>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</si>
  <si>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</si>
  <si>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</si>
  <si>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</si>
  <si>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</si>
  <si>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</si>
  <si>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</si>
  <si>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</si>
  <si>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</si>
  <si>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</si>
  <si>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</si>
  <si>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</si>
  <si>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</si>
  <si>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</si>
  <si>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</si>
  <si>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</si>
  <si>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</si>
  <si>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</si>
  <si>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</si>
  <si>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</si>
  <si>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</si>
  <si>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</si>
  <si>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</si>
  <si>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</si>
  <si>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</si>
  <si>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</si>
  <si>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</si>
  <si>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</si>
  <si>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</si>
  <si>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</si>
  <si>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</si>
  <si>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</si>
  <si>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</si>
  <si>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</si>
  <si>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</si>
  <si>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</si>
  <si>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</si>
  <si>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</si>
  <si>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</si>
  <si>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</si>
  <si>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</si>
  <si>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</si>
  <si>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</si>
  <si>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</si>
  <si>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</si>
  <si>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</si>
  <si>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</si>
  <si>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</si>
  <si>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</si>
  <si>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</si>
  <si>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</si>
  <si>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</si>
  <si>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</si>
  <si>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</si>
  <si>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</si>
  <si>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</si>
  <si>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</si>
  <si>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</si>
  <si>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</si>
  <si>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</si>
  <si>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</si>
  <si>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</si>
  <si>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</si>
  <si>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</si>
  <si>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</si>
  <si>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</si>
  <si>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</si>
  <si>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</si>
  <si>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</si>
  <si>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</si>
  <si>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</si>
  <si>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</si>
  <si>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</si>
  <si>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</si>
  <si>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</si>
  <si>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</si>
  <si>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</si>
  <si>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</si>
  <si>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</si>
  <si>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</si>
  <si>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</si>
  <si>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</si>
  <si>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</si>
  <si>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</si>
  <si>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</si>
  <si>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</si>
  <si>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</si>
  <si>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</si>
  <si>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</si>
  <si>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</si>
  <si>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</si>
  <si>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</si>
  <si>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</si>
  <si>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</si>
  <si>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</si>
  <si>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</si>
  <si>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</si>
  <si>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</si>
  <si>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</si>
  <si>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</si>
  <si>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</si>
  <si>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</si>
  <si>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</si>
  <si>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</si>
  <si>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</si>
  <si>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</si>
  <si>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</si>
  <si>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</si>
  <si>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</si>
  <si>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</si>
  <si>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</si>
  <si>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</si>
  <si>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</si>
  <si>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</si>
  <si>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</si>
  <si>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</si>
  <si>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</si>
  <si>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</si>
  <si>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</si>
  <si>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</si>
  <si>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</si>
  <si>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</si>
  <si>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</si>
  <si>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</si>
  <si>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</si>
  <si>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</si>
  <si>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</si>
  <si>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</si>
  <si>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</si>
  <si>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</si>
  <si>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</si>
  <si>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</si>
  <si>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</si>
  <si>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</si>
  <si>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</si>
  <si>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</si>
  <si>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</si>
  <si>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</si>
  <si>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</si>
  <si>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</si>
  <si>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</si>
  <si>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</si>
  <si>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</si>
  <si>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</si>
  <si>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</si>
  <si>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</si>
  <si>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</si>
  <si>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</si>
  <si>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</si>
  <si>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</si>
  <si>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</si>
  <si>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</si>
  <si>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</si>
  <si>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</si>
  <si>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</si>
  <si>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</si>
  <si>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</si>
  <si>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</si>
  <si>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</si>
  <si>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</si>
  <si>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</si>
  <si>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</si>
  <si>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</si>
  <si>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</si>
  <si>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</si>
  <si>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</si>
  <si>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</si>
  <si>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</si>
  <si>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</si>
  <si>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</si>
  <si>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</si>
  <si>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</si>
  <si>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</si>
  <si>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</si>
  <si>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</si>
  <si>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</si>
  <si>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</si>
  <si>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</si>
  <si>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</si>
  <si>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</si>
  <si>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</si>
  <si>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</si>
  <si>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</si>
  <si>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</si>
  <si>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</si>
  <si>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</si>
  <si>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</si>
  <si>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</si>
  <si>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</si>
  <si>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</si>
  <si>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</si>
  <si>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</si>
  <si>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</si>
  <si>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</si>
  <si>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</si>
  <si>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</si>
  <si>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</si>
  <si>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</si>
  <si>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</si>
  <si>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</si>
  <si>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</si>
  <si>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</si>
  <si>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</si>
  <si>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</si>
  <si>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</si>
  <si>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</si>
  <si>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</si>
  <si>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</si>
  <si>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</si>
  <si>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</si>
  <si>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</si>
  <si>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</si>
  <si>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</si>
  <si>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</si>
  <si>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</si>
  <si>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</si>
  <si>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</si>
  <si>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</si>
  <si>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</si>
  <si>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</si>
  <si>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</si>
  <si>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</si>
  <si>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</si>
  <si>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</si>
  <si>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</si>
  <si>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</si>
  <si>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</si>
  <si>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</si>
  <si>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</si>
  <si>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</si>
  <si>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</si>
  <si>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</si>
  <si>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</si>
  <si>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</si>
  <si>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</si>
  <si>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</si>
  <si>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</si>
  <si>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</si>
  <si>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</si>
  <si>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</si>
  <si>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</si>
  <si>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</si>
  <si>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</si>
  <si>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</si>
  <si>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</si>
  <si>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</si>
  <si>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</si>
  <si>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</si>
  <si>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</si>
  <si>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</si>
  <si>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</si>
  <si>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</si>
  <si>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</si>
  <si>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კახაბერ კიკნაველიძე</t>
  </si>
  <si>
    <t>დამოუკიდებელი წევრი</t>
  </si>
  <si>
    <t>ეინურ ბუტია</t>
  </si>
  <si>
    <t>დამოუკიდებელი თავმჯდომარე</t>
  </si>
  <si>
    <t>რეიჩელ მარინ ფრიმენ</t>
  </si>
  <si>
    <t>ომარ-სალიმ დანანი</t>
  </si>
  <si>
    <t>გენერალური დირექტორი / ბანკის ზოგადი მიმართულებები</t>
  </si>
  <si>
    <t>დმიტრი ბოჩაროვ</t>
  </si>
  <si>
    <t>საოპერაციო დირექტორი / რისკების მიმართულება</t>
  </si>
  <si>
    <t>საიმონ ჯეიმს ვანს-კოლინა</t>
  </si>
  <si>
    <t>ტექნოლოგიური დორექტორი / ინფორმაციული ტექნოლოგიების მიმარათულება</t>
  </si>
  <si>
    <t>PAVING THE WAY PTE. LTD.</t>
  </si>
  <si>
    <t>N/A</t>
  </si>
  <si>
    <t>სს პეივ ბანკ ჯორჯია</t>
  </si>
  <si>
    <t>https://pavebank.com/en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</si>
</sst>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theme="6" tint="-0.499984740745262"/>
      </top>
      <bottom style="thin">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9" fontId="39"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8" fillId="8" borderId="30"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0" fontId="37"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168" fontId="39" fillId="63" borderId="36" applyNumberFormat="0" applyAlignment="0" applyProtection="0"/>
    <xf numFmtId="169" fontId="39" fillId="63" borderId="36" applyNumberFormat="0" applyAlignment="0" applyProtection="0"/>
    <xf numFmtId="168" fontId="39" fillId="63" borderId="36" applyNumberFormat="0" applyAlignment="0" applyProtection="0"/>
    <xf numFmtId="0" fontId="37" fillId="63" borderId="36" applyNumberFormat="0" applyAlignment="0" applyProtection="0"/>
    <xf numFmtId="0" fontId="40"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0" fontId="41" fillId="9" borderId="33"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169" fontId="42" fillId="64" borderId="37" applyNumberFormat="0" applyAlignment="0" applyProtection="0"/>
    <xf numFmtId="168" fontId="42" fillId="64" borderId="37" applyNumberFormat="0" applyAlignment="0" applyProtection="0"/>
    <xf numFmtId="0" fontId="40"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68"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9" applyNumberFormat="0" applyFill="0" applyAlignment="0" applyProtection="0"/>
    <xf numFmtId="169" fontId="54" fillId="0" borderId="39" applyNumberFormat="0" applyFill="0" applyAlignment="0" applyProtection="0"/>
    <xf numFmtId="0"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168" fontId="54" fillId="0" borderId="39" applyNumberFormat="0" applyFill="0" applyAlignment="0" applyProtection="0"/>
    <xf numFmtId="169" fontId="54" fillId="0" borderId="39" applyNumberFormat="0" applyFill="0" applyAlignment="0" applyProtection="0"/>
    <xf numFmtId="168"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69" fontId="55" fillId="0" borderId="40" applyNumberFormat="0" applyFill="0" applyAlignment="0" applyProtection="0"/>
    <xf numFmtId="0"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168" fontId="55" fillId="0" borderId="40" applyNumberFormat="0" applyFill="0" applyAlignment="0" applyProtection="0"/>
    <xf numFmtId="169" fontId="55" fillId="0" borderId="40" applyNumberFormat="0" applyFill="0" applyAlignment="0" applyProtection="0"/>
    <xf numFmtId="168"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69"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168" fontId="56" fillId="0" borderId="41" applyNumberFormat="0" applyFill="0" applyAlignment="0" applyProtection="0"/>
    <xf numFmtId="169" fontId="56" fillId="0" borderId="41" applyNumberFormat="0" applyFill="0" applyAlignment="0" applyProtection="0"/>
    <xf numFmtId="168"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9" fontId="67"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6" fillId="7" borderId="30"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0" fontId="65"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168" fontId="67" fillId="42" borderId="36" applyNumberFormat="0" applyAlignment="0" applyProtection="0"/>
    <xf numFmtId="169" fontId="67" fillId="42" borderId="36" applyNumberFormat="0" applyAlignment="0" applyProtection="0"/>
    <xf numFmtId="168" fontId="67" fillId="42" borderId="36" applyNumberFormat="0" applyAlignment="0" applyProtection="0"/>
    <xf numFmtId="0" fontId="65" fillId="42" borderId="36"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0" fontId="68" fillId="0" borderId="4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168" fontId="70" fillId="0" borderId="42" applyNumberFormat="0" applyFill="0" applyAlignment="0" applyProtection="0"/>
    <xf numFmtId="169" fontId="70" fillId="0" borderId="42" applyNumberFormat="0" applyFill="0" applyAlignment="0" applyProtection="0"/>
    <xf numFmtId="168" fontId="70" fillId="0" borderId="42" applyNumberFormat="0" applyFill="0" applyAlignment="0" applyProtection="0"/>
    <xf numFmtId="0" fontId="68"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3"/>
    <xf numFmtId="169" fontId="25" fillId="0" borderId="43"/>
    <xf numFmtId="168"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168" fontId="2" fillId="0" borderId="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169"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0" borderId="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7" fillId="10" borderId="3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6"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168" fontId="2" fillId="0" borderId="0"/>
    <xf numFmtId="0" fontId="2" fillId="73" borderId="44" applyNumberFormat="0" applyFont="0" applyAlignment="0" applyProtection="0"/>
    <xf numFmtId="0" fontId="2" fillId="73" borderId="44" applyNumberFormat="0" applyFont="0" applyAlignment="0" applyProtection="0"/>
    <xf numFmtId="169" fontId="2" fillId="0" borderId="0"/>
    <xf numFmtId="168" fontId="2" fillId="0" borderId="0"/>
    <xf numFmtId="168"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9" fontId="84"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3" fillId="8" borderId="31"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0" fontId="82"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168" fontId="84" fillId="63" borderId="45" applyNumberFormat="0" applyAlignment="0" applyProtection="0"/>
    <xf numFmtId="169" fontId="84" fillId="63" borderId="45" applyNumberFormat="0" applyAlignment="0" applyProtection="0"/>
    <xf numFmtId="168" fontId="84" fillId="63" borderId="45" applyNumberFormat="0" applyAlignment="0" applyProtection="0"/>
    <xf numFmtId="0" fontId="82" fillId="63" borderId="45"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9"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5"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168" fontId="93" fillId="0" borderId="46" applyNumberFormat="0" applyFill="0" applyAlignment="0" applyProtection="0"/>
    <xf numFmtId="169" fontId="93" fillId="0" borderId="46" applyNumberFormat="0" applyFill="0" applyAlignment="0" applyProtection="0"/>
    <xf numFmtId="168" fontId="93" fillId="0" borderId="46" applyNumberFormat="0" applyFill="0" applyAlignment="0" applyProtection="0"/>
    <xf numFmtId="0" fontId="46" fillId="0" borderId="46" applyNumberFormat="0" applyFill="0" applyAlignment="0" applyProtection="0"/>
    <xf numFmtId="0" fontId="24" fillId="0" borderId="47"/>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9"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2"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9"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3" fontId="2" fillId="71" borderId="97" applyFont="0">
      <alignment horizontal="right" vertical="center"/>
      <protection locked="0"/>
    </xf>
    <xf numFmtId="0" fontId="65"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9"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1" fillId="69" borderId="98" applyFont="0" applyBorder="0">
      <alignment horizontal="center" wrapText="1"/>
    </xf>
    <xf numFmtId="168" fontId="53" fillId="0" borderId="95">
      <alignment horizontal="left" vertical="center"/>
    </xf>
    <xf numFmtId="0" fontId="53" fillId="0" borderId="95">
      <alignment horizontal="left" vertical="center"/>
    </xf>
    <xf numFmtId="0" fontId="53" fillId="0" borderId="95">
      <alignment horizontal="left" vertical="center"/>
    </xf>
    <xf numFmtId="0" fontId="2" fillId="68"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9"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1" fillId="0" borderId="0"/>
    <xf numFmtId="169" fontId="25"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cellStyleXfs>
  <cellXfs count="902">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5" fontId="6" fillId="3" borderId="3" xfId="1" applyNumberFormat="1" applyFont="1" applyFill="1" applyBorder="1" applyAlignment="1" applyProtection="1">
      <alignment horizontal="center" vertical="center" wrapText="1"/>
      <protection locked="0"/>
    </xf>
    <xf numFmtId="165" fontId="6" fillId="3" borderId="18" xfId="1" applyNumberFormat="1" applyFont="1" applyFill="1" applyBorder="1" applyAlignment="1" applyProtection="1">
      <alignment horizontal="center" vertical="center" wrapText="1"/>
      <protection locked="0"/>
    </xf>
    <xf numFmtId="165"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8" fillId="2" borderId="21" xfId="0" applyFont="1" applyFill="1" applyBorder="1" applyAlignment="1">
      <alignment horizontal="right" vertical="center"/>
    </xf>
    <xf numFmtId="0" fontId="4" fillId="0" borderId="52" xfId="0" applyFont="1" applyBorder="1"/>
    <xf numFmtId="0" fontId="4" fillId="0" borderId="53"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5"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5" borderId="22" xfId="13" applyFont="1" applyFill="1" applyBorder="1" applyAlignment="1" applyProtection="1">
      <alignment vertical="center" wrapText="1"/>
      <protection locked="0"/>
    </xf>
    <xf numFmtId="167" fontId="22" fillId="0" borderId="58" xfId="0" applyNumberFormat="1" applyFont="1" applyBorder="1" applyAlignment="1">
      <alignment horizontal="center"/>
    </xf>
    <xf numFmtId="167" fontId="22" fillId="0" borderId="56" xfId="0" applyNumberFormat="1" applyFont="1" applyBorder="1" applyAlignment="1">
      <alignment horizontal="center"/>
    </xf>
    <xf numFmtId="167" fontId="18" fillId="0" borderId="56" xfId="0" applyNumberFormat="1" applyFont="1" applyBorder="1" applyAlignment="1">
      <alignment horizontal="center"/>
    </xf>
    <xf numFmtId="167" fontId="22" fillId="0" borderId="59" xfId="0" applyNumberFormat="1" applyFont="1" applyBorder="1" applyAlignment="1">
      <alignment horizontal="center"/>
    </xf>
    <xf numFmtId="167" fontId="22" fillId="0" borderId="60"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1"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5" borderId="26"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6"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21" xfId="0" applyFont="1" applyBorder="1" applyAlignment="1">
      <alignment horizontal="center" vertical="center"/>
    </xf>
    <xf numFmtId="0" fontId="105" fillId="0" borderId="0" xfId="0" applyFont="1"/>
    <xf numFmtId="49" fontId="105" fillId="0" borderId="7" xfId="0" applyNumberFormat="1" applyFont="1" applyBorder="1" applyAlignment="1">
      <alignment horizontal="right" vertical="center"/>
    </xf>
    <xf numFmtId="49" fontId="105" fillId="0" borderId="74" xfId="0" applyNumberFormat="1" applyFont="1" applyBorder="1" applyAlignment="1">
      <alignment horizontal="right" vertical="center"/>
    </xf>
    <xf numFmtId="49" fontId="105" fillId="0" borderId="77" xfId="0" applyNumberFormat="1" applyFont="1" applyBorder="1" applyAlignment="1">
      <alignment horizontal="right" vertical="center"/>
    </xf>
    <xf numFmtId="49" fontId="105" fillId="0" borderId="82" xfId="0" applyNumberFormat="1" applyFont="1" applyBorder="1" applyAlignment="1">
      <alignment horizontal="right" vertical="center"/>
    </xf>
    <xf numFmtId="0" fontId="105" fillId="0" borderId="0" xfId="0" applyFont="1" applyAlignment="1">
      <alignment horizontal="left"/>
    </xf>
    <xf numFmtId="0" fontId="105" fillId="0" borderId="82"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8" fillId="2" borderId="22" xfId="0" applyNumberFormat="1" applyFont="1" applyFill="1" applyBorder="1" applyAlignment="1" applyProtection="1">
      <alignment vertical="center"/>
      <protection locked="0"/>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6" fillId="35" borderId="19" xfId="2" applyNumberFormat="1" applyFont="1" applyFill="1" applyBorder="1" applyAlignment="1" applyProtection="1">
      <alignment vertical="top"/>
    </xf>
    <xf numFmtId="193" fontId="6" fillId="3" borderId="19" xfId="2" applyNumberFormat="1" applyFont="1" applyFill="1" applyBorder="1" applyAlignment="1" applyProtection="1">
      <alignment vertical="top"/>
      <protection locked="0"/>
    </xf>
    <xf numFmtId="193" fontId="6" fillId="35" borderId="19" xfId="2" applyNumberFormat="1" applyFont="1" applyFill="1" applyBorder="1" applyAlignment="1" applyProtection="1">
      <alignment vertical="top" wrapText="1"/>
    </xf>
    <xf numFmtId="193" fontId="6" fillId="3" borderId="19" xfId="2" applyNumberFormat="1" applyFont="1" applyFill="1" applyBorder="1" applyAlignment="1" applyProtection="1">
      <alignment vertical="top" wrapText="1"/>
      <protection locked="0"/>
    </xf>
    <xf numFmtId="193" fontId="6" fillId="35" borderId="19" xfId="2" applyNumberFormat="1" applyFont="1" applyFill="1" applyBorder="1" applyAlignment="1" applyProtection="1">
      <alignment vertical="top" wrapText="1"/>
      <protection locked="0"/>
    </xf>
    <xf numFmtId="193" fontId="6" fillId="35" borderId="23"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9"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50"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5" borderId="23" xfId="20961" applyFont="1" applyFill="1" applyBorder="1"/>
    <xf numFmtId="167" fontId="4" fillId="0" borderId="19" xfId="0" applyNumberFormat="1" applyFont="1" applyBorder="1"/>
    <xf numFmtId="0" fontId="4" fillId="35" borderId="23" xfId="0"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69" fontId="25" fillId="36" borderId="0" xfId="20"/>
    <xf numFmtId="169" fontId="25" fillId="36" borderId="90" xfId="20" applyBorder="1"/>
    <xf numFmtId="0" fontId="4" fillId="0" borderId="7" xfId="0" applyFont="1" applyBorder="1" applyAlignment="1">
      <alignment vertical="center"/>
    </xf>
    <xf numFmtId="0" fontId="4" fillId="0" borderId="97" xfId="0" applyFont="1" applyBorder="1" applyAlignment="1">
      <alignment vertical="center"/>
    </xf>
    <xf numFmtId="0" fontId="5" fillId="0" borderId="97" xfId="0" applyFont="1" applyBorder="1" applyAlignment="1">
      <alignment vertical="center"/>
    </xf>
    <xf numFmtId="0" fontId="4" fillId="0" borderId="16" xfId="0" applyFont="1" applyBorder="1" applyAlignment="1">
      <alignment vertical="center"/>
    </xf>
    <xf numFmtId="0" fontId="4" fillId="0" borderId="92" xfId="0" applyFont="1" applyBorder="1" applyAlignment="1">
      <alignment vertical="center"/>
    </xf>
    <xf numFmtId="0" fontId="4" fillId="0" borderId="94" xfId="0" applyFont="1" applyBorder="1" applyAlignment="1">
      <alignment vertical="center"/>
    </xf>
    <xf numFmtId="0" fontId="4" fillId="0" borderId="91" xfId="0" applyFont="1" applyBorder="1" applyAlignment="1">
      <alignment vertical="center"/>
    </xf>
    <xf numFmtId="0" fontId="4" fillId="0" borderId="15" xfId="0" applyFont="1" applyBorder="1" applyAlignment="1">
      <alignment horizontal="center" vertical="center"/>
    </xf>
    <xf numFmtId="0" fontId="4" fillId="0" borderId="105" xfId="0" applyFont="1" applyBorder="1" applyAlignment="1">
      <alignment horizontal="center" vertical="center"/>
    </xf>
    <xf numFmtId="0" fontId="4" fillId="0" borderId="107" xfId="0" applyFont="1" applyBorder="1" applyAlignment="1">
      <alignment horizontal="center" vertical="center"/>
    </xf>
    <xf numFmtId="169" fontId="25" fillId="36" borderId="28" xfId="20" applyBorder="1"/>
    <xf numFmtId="169" fontId="25" fillId="36" borderId="108" xfId="20" applyBorder="1"/>
    <xf numFmtId="169" fontId="25" fillId="36" borderId="99" xfId="20" applyBorder="1"/>
    <xf numFmtId="169" fontId="25" fillId="36" borderId="53" xfId="20" applyBorder="1"/>
    <xf numFmtId="0" fontId="4" fillId="3" borderId="61" xfId="0" applyFont="1" applyFill="1" applyBorder="1" applyAlignment="1">
      <alignment horizontal="center" vertical="center"/>
    </xf>
    <xf numFmtId="0" fontId="4" fillId="3" borderId="0" xfId="0" applyFont="1" applyFill="1" applyAlignment="1">
      <alignment vertical="center"/>
    </xf>
    <xf numFmtId="0" fontId="4" fillId="0" borderId="67" xfId="0" applyFont="1" applyBorder="1" applyAlignment="1">
      <alignment horizontal="center" vertical="center"/>
    </xf>
    <xf numFmtId="0" fontId="4" fillId="3" borderId="95" xfId="0" applyFont="1" applyFill="1" applyBorder="1" applyAlignment="1">
      <alignment vertical="center"/>
    </xf>
    <xf numFmtId="0" fontId="13" fillId="3" borderId="109" xfId="0" applyFont="1" applyFill="1" applyBorder="1" applyAlignment="1">
      <alignment horizontal="left"/>
    </xf>
    <xf numFmtId="0" fontId="13" fillId="3" borderId="110" xfId="0" applyFont="1" applyFill="1" applyBorder="1" applyAlignment="1">
      <alignment horizontal="left"/>
    </xf>
    <xf numFmtId="0" fontId="4" fillId="0" borderId="97" xfId="0" applyFont="1" applyBorder="1" applyAlignment="1">
      <alignment horizontal="center" vertical="center" wrapText="1"/>
    </xf>
    <xf numFmtId="0" fontId="105" fillId="0" borderId="84" xfId="0" applyFont="1" applyBorder="1" applyAlignment="1">
      <alignment horizontal="right" vertical="center"/>
    </xf>
    <xf numFmtId="0" fontId="4" fillId="0" borderId="111" xfId="0" applyFont="1" applyBorder="1" applyAlignment="1">
      <alignment horizontal="center" vertical="center" wrapText="1"/>
    </xf>
    <xf numFmtId="0" fontId="5" fillId="3" borderId="112" xfId="0" applyFont="1" applyFill="1" applyBorder="1" applyAlignment="1">
      <alignment vertical="center"/>
    </xf>
    <xf numFmtId="0" fontId="4" fillId="3" borderId="20" xfId="0" applyFont="1" applyFill="1" applyBorder="1" applyAlignment="1">
      <alignment vertical="center"/>
    </xf>
    <xf numFmtId="0" fontId="4" fillId="0" borderId="113" xfId="0" applyFont="1" applyBorder="1" applyAlignment="1">
      <alignment horizontal="center" vertical="center"/>
    </xf>
    <xf numFmtId="0" fontId="5" fillId="0" borderId="22" xfId="0" applyFont="1" applyBorder="1" applyAlignment="1">
      <alignment vertical="center"/>
    </xf>
    <xf numFmtId="169" fontId="25" fillId="36" borderId="24" xfId="20" applyBorder="1"/>
    <xf numFmtId="0" fontId="4" fillId="0" borderId="7" xfId="0" applyFont="1" applyBorder="1" applyAlignment="1">
      <alignment horizontal="center" vertical="center" wrapText="1"/>
    </xf>
    <xf numFmtId="0" fontId="4" fillId="0" borderId="62"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5" fillId="35" borderId="114" xfId="0" applyFont="1" applyFill="1" applyBorder="1" applyAlignment="1">
      <alignment vertical="center" wrapText="1"/>
    </xf>
    <xf numFmtId="0" fontId="6" fillId="0" borderId="0" xfId="0" applyFont="1" applyAlignment="1">
      <alignment wrapText="1"/>
    </xf>
    <xf numFmtId="0" fontId="5" fillId="35" borderId="16"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113" xfId="0" applyFont="1" applyFill="1" applyBorder="1" applyAlignment="1">
      <alignment horizontal="left" vertical="center" wrapText="1"/>
    </xf>
    <xf numFmtId="0" fontId="5" fillId="35" borderId="97" xfId="0" applyFont="1" applyFill="1" applyBorder="1" applyAlignment="1">
      <alignment horizontal="left" vertical="center" wrapText="1"/>
    </xf>
    <xf numFmtId="0" fontId="5" fillId="35" borderId="111" xfId="0" applyFont="1" applyFill="1" applyBorder="1" applyAlignment="1">
      <alignment horizontal="left" vertical="center" wrapText="1"/>
    </xf>
    <xf numFmtId="0" fontId="4" fillId="0" borderId="113" xfId="0" applyFont="1" applyBorder="1" applyAlignment="1">
      <alignment horizontal="right" vertical="center" wrapText="1"/>
    </xf>
    <xf numFmtId="0" fontId="4" fillId="0" borderId="97" xfId="0" applyFont="1" applyBorder="1" applyAlignment="1">
      <alignment horizontal="left" vertical="center" wrapText="1"/>
    </xf>
    <xf numFmtId="0" fontId="108" fillId="0" borderId="113" xfId="0" applyFont="1" applyBorder="1" applyAlignment="1">
      <alignment horizontal="right" vertical="center" wrapText="1"/>
    </xf>
    <xf numFmtId="0" fontId="108" fillId="0" borderId="97" xfId="0" applyFont="1" applyBorder="1" applyAlignment="1">
      <alignment horizontal="left" vertical="center" wrapText="1"/>
    </xf>
    <xf numFmtId="0" fontId="5" fillId="0" borderId="113"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0" fillId="0" borderId="97" xfId="17" applyFill="1" applyBorder="1" applyAlignment="1" applyProtection="1"/>
    <xf numFmtId="49" fontId="108" fillId="0" borderId="113" xfId="0" applyNumberFormat="1" applyFont="1" applyBorder="1" applyAlignment="1">
      <alignment horizontal="right" vertical="center" wrapText="1"/>
    </xf>
    <xf numFmtId="0" fontId="6" fillId="3" borderId="97" xfId="20960" applyFont="1" applyFill="1" applyBorder="1"/>
    <xf numFmtId="0" fontId="102" fillId="0" borderId="97" xfId="20960" applyFont="1" applyBorder="1" applyAlignment="1">
      <alignment horizontal="center" vertical="center"/>
    </xf>
    <xf numFmtId="0" fontId="4" fillId="0" borderId="97" xfId="0" applyFont="1" applyBorder="1"/>
    <xf numFmtId="0" fontId="10" fillId="0" borderId="97" xfId="17" applyFill="1" applyBorder="1" applyAlignment="1" applyProtection="1">
      <alignment horizontal="left" vertical="center" wrapText="1"/>
    </xf>
    <xf numFmtId="49" fontId="108" fillId="0" borderId="97" xfId="0" applyNumberFormat="1" applyFont="1" applyBorder="1" applyAlignment="1">
      <alignment horizontal="right" vertical="center" wrapText="1"/>
    </xf>
    <xf numFmtId="0" fontId="10" fillId="0" borderId="97" xfId="17" applyFill="1" applyBorder="1" applyAlignment="1" applyProtection="1">
      <alignment horizontal="left" vertical="center"/>
    </xf>
    <xf numFmtId="1" fontId="5" fillId="35" borderId="111" xfId="0" applyNumberFormat="1" applyFont="1" applyFill="1" applyBorder="1" applyAlignment="1">
      <alignment horizontal="center" vertical="center" wrapText="1"/>
    </xf>
    <xf numFmtId="10" fontId="6"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left" vertical="center" wrapText="1"/>
    </xf>
    <xf numFmtId="10" fontId="108" fillId="0" borderId="97" xfId="20961" applyNumberFormat="1" applyFont="1" applyFill="1" applyBorder="1" applyAlignment="1">
      <alignment horizontal="left" vertical="center" wrapText="1"/>
    </xf>
    <xf numFmtId="10" fontId="5" fillId="35" borderId="97" xfId="20961" applyNumberFormat="1" applyFont="1" applyFill="1" applyBorder="1" applyAlignment="1">
      <alignment horizontal="left" vertical="center" wrapText="1"/>
    </xf>
    <xf numFmtId="10" fontId="5" fillId="35" borderId="97"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8" fillId="0" borderId="113" xfId="0" applyFont="1" applyBorder="1" applyAlignment="1">
      <alignment horizontal="right" vertical="center" wrapText="1"/>
    </xf>
    <xf numFmtId="0" fontId="6" fillId="0" borderId="97" xfId="0" applyFont="1" applyBorder="1" applyAlignment="1">
      <alignment vertical="center" wrapText="1"/>
    </xf>
    <xf numFmtId="0" fontId="4" fillId="0" borderId="111" xfId="0" applyFont="1" applyBorder="1"/>
    <xf numFmtId="0" fontId="4" fillId="0" borderId="23" xfId="0" applyFont="1" applyBorder="1"/>
    <xf numFmtId="0" fontId="8" fillId="0" borderId="111" xfId="0" applyFont="1" applyBorder="1"/>
    <xf numFmtId="0" fontId="8" fillId="0" borderId="111" xfId="0" applyFont="1" applyBorder="1" applyAlignment="1">
      <alignment wrapText="1"/>
    </xf>
    <xf numFmtId="0" fontId="9" fillId="0" borderId="17" xfId="0" applyFont="1" applyBorder="1" applyAlignment="1">
      <alignment horizontal="center"/>
    </xf>
    <xf numFmtId="0" fontId="9" fillId="0" borderId="111"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8" fillId="0" borderId="113" xfId="0" applyFont="1" applyBorder="1" applyAlignment="1">
      <alignment horizontal="center" vertical="center" wrapText="1"/>
    </xf>
    <xf numFmtId="0" fontId="14" fillId="0" borderId="97" xfId="0" applyFont="1" applyBorder="1" applyAlignment="1">
      <alignment horizontal="center" vertical="center" wrapText="1"/>
    </xf>
    <xf numFmtId="0" fontId="15" fillId="0" borderId="97" xfId="0" applyFont="1" applyBorder="1" applyAlignment="1">
      <alignment horizontal="left" vertical="center" wrapText="1"/>
    </xf>
    <xf numFmtId="193" fontId="6" fillId="0" borderId="97" xfId="0" applyNumberFormat="1" applyFont="1" applyBorder="1" applyAlignment="1" applyProtection="1">
      <alignment vertical="center" wrapText="1"/>
      <protection locked="0"/>
    </xf>
    <xf numFmtId="193" fontId="4" fillId="0" borderId="97" xfId="0" applyNumberFormat="1" applyFont="1" applyBorder="1" applyAlignment="1" applyProtection="1">
      <alignment vertical="center" wrapText="1"/>
      <protection locked="0"/>
    </xf>
    <xf numFmtId="193" fontId="4" fillId="0" borderId="111" xfId="0" applyNumberFormat="1" applyFont="1" applyBorder="1" applyAlignment="1" applyProtection="1">
      <alignment vertical="center" wrapText="1"/>
      <protection locked="0"/>
    </xf>
    <xf numFmtId="193" fontId="6" fillId="0" borderId="97" xfId="0" applyNumberFormat="1" applyFont="1" applyBorder="1" applyAlignment="1" applyProtection="1">
      <alignment horizontal="right" vertical="center" wrapText="1"/>
      <protection locked="0"/>
    </xf>
    <xf numFmtId="0" fontId="8" fillId="2" borderId="113" xfId="0" applyFont="1" applyFill="1" applyBorder="1" applyAlignment="1">
      <alignment horizontal="right" vertical="center"/>
    </xf>
    <xf numFmtId="0" fontId="8" fillId="2" borderId="97" xfId="0" applyFont="1" applyFill="1" applyBorder="1" applyAlignment="1">
      <alignment vertical="center"/>
    </xf>
    <xf numFmtId="193" fontId="8" fillId="2" borderId="97" xfId="0" applyNumberFormat="1" applyFont="1" applyFill="1" applyBorder="1" applyAlignment="1" applyProtection="1">
      <alignment vertical="center"/>
      <protection locked="0"/>
    </xf>
    <xf numFmtId="193" fontId="16" fillId="2" borderId="97" xfId="0" applyNumberFormat="1" applyFont="1" applyFill="1" applyBorder="1" applyAlignment="1" applyProtection="1">
      <alignment vertical="center"/>
      <protection locked="0"/>
    </xf>
    <xf numFmtId="193" fontId="16" fillId="2" borderId="111" xfId="0" applyNumberFormat="1" applyFont="1" applyFill="1" applyBorder="1" applyAlignment="1" applyProtection="1">
      <alignment vertical="center"/>
      <protection locked="0"/>
    </xf>
    <xf numFmtId="193" fontId="8" fillId="2" borderId="111" xfId="0" applyNumberFormat="1" applyFont="1" applyFill="1" applyBorder="1" applyAlignment="1" applyProtection="1">
      <alignment vertical="center"/>
      <protection locked="0"/>
    </xf>
    <xf numFmtId="0" fontId="14" fillId="0" borderId="113" xfId="0" applyFont="1" applyBorder="1" applyAlignment="1">
      <alignment horizontal="center" vertical="center" wrapText="1"/>
    </xf>
    <xf numFmtId="14" fontId="4" fillId="0" borderId="0" xfId="0" applyNumberFormat="1" applyFont="1"/>
    <xf numFmtId="10" fontId="4" fillId="0" borderId="97" xfId="20961" applyNumberFormat="1" applyFont="1" applyFill="1" applyBorder="1" applyAlignment="1" applyProtection="1">
      <alignment horizontal="right" vertical="center" wrapText="1"/>
      <protection locked="0"/>
    </xf>
    <xf numFmtId="10" fontId="4" fillId="0" borderId="97" xfId="20961" applyNumberFormat="1" applyFont="1" applyBorder="1" applyAlignment="1" applyProtection="1">
      <alignment vertical="center" wrapText="1"/>
      <protection locked="0"/>
    </xf>
    <xf numFmtId="10" fontId="4" fillId="0" borderId="111" xfId="20961" applyNumberFormat="1" applyFont="1" applyBorder="1" applyAlignment="1" applyProtection="1">
      <alignment vertical="center" wrapText="1"/>
      <protection locked="0"/>
    </xf>
    <xf numFmtId="0" fontId="4" fillId="3" borderId="52" xfId="0" applyFont="1" applyFill="1" applyBorder="1"/>
    <xf numFmtId="0" fontId="4" fillId="3" borderId="116" xfId="0" applyFont="1" applyFill="1" applyBorder="1" applyAlignment="1">
      <alignment wrapText="1"/>
    </xf>
    <xf numFmtId="0" fontId="4" fillId="3" borderId="117" xfId="0" applyFont="1" applyFill="1" applyBorder="1"/>
    <xf numFmtId="0" fontId="5" fillId="3" borderId="11" xfId="0" applyFont="1" applyFill="1" applyBorder="1" applyAlignment="1">
      <alignment horizontal="center" wrapText="1"/>
    </xf>
    <xf numFmtId="0" fontId="4" fillId="0" borderId="97" xfId="0" applyFont="1" applyBorder="1" applyAlignment="1">
      <alignment horizontal="center"/>
    </xf>
    <xf numFmtId="0" fontId="4" fillId="3" borderId="61"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7" xfId="0" applyFont="1" applyBorder="1" applyAlignment="1">
      <alignment wrapText="1"/>
    </xf>
    <xf numFmtId="165" fontId="4" fillId="0" borderId="97" xfId="7" applyNumberFormat="1" applyFont="1" applyBorder="1"/>
    <xf numFmtId="165" fontId="4" fillId="0" borderId="111" xfId="7" applyNumberFormat="1" applyFont="1" applyBorder="1"/>
    <xf numFmtId="0" fontId="13" fillId="0" borderId="97" xfId="0" applyFont="1" applyBorder="1" applyAlignment="1">
      <alignment horizontal="left" wrapText="1" indent="2"/>
    </xf>
    <xf numFmtId="169" fontId="25" fillId="36" borderId="97" xfId="20" applyBorder="1"/>
    <xf numFmtId="165" fontId="4" fillId="0" borderId="97" xfId="7" applyNumberFormat="1" applyFont="1" applyBorder="1" applyAlignment="1">
      <alignment vertical="center"/>
    </xf>
    <xf numFmtId="0" fontId="5" fillId="0" borderId="113" xfId="0" applyFont="1" applyBorder="1"/>
    <xf numFmtId="0" fontId="5" fillId="0" borderId="97" xfId="0" applyFont="1" applyBorder="1" applyAlignment="1">
      <alignment wrapText="1"/>
    </xf>
    <xf numFmtId="165" fontId="5" fillId="0" borderId="111" xfId="7" applyNumberFormat="1" applyFont="1" applyBorder="1"/>
    <xf numFmtId="0" fontId="3" fillId="3" borderId="61"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90" xfId="7" applyNumberFormat="1" applyFont="1" applyFill="1" applyBorder="1"/>
    <xf numFmtId="165" fontId="4" fillId="0" borderId="97" xfId="7" applyNumberFormat="1" applyFont="1" applyFill="1" applyBorder="1"/>
    <xf numFmtId="165" fontId="4" fillId="0" borderId="97" xfId="7" applyNumberFormat="1" applyFont="1" applyFill="1" applyBorder="1" applyAlignment="1">
      <alignment vertical="center"/>
    </xf>
    <xf numFmtId="0" fontId="13" fillId="0" borderId="97"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0" xfId="0" applyFont="1" applyFill="1" applyBorder="1"/>
    <xf numFmtId="0" fontId="5" fillId="0" borderId="21" xfId="0" applyFont="1" applyBorder="1"/>
    <xf numFmtId="0" fontId="5" fillId="0" borderId="22" xfId="0" applyFont="1" applyBorder="1" applyAlignment="1">
      <alignment wrapText="1"/>
    </xf>
    <xf numFmtId="169" fontId="25" fillId="36" borderId="114" xfId="20" applyBorder="1"/>
    <xf numFmtId="10" fontId="5" fillId="0" borderId="23" xfId="20961" applyNumberFormat="1" applyFont="1" applyBorder="1"/>
    <xf numFmtId="0" fontId="8" fillId="2" borderId="105" xfId="0" applyFont="1" applyFill="1" applyBorder="1" applyAlignment="1">
      <alignment horizontal="right" vertical="center"/>
    </xf>
    <xf numFmtId="0" fontId="8" fillId="2" borderId="92" xfId="0" applyFont="1" applyFill="1" applyBorder="1" applyAlignment="1">
      <alignment vertical="center"/>
    </xf>
    <xf numFmtId="193" fontId="8" fillId="2" borderId="92" xfId="0" applyNumberFormat="1" applyFont="1" applyFill="1" applyBorder="1" applyAlignment="1" applyProtection="1">
      <alignment vertical="center"/>
      <protection locked="0"/>
    </xf>
    <xf numFmtId="193" fontId="16" fillId="2" borderId="92" xfId="0" applyNumberFormat="1" applyFont="1" applyFill="1" applyBorder="1" applyAlignment="1" applyProtection="1">
      <alignment vertical="center"/>
      <protection locked="0"/>
    </xf>
    <xf numFmtId="193" fontId="16" fillId="2" borderId="106" xfId="0" applyNumberFormat="1" applyFont="1" applyFill="1" applyBorder="1" applyAlignment="1" applyProtection="1">
      <alignment vertical="center"/>
      <protection locked="0"/>
    </xf>
    <xf numFmtId="0" fontId="8" fillId="0" borderId="97" xfId="0" applyFont="1" applyBorder="1" applyAlignment="1">
      <alignment horizontal="left" vertical="center" wrapText="1"/>
    </xf>
    <xf numFmtId="0" fontId="5" fillId="3" borderId="0" xfId="0" applyFont="1" applyFill="1" applyAlignment="1">
      <alignment horizontal="center"/>
    </xf>
    <xf numFmtId="0" fontId="105" fillId="0" borderId="84" xfId="0" applyFont="1" applyBorder="1" applyAlignment="1">
      <alignment horizontal="left" vertical="center"/>
    </xf>
    <xf numFmtId="0" fontId="105" fillId="0" borderId="82" xfId="0" applyFont="1" applyBorder="1" applyAlignment="1">
      <alignment vertical="center" wrapText="1"/>
    </xf>
    <xf numFmtId="0" fontId="105" fillId="0" borderId="82"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7" xfId="0" applyFont="1" applyBorder="1" applyAlignment="1">
      <alignment horizontal="left" vertical="center" wrapText="1"/>
    </xf>
    <xf numFmtId="0" fontId="124" fillId="0" borderId="0" xfId="0" applyFont="1"/>
    <xf numFmtId="49" fontId="105" fillId="0" borderId="97"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3" fontId="6" fillId="3" borderId="111" xfId="2" applyNumberFormat="1" applyFont="1" applyFill="1" applyBorder="1" applyAlignment="1" applyProtection="1">
      <alignment vertical="top" wrapText="1"/>
      <protection locked="0"/>
    </xf>
    <xf numFmtId="0" fontId="129" fillId="3" borderId="97" xfId="21414" applyFont="1" applyFill="1" applyBorder="1" applyAlignment="1">
      <alignment horizontal="left" vertical="center" wrapText="1"/>
    </xf>
    <xf numFmtId="0" fontId="130" fillId="0" borderId="97" xfId="21414" applyFont="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31" fillId="0" borderId="134" xfId="0" applyFont="1" applyBorder="1" applyAlignment="1">
      <alignment horizontal="left" vertical="center" wrapText="1"/>
    </xf>
    <xf numFmtId="0" fontId="132" fillId="3" borderId="134" xfId="0" applyFont="1" applyFill="1" applyBorder="1" applyAlignment="1">
      <alignment horizontal="left" vertical="center" wrapText="1" indent="1"/>
    </xf>
    <xf numFmtId="0" fontId="131" fillId="3" borderId="134" xfId="0" applyFont="1" applyFill="1" applyBorder="1" applyAlignment="1">
      <alignment horizontal="left" vertical="center" wrapText="1"/>
    </xf>
    <xf numFmtId="0" fontId="131" fillId="3" borderId="135" xfId="0" applyFont="1" applyFill="1" applyBorder="1" applyAlignment="1">
      <alignment horizontal="left" vertical="center" wrapText="1"/>
    </xf>
    <xf numFmtId="0" fontId="132" fillId="0" borderId="134" xfId="0" applyFont="1" applyBorder="1" applyAlignment="1">
      <alignment horizontal="left" vertical="center" wrapText="1" indent="1"/>
    </xf>
    <xf numFmtId="0" fontId="132" fillId="0" borderId="97" xfId="21414" applyFont="1" applyBorder="1" applyAlignment="1">
      <alignment horizontal="left" vertical="center" wrapText="1" indent="1"/>
    </xf>
    <xf numFmtId="0" fontId="131" fillId="0" borderId="97" xfId="21414" applyFont="1" applyBorder="1" applyAlignment="1">
      <alignment horizontal="left" vertical="center" wrapText="1"/>
    </xf>
    <xf numFmtId="0" fontId="133" fillId="0" borderId="97" xfId="21414" applyFont="1" applyBorder="1" applyAlignment="1">
      <alignment horizontal="center" vertical="center" wrapText="1"/>
    </xf>
    <xf numFmtId="0" fontId="131" fillId="3" borderId="136" xfId="0"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0" fontId="130" fillId="3" borderId="134" xfId="0" applyFont="1" applyFill="1" applyBorder="1" applyAlignment="1">
      <alignment horizontal="left" vertical="center" wrapText="1" indent="1"/>
    </xf>
    <xf numFmtId="0" fontId="130" fillId="0" borderId="137" xfId="21414" applyFont="1" applyBorder="1" applyAlignment="1">
      <alignment horizontal="left" vertical="center" wrapText="1" indent="1"/>
    </xf>
    <xf numFmtId="0" fontId="130" fillId="0" borderId="134" xfId="0" applyFont="1" applyBorder="1" applyAlignment="1">
      <alignment horizontal="left" vertical="center" wrapText="1" indent="1"/>
    </xf>
    <xf numFmtId="0" fontId="130" fillId="0" borderId="135" xfId="0" applyFont="1" applyBorder="1" applyAlignment="1">
      <alignment horizontal="left" vertical="center" wrapText="1" indent="1"/>
    </xf>
    <xf numFmtId="0" fontId="131" fillId="0" borderId="137" xfId="21414" applyFont="1" applyBorder="1" applyAlignment="1">
      <alignment horizontal="left" vertical="center" wrapText="1"/>
    </xf>
    <xf numFmtId="0" fontId="131" fillId="3" borderId="137" xfId="21414" applyFont="1" applyFill="1" applyBorder="1" applyAlignment="1">
      <alignment horizontal="left" vertical="center" wrapText="1"/>
    </xf>
    <xf numFmtId="0" fontId="133" fillId="0" borderId="137" xfId="21414" applyFont="1" applyBorder="1" applyAlignment="1">
      <alignment horizontal="center" vertical="center" wrapText="1"/>
    </xf>
    <xf numFmtId="0" fontId="134" fillId="0" borderId="137" xfId="0" applyFont="1" applyBorder="1" applyAlignment="1">
      <alignment horizontal="left"/>
    </xf>
    <xf numFmtId="0" fontId="131" fillId="0" borderId="137" xfId="0" applyFont="1" applyBorder="1" applyAlignment="1">
      <alignment horizontal="left" vertical="center" wrapText="1"/>
    </xf>
    <xf numFmtId="0" fontId="0" fillId="0" borderId="0" xfId="0" applyAlignment="1">
      <alignment horizontal="left" vertical="center"/>
    </xf>
    <xf numFmtId="0" fontId="131" fillId="0" borderId="142" xfId="0" applyFont="1" applyBorder="1" applyAlignment="1">
      <alignment horizontal="justify" vertical="center" wrapText="1"/>
    </xf>
    <xf numFmtId="0" fontId="130" fillId="0" borderId="136" xfId="0" applyFont="1" applyBorder="1" applyAlignment="1">
      <alignment horizontal="left" vertical="center" wrapText="1" indent="1"/>
    </xf>
    <xf numFmtId="0" fontId="131" fillId="0" borderId="134" xfId="0" applyFont="1" applyBorder="1" applyAlignment="1">
      <alignment horizontal="justify" vertical="center" wrapText="1"/>
    </xf>
    <xf numFmtId="0" fontId="129" fillId="0" borderId="134" xfId="0" applyFont="1" applyBorder="1" applyAlignment="1">
      <alignment horizontal="justify" vertical="center" wrapText="1"/>
    </xf>
    <xf numFmtId="0" fontId="131" fillId="3" borderId="134" xfId="0" applyFont="1" applyFill="1" applyBorder="1" applyAlignment="1">
      <alignment horizontal="justify" vertical="center" wrapText="1"/>
    </xf>
    <xf numFmtId="0" fontId="131" fillId="0" borderId="135" xfId="0" applyFont="1" applyBorder="1" applyAlignment="1">
      <alignment horizontal="justify" vertical="center" wrapText="1"/>
    </xf>
    <xf numFmtId="0" fontId="131" fillId="0" borderId="136" xfId="0" applyFont="1" applyBorder="1" applyAlignment="1">
      <alignment horizontal="justify" vertical="center" wrapText="1"/>
    </xf>
    <xf numFmtId="0" fontId="132" fillId="0" borderId="128" xfId="0" applyFont="1" applyBorder="1" applyAlignment="1">
      <alignment horizontal="left" vertical="center" wrapText="1" indent="1"/>
    </xf>
    <xf numFmtId="0" fontId="129" fillId="0" borderId="134" xfId="0" applyFont="1" applyBorder="1" applyAlignment="1">
      <alignment vertical="center" wrapText="1"/>
    </xf>
    <xf numFmtId="0" fontId="131" fillId="0" borderId="134" xfId="0" applyFont="1" applyBorder="1" applyAlignment="1">
      <alignment vertical="center" wrapText="1"/>
    </xf>
    <xf numFmtId="0" fontId="0" fillId="0" borderId="137" xfId="0" applyBorder="1" applyAlignment="1">
      <alignment horizontal="center"/>
    </xf>
    <xf numFmtId="0" fontId="0" fillId="0" borderId="0" xfId="0" applyAlignment="1">
      <alignment horizontal="center"/>
    </xf>
    <xf numFmtId="193" fontId="8" fillId="0" borderId="0" xfId="0" applyNumberFormat="1" applyFont="1" applyAlignment="1">
      <alignment horizontal="right"/>
    </xf>
    <xf numFmtId="49" fontId="105" fillId="0" borderId="137" xfId="0" applyNumberFormat="1" applyFont="1" applyBorder="1" applyAlignment="1">
      <alignment horizontal="right" vertical="center"/>
    </xf>
    <xf numFmtId="0" fontId="0" fillId="0" borderId="141" xfId="0" applyBorder="1" applyAlignment="1">
      <alignment horizontal="center"/>
    </xf>
    <xf numFmtId="0" fontId="130" fillId="0" borderId="141" xfId="21414" applyFont="1" applyBorder="1" applyAlignment="1">
      <alignment horizontal="left" vertical="center" wrapText="1" indent="1"/>
    </xf>
    <xf numFmtId="0" fontId="130" fillId="3" borderId="137" xfId="0" applyFont="1" applyFill="1" applyBorder="1" applyAlignment="1">
      <alignment horizontal="left" vertical="center" wrapText="1" indent="1"/>
    </xf>
    <xf numFmtId="167" fontId="22" fillId="0" borderId="137" xfId="0" applyNumberFormat="1" applyFont="1" applyBorder="1" applyAlignment="1">
      <alignment horizontal="center"/>
    </xf>
    <xf numFmtId="0" fontId="22" fillId="0" borderId="137" xfId="0" applyFont="1" applyBorder="1"/>
    <xf numFmtId="0" fontId="130" fillId="0" borderId="137" xfId="0" applyFont="1" applyBorder="1" applyAlignment="1">
      <alignment horizontal="left" vertical="center" wrapText="1" indent="1"/>
    </xf>
    <xf numFmtId="0" fontId="132" fillId="3" borderId="137" xfId="0" applyFont="1" applyFill="1" applyBorder="1" applyAlignment="1">
      <alignment horizontal="left" vertical="center" wrapText="1" indent="1"/>
    </xf>
    <xf numFmtId="0" fontId="132" fillId="0" borderId="137" xfId="0" applyFont="1" applyBorder="1" applyAlignment="1">
      <alignment horizontal="left" vertical="center" wrapText="1" indent="1"/>
    </xf>
    <xf numFmtId="167" fontId="21" fillId="0" borderId="54" xfId="0" applyNumberFormat="1" applyFont="1" applyBorder="1" applyAlignment="1">
      <alignment horizontal="center"/>
    </xf>
    <xf numFmtId="167" fontId="17" fillId="0" borderId="56" xfId="0" applyNumberFormat="1" applyFont="1" applyBorder="1" applyAlignment="1">
      <alignment horizontal="center"/>
    </xf>
    <xf numFmtId="193" fontId="22" fillId="0" borderId="12" xfId="0" applyNumberFormat="1" applyFont="1" applyBorder="1" applyAlignment="1">
      <alignment horizontal="center" vertical="center"/>
    </xf>
    <xf numFmtId="193" fontId="21" fillId="0" borderId="29"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4"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7" xfId="0" applyFont="1" applyBorder="1"/>
    <xf numFmtId="49" fontId="121" fillId="0" borderId="137" xfId="5" applyNumberFormat="1" applyFont="1" applyBorder="1" applyAlignment="1" applyProtection="1">
      <alignment horizontal="right" vertical="center"/>
      <protection locked="0"/>
    </xf>
    <xf numFmtId="0" fontId="120" fillId="3" borderId="137" xfId="13" applyFont="1" applyFill="1" applyBorder="1" applyAlignment="1" applyProtection="1">
      <alignment horizontal="left" vertical="center" wrapText="1"/>
      <protection locked="0"/>
    </xf>
    <xf numFmtId="49" fontId="120" fillId="3" borderId="137" xfId="5" applyNumberFormat="1" applyFont="1" applyFill="1" applyBorder="1" applyAlignment="1" applyProtection="1">
      <alignment horizontal="right" vertical="center"/>
      <protection locked="0"/>
    </xf>
    <xf numFmtId="0" fontId="120" fillId="0" borderId="137" xfId="13" applyFont="1" applyBorder="1" applyAlignment="1" applyProtection="1">
      <alignment horizontal="left" vertical="center" wrapText="1"/>
      <protection locked="0"/>
    </xf>
    <xf numFmtId="49" fontId="120" fillId="0" borderId="137" xfId="5" applyNumberFormat="1" applyFont="1" applyBorder="1" applyAlignment="1" applyProtection="1">
      <alignment horizontal="right" vertical="center"/>
      <protection locked="0"/>
    </xf>
    <xf numFmtId="0" fontId="122" fillId="0" borderId="137" xfId="13" applyFont="1" applyBorder="1" applyAlignment="1" applyProtection="1">
      <alignment horizontal="left" vertical="center" wrapText="1"/>
      <protection locked="0"/>
    </xf>
    <xf numFmtId="0" fontId="119" fillId="0" borderId="137" xfId="0" applyFont="1" applyBorder="1" applyAlignment="1">
      <alignment horizontal="center" vertical="center" wrapText="1"/>
    </xf>
    <xf numFmtId="0" fontId="115" fillId="0" borderId="145" xfId="0" applyFont="1" applyBorder="1"/>
    <xf numFmtId="0" fontId="115" fillId="0" borderId="145" xfId="0" applyFont="1" applyBorder="1" applyAlignment="1">
      <alignment horizontal="left" indent="8"/>
    </xf>
    <xf numFmtId="0" fontId="115" fillId="0" borderId="145" xfId="0" applyFont="1" applyBorder="1" applyAlignment="1">
      <alignment wrapText="1"/>
    </xf>
    <xf numFmtId="0" fontId="118" fillId="0" borderId="145" xfId="0" applyFont="1" applyBorder="1"/>
    <xf numFmtId="49" fontId="121" fillId="0" borderId="145" xfId="5" applyNumberFormat="1" applyFont="1" applyBorder="1" applyAlignment="1" applyProtection="1">
      <alignment horizontal="right" vertical="center" wrapText="1"/>
      <protection locked="0"/>
    </xf>
    <xf numFmtId="49" fontId="120" fillId="3" borderId="145" xfId="5" applyNumberFormat="1" applyFont="1" applyFill="1" applyBorder="1" applyAlignment="1" applyProtection="1">
      <alignment horizontal="right" vertical="center" wrapText="1"/>
      <protection locked="0"/>
    </xf>
    <xf numFmtId="49" fontId="120" fillId="0" borderId="145" xfId="5" applyNumberFormat="1" applyFont="1" applyBorder="1" applyAlignment="1" applyProtection="1">
      <alignment horizontal="right" vertical="center" wrapText="1"/>
      <protection locked="0"/>
    </xf>
    <xf numFmtId="0" fontId="115" fillId="0" borderId="145"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5"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5" xfId="0" applyFont="1" applyBorder="1" applyAlignment="1">
      <alignment horizontal="left" vertical="center" wrapText="1"/>
    </xf>
    <xf numFmtId="0" fontId="119" fillId="0" borderId="145" xfId="0" applyFont="1" applyBorder="1"/>
    <xf numFmtId="0" fontId="118" fillId="0" borderId="145" xfId="0" applyFont="1" applyBorder="1" applyAlignment="1">
      <alignment horizontal="left" wrapText="1" indent="1"/>
    </xf>
    <xf numFmtId="0" fontId="118" fillId="0" borderId="145" xfId="0" applyFont="1" applyBorder="1" applyAlignment="1">
      <alignment horizontal="left" vertical="center" indent="1"/>
    </xf>
    <xf numFmtId="0" fontId="116" fillId="0" borderId="145" xfId="0" applyFont="1" applyBorder="1"/>
    <xf numFmtId="0" fontId="115" fillId="0" borderId="145" xfId="0" applyFont="1" applyBorder="1" applyAlignment="1">
      <alignment horizontal="left" wrapText="1" indent="1"/>
    </xf>
    <xf numFmtId="0" fontId="115" fillId="0" borderId="145" xfId="0" applyFont="1" applyBorder="1" applyAlignment="1">
      <alignment horizontal="left" indent="1"/>
    </xf>
    <xf numFmtId="0" fontId="115" fillId="0" borderId="145" xfId="0" applyFont="1" applyBorder="1" applyAlignment="1">
      <alignment horizontal="left" wrapText="1" indent="4"/>
    </xf>
    <xf numFmtId="0" fontId="115" fillId="0" borderId="145" xfId="0" applyFont="1" applyBorder="1" applyAlignment="1">
      <alignment horizontal="left" indent="3"/>
    </xf>
    <xf numFmtId="0" fontId="118" fillId="0" borderId="145" xfId="0" applyFont="1" applyBorder="1" applyAlignment="1">
      <alignment horizontal="left" indent="1"/>
    </xf>
    <xf numFmtId="0" fontId="119" fillId="0" borderId="145" xfId="0" applyFont="1" applyBorder="1" applyAlignment="1">
      <alignment horizontal="center" vertical="center" wrapText="1"/>
    </xf>
    <xf numFmtId="0" fontId="115" fillId="78" borderId="145" xfId="0" applyFont="1" applyFill="1" applyBorder="1"/>
    <xf numFmtId="0" fontId="118" fillId="0" borderId="7" xfId="0" applyFont="1" applyBorder="1"/>
    <xf numFmtId="0" fontId="115" fillId="0" borderId="145" xfId="0" applyFont="1" applyBorder="1" applyAlignment="1">
      <alignment horizontal="left" wrapText="1" indent="2"/>
    </xf>
    <xf numFmtId="0" fontId="115" fillId="0" borderId="145" xfId="0" applyFont="1" applyBorder="1" applyAlignment="1">
      <alignment horizontal="left" wrapText="1"/>
    </xf>
    <xf numFmtId="0" fontId="118" fillId="80" borderId="145" xfId="0" applyFont="1" applyFill="1" applyBorder="1"/>
    <xf numFmtId="0" fontId="115" fillId="0" borderId="145"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1"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4"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51" xfId="0" applyFont="1" applyBorder="1"/>
    <xf numFmtId="0" fontId="115" fillId="0" borderId="152" xfId="0" applyFont="1" applyBorder="1"/>
    <xf numFmtId="49" fontId="115" fillId="0" borderId="153" xfId="0" applyNumberFormat="1" applyFont="1" applyBorder="1" applyAlignment="1">
      <alignment horizontal="left" wrapText="1" indent="1"/>
    </xf>
    <xf numFmtId="49" fontId="115" fillId="0" borderId="151" xfId="0" applyNumberFormat="1" applyFont="1" applyBorder="1" applyAlignment="1">
      <alignment horizontal="left" wrapText="1" indent="1"/>
    </xf>
    <xf numFmtId="0" fontId="115" fillId="0" borderId="153" xfId="0" applyFont="1" applyBorder="1" applyAlignment="1">
      <alignment horizontal="left" wrapText="1" indent="1"/>
    </xf>
    <xf numFmtId="0" fontId="115" fillId="0" borderId="154" xfId="0" applyFont="1" applyBorder="1"/>
    <xf numFmtId="49" fontId="115" fillId="0" borderId="155" xfId="0" applyNumberFormat="1" applyFont="1" applyBorder="1" applyAlignment="1">
      <alignment horizontal="left" wrapText="1" indent="1"/>
    </xf>
    <xf numFmtId="49" fontId="115" fillId="0" borderId="154" xfId="0" applyNumberFormat="1" applyFont="1" applyBorder="1" applyAlignment="1">
      <alignment horizontal="left" wrapText="1" indent="1"/>
    </xf>
    <xf numFmtId="0" fontId="115" fillId="0" borderId="155" xfId="0" applyFont="1" applyBorder="1" applyAlignment="1">
      <alignment horizontal="left" wrapText="1" indent="1"/>
    </xf>
    <xf numFmtId="49" fontId="115" fillId="0" borderId="155" xfId="0" applyNumberFormat="1" applyFont="1" applyBorder="1" applyAlignment="1">
      <alignment horizontal="left" wrapText="1" indent="3"/>
    </xf>
    <xf numFmtId="49" fontId="115" fillId="0" borderId="154" xfId="0" applyNumberFormat="1" applyFont="1" applyBorder="1" applyAlignment="1">
      <alignment horizontal="left" wrapText="1" indent="3"/>
    </xf>
    <xf numFmtId="49" fontId="115" fillId="0" borderId="155" xfId="0" applyNumberFormat="1" applyFont="1" applyBorder="1" applyAlignment="1">
      <alignment horizontal="left" wrapText="1" indent="2"/>
    </xf>
    <xf numFmtId="49" fontId="115" fillId="0" borderId="154" xfId="0" applyNumberFormat="1" applyFont="1" applyBorder="1" applyAlignment="1">
      <alignment horizontal="left" wrapText="1" indent="2"/>
    </xf>
    <xf numFmtId="49" fontId="115" fillId="0" borderId="155" xfId="0" applyNumberFormat="1" applyFont="1" applyBorder="1" applyAlignment="1">
      <alignment horizontal="left" vertical="top" wrapText="1" indent="2"/>
    </xf>
    <xf numFmtId="49" fontId="115" fillId="0" borderId="154" xfId="0" applyNumberFormat="1" applyFont="1" applyBorder="1" applyAlignment="1">
      <alignment horizontal="left" vertical="top" wrapText="1" indent="2"/>
    </xf>
    <xf numFmtId="0" fontId="115" fillId="79" borderId="154" xfId="0" applyFont="1" applyFill="1" applyBorder="1"/>
    <xf numFmtId="0" fontId="115" fillId="79" borderId="145" xfId="0" applyFont="1" applyFill="1" applyBorder="1"/>
    <xf numFmtId="0" fontId="115" fillId="79" borderId="155" xfId="0" applyFont="1" applyFill="1" applyBorder="1"/>
    <xf numFmtId="49" fontId="115" fillId="0" borderId="154" xfId="0" applyNumberFormat="1" applyFont="1" applyBorder="1" applyAlignment="1">
      <alignment horizontal="left" indent="1"/>
    </xf>
    <xf numFmtId="0" fontId="115" fillId="0" borderId="155" xfId="0" applyFont="1" applyBorder="1" applyAlignment="1">
      <alignment horizontal="left" indent="1"/>
    </xf>
    <xf numFmtId="49" fontId="115" fillId="0" borderId="155" xfId="0" applyNumberFormat="1" applyFont="1" applyBorder="1" applyAlignment="1">
      <alignment horizontal="left" indent="1"/>
    </xf>
    <xf numFmtId="49" fontId="115" fillId="0" borderId="155" xfId="0" applyNumberFormat="1" applyFont="1" applyBorder="1" applyAlignment="1">
      <alignment horizontal="left" indent="3"/>
    </xf>
    <xf numFmtId="49" fontId="115" fillId="0" borderId="154" xfId="0" applyNumberFormat="1" applyFont="1" applyBorder="1" applyAlignment="1">
      <alignment horizontal="left" indent="3"/>
    </xf>
    <xf numFmtId="0" fontId="115" fillId="0" borderId="155" xfId="0" applyFont="1" applyBorder="1" applyAlignment="1">
      <alignment horizontal="left" indent="2"/>
    </xf>
    <xf numFmtId="0" fontId="115" fillId="0" borderId="154" xfId="0" applyFont="1" applyBorder="1" applyAlignment="1">
      <alignment horizontal="left" indent="2"/>
    </xf>
    <xf numFmtId="0" fontId="115" fillId="0" borderId="154" xfId="0" applyFont="1" applyBorder="1" applyAlignment="1">
      <alignment horizontal="left" indent="1"/>
    </xf>
    <xf numFmtId="0" fontId="118" fillId="0" borderId="67" xfId="0" applyFont="1" applyBorder="1"/>
    <xf numFmtId="0" fontId="118" fillId="0" borderId="62" xfId="0" applyFont="1" applyBorder="1"/>
    <xf numFmtId="0" fontId="115" fillId="0" borderId="67" xfId="0" applyFont="1" applyBorder="1"/>
    <xf numFmtId="0" fontId="115" fillId="0" borderId="0" xfId="0" applyFont="1" applyAlignment="1">
      <alignment horizontal="left"/>
    </xf>
    <xf numFmtId="0" fontId="118" fillId="0" borderId="145" xfId="0" applyFont="1" applyBorder="1" applyAlignment="1">
      <alignment horizontal="left" vertical="center" wrapText="1"/>
    </xf>
    <xf numFmtId="0" fontId="115" fillId="0" borderId="145" xfId="0" applyFont="1" applyBorder="1" applyAlignment="1">
      <alignment horizontal="center" vertical="center" textRotation="90" wrapText="1"/>
    </xf>
    <xf numFmtId="0" fontId="8" fillId="0" borderId="0" xfId="0" applyFont="1" applyAlignment="1">
      <alignment wrapText="1"/>
    </xf>
    <xf numFmtId="0" fontId="120" fillId="0" borderId="145" xfId="0" applyFont="1" applyBorder="1"/>
    <xf numFmtId="0" fontId="118" fillId="0" borderId="145"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2" xfId="0" applyFont="1" applyBorder="1" applyAlignment="1">
      <alignment horizontal="left" vertical="center" wrapText="1" indent="1" readingOrder="1"/>
    </xf>
    <xf numFmtId="0" fontId="120" fillId="0" borderId="145" xfId="0" applyFont="1" applyBorder="1" applyAlignment="1">
      <alignment horizontal="left" indent="3"/>
    </xf>
    <xf numFmtId="0" fontId="118" fillId="0" borderId="145" xfId="0" applyFont="1" applyBorder="1" applyAlignment="1">
      <alignment vertical="center" wrapText="1" readingOrder="1"/>
    </xf>
    <xf numFmtId="0" fontId="120" fillId="0" borderId="145" xfId="0" applyFont="1" applyBorder="1" applyAlignment="1">
      <alignment horizontal="left" indent="2"/>
    </xf>
    <xf numFmtId="0" fontId="120" fillId="0" borderId="146" xfId="0" applyFont="1" applyBorder="1"/>
    <xf numFmtId="0" fontId="115" fillId="0" borderId="133" xfId="0" applyFont="1" applyBorder="1" applyAlignment="1">
      <alignment vertical="center" wrapText="1" readingOrder="1"/>
    </xf>
    <xf numFmtId="0" fontId="120" fillId="0" borderId="146" xfId="0" applyFont="1" applyBorder="1" applyAlignment="1">
      <alignment horizontal="left" indent="2"/>
    </xf>
    <xf numFmtId="0" fontId="115" fillId="0" borderId="132" xfId="0" applyFont="1" applyBorder="1" applyAlignment="1">
      <alignment vertical="center" wrapText="1" readingOrder="1"/>
    </xf>
    <xf numFmtId="0" fontId="115" fillId="0" borderId="131" xfId="0" applyFont="1" applyBorder="1" applyAlignment="1">
      <alignment vertical="center" wrapText="1" readingOrder="1"/>
    </xf>
    <xf numFmtId="0" fontId="138" fillId="0" borderId="7" xfId="0" applyFont="1" applyBorder="1"/>
    <xf numFmtId="0" fontId="105" fillId="0" borderId="145" xfId="0" applyFont="1" applyBorder="1" applyAlignment="1">
      <alignment vertical="center" wrapText="1"/>
    </xf>
    <xf numFmtId="0" fontId="105" fillId="0" borderId="145" xfId="0" applyFont="1" applyBorder="1" applyAlignment="1">
      <alignment horizontal="left" vertical="center" wrapText="1"/>
    </xf>
    <xf numFmtId="0" fontId="105" fillId="0" borderId="145" xfId="0" applyFont="1" applyBorder="1" applyAlignment="1">
      <alignment horizontal="left" indent="2"/>
    </xf>
    <xf numFmtId="0" fontId="105" fillId="0" borderId="145" xfId="0" applyFont="1" applyBorder="1" applyAlignment="1">
      <alignment horizontal="left" vertical="center" indent="1"/>
    </xf>
    <xf numFmtId="0" fontId="105" fillId="0" borderId="145" xfId="0" applyFont="1" applyBorder="1" applyAlignment="1">
      <alignment horizontal="left" vertical="center" wrapText="1" indent="1"/>
    </xf>
    <xf numFmtId="0" fontId="105" fillId="0" borderId="145" xfId="0" applyFont="1" applyBorder="1" applyAlignment="1">
      <alignment horizontal="right" vertical="center"/>
    </xf>
    <xf numFmtId="49" fontId="105" fillId="0" borderId="145" xfId="0" applyNumberFormat="1" applyFont="1" applyBorder="1" applyAlignment="1">
      <alignment horizontal="right" vertical="center"/>
    </xf>
    <xf numFmtId="49" fontId="105" fillId="0" borderId="145" xfId="0" applyNumberFormat="1" applyFont="1" applyBorder="1" applyAlignment="1">
      <alignment vertical="top" wrapText="1"/>
    </xf>
    <xf numFmtId="49" fontId="105" fillId="0" borderId="145" xfId="0" applyNumberFormat="1" applyFont="1" applyBorder="1" applyAlignment="1">
      <alignment horizontal="left" vertical="top" wrapText="1" indent="2"/>
    </xf>
    <xf numFmtId="49" fontId="105" fillId="0" borderId="145" xfId="0" applyNumberFormat="1" applyFont="1" applyBorder="1" applyAlignment="1">
      <alignment horizontal="left" vertical="center" wrapText="1" indent="3"/>
    </xf>
    <xf numFmtId="49" fontId="105" fillId="0" borderId="145" xfId="0" applyNumberFormat="1" applyFont="1" applyBorder="1" applyAlignment="1">
      <alignment horizontal="left" wrapText="1" indent="2"/>
    </xf>
    <xf numFmtId="49" fontId="105" fillId="0" borderId="145" xfId="0" applyNumberFormat="1" applyFont="1" applyBorder="1" applyAlignment="1">
      <alignment horizontal="left" vertical="top" wrapText="1"/>
    </xf>
    <xf numFmtId="49" fontId="105" fillId="0" borderId="145" xfId="0" applyNumberFormat="1" applyFont="1" applyBorder="1" applyAlignment="1">
      <alignment horizontal="left" wrapText="1" indent="3"/>
    </xf>
    <xf numFmtId="49" fontId="105" fillId="0" borderId="145" xfId="0" applyNumberFormat="1" applyFont="1" applyBorder="1" applyAlignment="1">
      <alignment vertical="center"/>
    </xf>
    <xf numFmtId="49" fontId="105" fillId="0" borderId="145" xfId="0" applyNumberFormat="1" applyFont="1" applyBorder="1" applyAlignment="1">
      <alignment horizontal="left" indent="3"/>
    </xf>
    <xf numFmtId="0" fontId="105" fillId="0" borderId="145" xfId="0" applyFont="1" applyBorder="1" applyAlignment="1">
      <alignment horizontal="left" indent="1"/>
    </xf>
    <xf numFmtId="0" fontId="105" fillId="0" borderId="145" xfId="0" applyFont="1" applyBorder="1" applyAlignment="1">
      <alignment horizontal="left" wrapText="1" indent="2"/>
    </xf>
    <xf numFmtId="0" fontId="105" fillId="0" borderId="145" xfId="0" applyFont="1" applyBorder="1" applyAlignment="1">
      <alignment horizontal="left" vertical="top" wrapText="1"/>
    </xf>
    <xf numFmtId="0" fontId="104" fillId="0" borderId="7" xfId="0" applyFont="1" applyBorder="1" applyAlignment="1">
      <alignment wrapText="1"/>
    </xf>
    <xf numFmtId="0" fontId="105" fillId="0" borderId="145" xfId="0" applyFont="1" applyBorder="1" applyAlignment="1">
      <alignment horizontal="left" vertical="top" wrapText="1" indent="2"/>
    </xf>
    <xf numFmtId="0" fontId="105" fillId="0" borderId="145" xfId="0" applyFont="1" applyBorder="1" applyAlignment="1">
      <alignment horizontal="left" wrapText="1"/>
    </xf>
    <xf numFmtId="0" fontId="105" fillId="0" borderId="145" xfId="12672" applyFont="1" applyBorder="1" applyAlignment="1">
      <alignment horizontal="left" vertical="center" wrapText="1" indent="2"/>
    </xf>
    <xf numFmtId="0" fontId="105" fillId="0" borderId="145" xfId="0" applyFont="1" applyBorder="1" applyAlignment="1">
      <alignment wrapText="1"/>
    </xf>
    <xf numFmtId="0" fontId="105" fillId="0" borderId="145" xfId="0" applyFont="1" applyBorder="1"/>
    <xf numFmtId="0" fontId="105" fillId="0" borderId="145" xfId="12672" applyFont="1" applyBorder="1" applyAlignment="1">
      <alignment horizontal="left" vertical="center" wrapText="1"/>
    </xf>
    <xf numFmtId="0" fontId="104" fillId="0" borderId="145" xfId="0" applyFont="1" applyBorder="1" applyAlignment="1">
      <alignment wrapText="1"/>
    </xf>
    <xf numFmtId="0" fontId="105" fillId="0" borderId="147" xfId="0" applyFont="1" applyBorder="1" applyAlignment="1">
      <alignment horizontal="left" vertical="center" wrapText="1"/>
    </xf>
    <xf numFmtId="0" fontId="105" fillId="3" borderId="145" xfId="5" applyFont="1" applyFill="1" applyBorder="1" applyAlignment="1" applyProtection="1">
      <alignment horizontal="right" vertical="center"/>
      <protection locked="0"/>
    </xf>
    <xf numFmtId="2" fontId="105" fillId="3" borderId="145" xfId="5" applyNumberFormat="1" applyFont="1" applyFill="1" applyBorder="1" applyAlignment="1" applyProtection="1">
      <alignment horizontal="right" vertical="center"/>
      <protection locked="0"/>
    </xf>
    <xf numFmtId="0" fontId="105" fillId="0" borderId="145" xfId="0" applyFont="1" applyBorder="1" applyAlignment="1">
      <alignment vertical="center"/>
    </xf>
    <xf numFmtId="0" fontId="105" fillId="0" borderId="147" xfId="13" applyFont="1" applyBorder="1" applyAlignment="1" applyProtection="1">
      <alignment horizontal="left" vertical="top" wrapText="1"/>
      <protection locked="0"/>
    </xf>
    <xf numFmtId="0" fontId="105" fillId="0" borderId="148" xfId="13" applyFont="1" applyBorder="1" applyAlignment="1" applyProtection="1">
      <alignment horizontal="left" vertical="top" wrapText="1"/>
      <protection locked="0"/>
    </xf>
    <xf numFmtId="0" fontId="105" fillId="0" borderId="146"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46" xfId="0" applyFont="1" applyBorder="1" applyAlignment="1">
      <alignment horizontal="left" indent="2"/>
    </xf>
    <xf numFmtId="0" fontId="105" fillId="0" borderId="133" xfId="0" applyFont="1" applyBorder="1" applyAlignment="1">
      <alignment horizontal="left" vertical="center" wrapText="1" readingOrder="1"/>
    </xf>
    <xf numFmtId="0" fontId="105" fillId="0" borderId="145" xfId="0" applyFont="1" applyBorder="1" applyAlignment="1">
      <alignment horizontal="left" vertical="center" wrapText="1" readingOrder="1"/>
    </xf>
    <xf numFmtId="167" fontId="18" fillId="81" borderId="55" xfId="0" applyNumberFormat="1" applyFont="1" applyFill="1" applyBorder="1" applyAlignment="1">
      <alignment horizontal="center"/>
    </xf>
    <xf numFmtId="0" fontId="10" fillId="0" borderId="97"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45" xfId="0" applyFont="1" applyFill="1" applyBorder="1" applyAlignment="1">
      <alignment horizontal="left" vertical="center"/>
    </xf>
    <xf numFmtId="49" fontId="144" fillId="0" borderId="145" xfId="0" applyNumberFormat="1" applyFont="1" applyBorder="1" applyAlignment="1">
      <alignment horizontal="left" vertical="center"/>
    </xf>
    <xf numFmtId="0" fontId="144" fillId="0" borderId="145" xfId="0" applyFont="1" applyBorder="1" applyAlignment="1">
      <alignment horizontal="left" vertical="center"/>
    </xf>
    <xf numFmtId="0" fontId="143" fillId="0" borderId="145" xfId="0" applyFont="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4" fontId="143" fillId="82" borderId="154" xfId="7" applyNumberFormat="1" applyFont="1" applyFill="1" applyBorder="1" applyAlignment="1">
      <alignment horizontal="left" vertical="center"/>
    </xf>
    <xf numFmtId="194" fontId="144" fillId="0" borderId="154" xfId="7" applyNumberFormat="1" applyFont="1" applyFill="1" applyBorder="1" applyAlignment="1">
      <alignment horizontal="left" vertical="center"/>
    </xf>
    <xf numFmtId="10" fontId="6" fillId="0" borderId="154" xfId="0" applyNumberFormat="1" applyFont="1" applyBorder="1" applyAlignment="1">
      <alignment horizontal="right" vertical="center" wrapText="1"/>
    </xf>
    <xf numFmtId="0" fontId="147" fillId="84" borderId="152" xfId="0" applyFont="1" applyFill="1" applyBorder="1" applyAlignment="1">
      <alignment horizontal="left" vertical="center"/>
    </xf>
    <xf numFmtId="10" fontId="148"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lignment horizontal="center" vertical="center" wrapText="1"/>
    </xf>
    <xf numFmtId="0" fontId="5" fillId="86" borderId="145" xfId="0" applyFont="1" applyFill="1" applyBorder="1" applyAlignment="1">
      <alignment vertical="center" wrapText="1"/>
    </xf>
    <xf numFmtId="194" fontId="5" fillId="86" borderId="145" xfId="7" applyNumberFormat="1" applyFont="1" applyFill="1" applyBorder="1" applyAlignment="1">
      <alignment vertical="center"/>
    </xf>
    <xf numFmtId="194" fontId="5" fillId="86" borderId="154" xfId="7" applyNumberFormat="1" applyFont="1" applyFill="1" applyBorder="1" applyAlignment="1">
      <alignment vertical="center"/>
    </xf>
    <xf numFmtId="0" fontId="144" fillId="82" borderId="145" xfId="0" applyFont="1" applyFill="1" applyBorder="1" applyAlignment="1">
      <alignment horizontal="left" vertical="center" wrapText="1" indent="3"/>
    </xf>
    <xf numFmtId="194" fontId="5" fillId="35" borderId="145" xfId="7" applyNumberFormat="1" applyFont="1" applyFill="1" applyBorder="1" applyAlignment="1">
      <alignment vertical="center"/>
    </xf>
    <xf numFmtId="0" fontId="151" fillId="82" borderId="145" xfId="0" applyFont="1" applyFill="1" applyBorder="1" applyAlignment="1">
      <alignment horizontal="left" vertical="center" wrapText="1" indent="5"/>
    </xf>
    <xf numFmtId="0" fontId="152" fillId="83" borderId="145" xfId="0" applyFont="1" applyFill="1" applyBorder="1" applyAlignment="1">
      <alignment horizontal="left" vertical="center" wrapText="1" indent="1"/>
    </xf>
    <xf numFmtId="194" fontId="152" fillId="83" borderId="145" xfId="7" applyNumberFormat="1" applyFont="1" applyFill="1" applyBorder="1" applyAlignment="1">
      <alignment vertical="center"/>
    </xf>
    <xf numFmtId="194" fontId="152" fillId="84" borderId="154" xfId="7" applyNumberFormat="1" applyFont="1" applyFill="1" applyBorder="1" applyAlignment="1">
      <alignment vertical="center"/>
    </xf>
    <xf numFmtId="194" fontId="153" fillId="82" borderId="145" xfId="7" applyNumberFormat="1" applyFont="1" applyFill="1" applyBorder="1" applyAlignment="1">
      <alignment vertical="center"/>
    </xf>
    <xf numFmtId="194" fontId="153" fillId="84" borderId="154" xfId="7" applyNumberFormat="1" applyFont="1" applyFill="1" applyBorder="1" applyAlignment="1">
      <alignment vertical="center"/>
    </xf>
    <xf numFmtId="0" fontId="151" fillId="82" borderId="152" xfId="0" applyFont="1" applyFill="1" applyBorder="1" applyAlignment="1">
      <alignment horizontal="left" vertical="center" wrapText="1" indent="5"/>
    </xf>
    <xf numFmtId="194" fontId="153" fillId="82" borderId="152" xfId="7" applyNumberFormat="1" applyFont="1" applyFill="1" applyBorder="1" applyAlignment="1">
      <alignment vertical="center"/>
    </xf>
    <xf numFmtId="194" fontId="153" fillId="84" borderId="151" xfId="7" applyNumberFormat="1" applyFont="1" applyFill="1" applyBorder="1" applyAlignment="1">
      <alignment vertical="center"/>
    </xf>
    <xf numFmtId="0" fontId="6" fillId="0" borderId="145"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7" xfId="0" applyNumberFormat="1" applyFont="1" applyBorder="1" applyAlignment="1">
      <alignment horizontal="right" vertical="center"/>
    </xf>
    <xf numFmtId="0" fontId="154" fillId="0" borderId="145" xfId="12672" applyFont="1" applyBorder="1" applyAlignment="1">
      <alignment horizontal="left" vertical="center" wrapText="1"/>
    </xf>
    <xf numFmtId="0" fontId="154" fillId="0" borderId="146" xfId="0" applyFont="1" applyBorder="1" applyAlignment="1">
      <alignment horizontal="left" vertical="top" wrapText="1"/>
    </xf>
    <xf numFmtId="0" fontId="154" fillId="0" borderId="145" xfId="0" applyFont="1" applyBorder="1" applyAlignment="1">
      <alignment vertical="center" wrapText="1"/>
    </xf>
    <xf numFmtId="0" fontId="131" fillId="0" borderId="145" xfId="21414" applyFont="1" applyBorder="1" applyAlignment="1">
      <alignment horizontal="left" vertical="center" wrapText="1"/>
    </xf>
    <xf numFmtId="193" fontId="8" fillId="0" borderId="145" xfId="0" applyNumberFormat="1" applyFont="1" applyBorder="1" applyAlignment="1">
      <alignment horizontal="right"/>
    </xf>
    <xf numFmtId="0" fontId="4" fillId="0" borderId="145" xfId="0" applyFont="1" applyBorder="1"/>
    <xf numFmtId="0" fontId="10" fillId="0" borderId="145" xfId="17" applyFill="1" applyBorder="1" applyAlignment="1" applyProtection="1"/>
    <xf numFmtId="0" fontId="138" fillId="3" borderId="145" xfId="5" applyFont="1" applyFill="1" applyBorder="1" applyProtection="1">
      <protection locked="0"/>
    </xf>
    <xf numFmtId="0" fontId="138" fillId="0" borderId="145" xfId="21416" applyFont="1" applyBorder="1" applyAlignment="1" applyProtection="1">
      <alignment horizontal="center" vertical="top" wrapText="1"/>
      <protection locked="0"/>
    </xf>
    <xf numFmtId="0" fontId="155" fillId="3" borderId="145" xfId="21416" applyFont="1" applyFill="1" applyBorder="1" applyAlignment="1" applyProtection="1">
      <alignment wrapText="1"/>
      <protection locked="0"/>
    </xf>
    <xf numFmtId="3" fontId="138" fillId="80" borderId="145" xfId="5" applyNumberFormat="1" applyFont="1" applyFill="1" applyBorder="1"/>
    <xf numFmtId="0" fontId="136" fillId="3" borderId="145" xfId="21416" applyFont="1" applyFill="1" applyBorder="1" applyAlignment="1" applyProtection="1">
      <alignment horizontal="right" wrapText="1"/>
      <protection locked="0"/>
    </xf>
    <xf numFmtId="3" fontId="138" fillId="0" borderId="145" xfId="5" applyNumberFormat="1" applyFont="1" applyBorder="1"/>
    <xf numFmtId="0" fontId="156" fillId="0" borderId="0" xfId="21415" applyFont="1" applyAlignment="1" applyProtection="1">
      <alignment vertical="center"/>
      <protection locked="0"/>
    </xf>
    <xf numFmtId="0" fontId="111" fillId="76" borderId="148" xfId="21412" applyFont="1" applyFill="1" applyBorder="1" applyAlignment="1" applyProtection="1">
      <alignment vertical="center" wrapText="1"/>
      <protection locked="0"/>
    </xf>
    <xf numFmtId="0" fontId="61" fillId="76" borderId="147" xfId="21412" applyFont="1" applyFill="1" applyBorder="1" applyProtection="1">
      <alignment vertical="center"/>
      <protection locked="0"/>
    </xf>
    <xf numFmtId="0" fontId="112" fillId="69" borderId="146" xfId="21412" applyFont="1" applyFill="1" applyBorder="1" applyAlignment="1" applyProtection="1">
      <alignment horizontal="center" vertical="center"/>
      <protection locked="0"/>
    </xf>
    <xf numFmtId="0" fontId="112" fillId="0" borderId="147" xfId="21412" applyFont="1" applyBorder="1" applyAlignment="1" applyProtection="1">
      <alignment horizontal="left" vertical="center" wrapText="1"/>
      <protection locked="0"/>
    </xf>
    <xf numFmtId="165" fontId="112" fillId="0" borderId="145" xfId="948" applyNumberFormat="1" applyFont="1" applyFill="1" applyBorder="1" applyAlignment="1" applyProtection="1">
      <alignment horizontal="right" vertical="center"/>
      <protection locked="0"/>
    </xf>
    <xf numFmtId="0" fontId="111"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top" wrapText="1"/>
      <protection locked="0"/>
    </xf>
    <xf numFmtId="165" fontId="112" fillId="77" borderId="145" xfId="948" applyNumberFormat="1" applyFont="1" applyFill="1" applyBorder="1" applyAlignment="1" applyProtection="1">
      <alignment horizontal="right" vertical="center"/>
    </xf>
    <xf numFmtId="0" fontId="111" fillId="76" borderId="148" xfId="21412" applyFont="1" applyFill="1" applyBorder="1" applyProtection="1">
      <alignment vertical="center"/>
      <protection locked="0"/>
    </xf>
    <xf numFmtId="165" fontId="61" fillId="76" borderId="147" xfId="948" applyNumberFormat="1" applyFont="1" applyFill="1" applyBorder="1" applyAlignment="1" applyProtection="1">
      <alignment horizontal="right" vertical="center"/>
      <protection locked="0"/>
    </xf>
    <xf numFmtId="0" fontId="113" fillId="69" borderId="146" xfId="21412" applyFont="1" applyFill="1" applyBorder="1" applyAlignment="1" applyProtection="1">
      <alignment horizontal="center" vertical="center"/>
      <protection locked="0"/>
    </xf>
    <xf numFmtId="0" fontId="112" fillId="69" borderId="145" xfId="21412" applyFont="1" applyFill="1" applyBorder="1" applyAlignment="1" applyProtection="1">
      <alignment vertical="center" wrapText="1"/>
      <protection locked="0"/>
    </xf>
    <xf numFmtId="0" fontId="112" fillId="69" borderId="145" xfId="21412" applyFont="1" applyFill="1" applyBorder="1" applyAlignment="1" applyProtection="1">
      <alignment horizontal="left" vertical="center" wrapText="1"/>
      <protection locked="0"/>
    </xf>
    <xf numFmtId="0" fontId="112" fillId="0" borderId="145" xfId="21412" applyFont="1" applyBorder="1" applyAlignment="1" applyProtection="1">
      <alignment horizontal="left" vertical="center" wrapText="1"/>
      <protection locked="0"/>
    </xf>
    <xf numFmtId="0" fontId="113" fillId="3" borderId="146" xfId="21412" applyFont="1" applyFill="1" applyBorder="1" applyAlignment="1" applyProtection="1">
      <alignment horizontal="center" vertical="center"/>
      <protection locked="0"/>
    </xf>
    <xf numFmtId="0" fontId="112" fillId="0" borderId="145" xfId="21412" applyFont="1" applyBorder="1" applyAlignment="1" applyProtection="1">
      <alignment vertical="center" wrapText="1"/>
      <protection locked="0"/>
    </xf>
    <xf numFmtId="0" fontId="114" fillId="77" borderId="145" xfId="21412" applyFont="1" applyFill="1" applyBorder="1" applyAlignment="1" applyProtection="1">
      <alignment horizontal="center" vertical="center"/>
      <protection locked="0"/>
    </xf>
    <xf numFmtId="0" fontId="111" fillId="77" borderId="147" xfId="21412" applyFont="1" applyFill="1" applyBorder="1" applyAlignment="1" applyProtection="1">
      <alignment vertical="center" wrapText="1"/>
      <protection locked="0"/>
    </xf>
    <xf numFmtId="165" fontId="111" fillId="76" borderId="147" xfId="948" applyNumberFormat="1" applyFont="1" applyFill="1" applyBorder="1" applyAlignment="1" applyProtection="1">
      <alignment horizontal="right" vertical="center"/>
      <protection locked="0"/>
    </xf>
    <xf numFmtId="0" fontId="112" fillId="69" borderId="147" xfId="21412" applyFont="1" applyFill="1" applyBorder="1" applyAlignment="1" applyProtection="1">
      <alignment vertical="center" wrapText="1"/>
      <protection locked="0"/>
    </xf>
    <xf numFmtId="0" fontId="61" fillId="76" borderId="148" xfId="21412" applyFont="1" applyFill="1" applyBorder="1" applyProtection="1">
      <alignment vertical="center"/>
      <protection locked="0"/>
    </xf>
    <xf numFmtId="165" fontId="112" fillId="3" borderId="145" xfId="948" applyNumberFormat="1" applyFont="1" applyFill="1" applyBorder="1" applyAlignment="1" applyProtection="1">
      <alignment horizontal="right" vertical="center"/>
      <protection locked="0"/>
    </xf>
    <xf numFmtId="0" fontId="113" fillId="3" borderId="145" xfId="21412" applyFont="1" applyFill="1" applyBorder="1" applyAlignment="1" applyProtection="1">
      <alignment horizontal="center" vertical="center"/>
      <protection locked="0"/>
    </xf>
    <xf numFmtId="0" fontId="112" fillId="69" borderId="147"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45" xfId="5" applyFont="1" applyFill="1" applyBorder="1" applyAlignment="1" applyProtection="1">
      <alignment vertical="center" wrapText="1"/>
      <protection locked="0"/>
    </xf>
    <xf numFmtId="0" fontId="138" fillId="0" borderId="145" xfId="21416" applyFont="1" applyBorder="1" applyAlignment="1" applyProtection="1">
      <alignment horizontal="center" vertical="center" wrapText="1"/>
      <protection locked="0"/>
    </xf>
    <xf numFmtId="3" fontId="138" fillId="3" borderId="145" xfId="1" applyNumberFormat="1" applyFont="1" applyFill="1" applyBorder="1" applyAlignment="1" applyProtection="1">
      <alignment horizontal="center" vertical="center" wrapText="1"/>
      <protection locked="0"/>
    </xf>
    <xf numFmtId="9" fontId="138" fillId="3" borderId="145" xfId="15" applyNumberFormat="1" applyFont="1" applyFill="1" applyBorder="1" applyAlignment="1" applyProtection="1">
      <alignment horizontal="center" vertical="center" wrapText="1"/>
      <protection locked="0"/>
    </xf>
    <xf numFmtId="0" fontId="138" fillId="3" borderId="145" xfId="21416" applyFont="1" applyFill="1" applyBorder="1" applyAlignment="1" applyProtection="1">
      <alignment horizontal="center" vertical="center" wrapText="1"/>
      <protection locked="0"/>
    </xf>
    <xf numFmtId="0" fontId="155" fillId="3" borderId="145" xfId="21416" applyFont="1" applyFill="1" applyBorder="1" applyProtection="1">
      <protection locked="0"/>
    </xf>
    <xf numFmtId="0" fontId="158" fillId="3" borderId="145" xfId="21416" applyFont="1" applyFill="1" applyBorder="1" applyAlignment="1" applyProtection="1">
      <alignment horizontal="right"/>
      <protection locked="0"/>
    </xf>
    <xf numFmtId="195" fontId="138" fillId="80" borderId="145" xfId="5" applyNumberFormat="1" applyFont="1" applyFill="1" applyBorder="1" applyProtection="1">
      <protection locked="0"/>
    </xf>
    <xf numFmtId="165" fontId="138" fillId="80" borderId="145" xfId="1" applyNumberFormat="1" applyFont="1" applyFill="1" applyBorder="1" applyAlignment="1" applyProtection="1"/>
    <xf numFmtId="0" fontId="138" fillId="3" borderId="145" xfId="21416" applyFont="1" applyFill="1" applyBorder="1" applyAlignment="1" applyProtection="1">
      <alignment horizontal="left" vertical="center"/>
      <protection locked="0"/>
    </xf>
    <xf numFmtId="3" fontId="138" fillId="3" borderId="145" xfId="5" applyNumberFormat="1" applyFont="1" applyFill="1" applyBorder="1" applyProtection="1">
      <protection locked="0"/>
    </xf>
    <xf numFmtId="0" fontId="136" fillId="3" borderId="145" xfId="21416" applyFont="1" applyFill="1" applyBorder="1" applyAlignment="1" applyProtection="1">
      <alignment horizontal="right"/>
      <protection locked="0"/>
    </xf>
    <xf numFmtId="0" fontId="138" fillId="0" borderId="145" xfId="21416" applyFont="1" applyBorder="1" applyAlignment="1" applyProtection="1">
      <alignment horizontal="left" vertical="center"/>
      <protection locked="0"/>
    </xf>
    <xf numFmtId="0" fontId="155" fillId="3" borderId="145" xfId="16" applyFont="1" applyFill="1" applyBorder="1" applyProtection="1">
      <protection locked="0"/>
    </xf>
    <xf numFmtId="3" fontId="155" fillId="76" borderId="145" xfId="16" applyNumberFormat="1" applyFont="1" applyFill="1" applyBorder="1"/>
    <xf numFmtId="9" fontId="8" fillId="2" borderId="97" xfId="0" applyNumberFormat="1" applyFont="1" applyFill="1" applyBorder="1" applyAlignment="1" applyProtection="1">
      <alignment vertical="center"/>
      <protection locked="0"/>
    </xf>
    <xf numFmtId="10" fontId="8" fillId="2" borderId="97" xfId="0" applyNumberFormat="1" applyFont="1" applyFill="1" applyBorder="1" applyAlignment="1" applyProtection="1">
      <alignment vertical="center"/>
      <protection locked="0"/>
    </xf>
    <xf numFmtId="9" fontId="8" fillId="2" borderId="111" xfId="0" applyNumberFormat="1" applyFont="1" applyFill="1" applyBorder="1" applyAlignment="1" applyProtection="1">
      <alignment vertical="center"/>
      <protection locked="0"/>
    </xf>
    <xf numFmtId="10" fontId="8" fillId="2" borderId="111" xfId="0" applyNumberFormat="1" applyFont="1" applyFill="1" applyBorder="1" applyAlignment="1" applyProtection="1">
      <alignment vertical="center"/>
      <protection locked="0"/>
    </xf>
    <xf numFmtId="9" fontId="8" fillId="2" borderId="22" xfId="0" applyNumberFormat="1" applyFont="1" applyFill="1" applyBorder="1" applyAlignment="1" applyProtection="1">
      <alignment vertical="center"/>
      <protection locked="0"/>
    </xf>
    <xf numFmtId="9" fontId="4" fillId="0" borderId="20" xfId="0" applyNumberFormat="1" applyFont="1" applyBorder="1"/>
    <xf numFmtId="0" fontId="8" fillId="0" borderId="105" xfId="0" applyFont="1" applyBorder="1" applyAlignment="1">
      <alignment vertical="center"/>
    </xf>
    <xf numFmtId="0" fontId="12" fillId="0" borderId="144" xfId="0" applyFont="1" applyBorder="1" applyAlignment="1">
      <alignment wrapText="1"/>
    </xf>
    <xf numFmtId="9" fontId="4" fillId="0" borderId="111" xfId="0" applyNumberFormat="1" applyFont="1" applyBorder="1"/>
    <xf numFmtId="9" fontId="4" fillId="0" borderId="106" xfId="0" applyNumberFormat="1" applyFont="1" applyBorder="1"/>
    <xf numFmtId="0" fontId="21" fillId="0" borderId="145" xfId="0" applyFont="1" applyBorder="1" applyAlignment="1">
      <alignment horizontal="center"/>
    </xf>
    <xf numFmtId="0" fontId="21" fillId="0" borderId="145" xfId="0" applyFont="1" applyBorder="1" applyAlignment="1">
      <alignment horizontal="center" vertical="center"/>
    </xf>
    <xf numFmtId="193" fontId="21" fillId="0" borderId="160" xfId="0" applyNumberFormat="1" applyFont="1" applyBorder="1" applyAlignment="1">
      <alignment horizontal="center" vertical="center"/>
    </xf>
    <xf numFmtId="9" fontId="112" fillId="77" borderId="145" xfId="948" applyNumberFormat="1" applyFont="1" applyFill="1" applyBorder="1" applyAlignment="1" applyProtection="1">
      <alignment horizontal="right" vertical="center"/>
    </xf>
    <xf numFmtId="165" fontId="4" fillId="0" borderId="154" xfId="7" applyNumberFormat="1" applyFont="1" applyBorder="1"/>
    <xf numFmtId="165" fontId="4" fillId="0" borderId="145" xfId="7" applyNumberFormat="1" applyFont="1" applyBorder="1"/>
    <xf numFmtId="9" fontId="16" fillId="2" borderId="97" xfId="0" applyNumberFormat="1" applyFont="1" applyFill="1" applyBorder="1" applyAlignment="1" applyProtection="1">
      <alignment vertical="center"/>
      <protection locked="0"/>
    </xf>
    <xf numFmtId="9" fontId="16" fillId="2" borderId="111" xfId="0" applyNumberFormat="1" applyFont="1" applyFill="1" applyBorder="1" applyAlignment="1" applyProtection="1">
      <alignment vertical="center"/>
      <protection locked="0"/>
    </xf>
    <xf numFmtId="9" fontId="25" fillId="36" borderId="0" xfId="20" applyNumberFormat="1"/>
    <xf numFmtId="9" fontId="25" fillId="36" borderId="90" xfId="20" applyNumberFormat="1" applyBorder="1"/>
    <xf numFmtId="9" fontId="16" fillId="2" borderId="22" xfId="0" applyNumberFormat="1" applyFont="1" applyFill="1" applyBorder="1" applyAlignment="1" applyProtection="1">
      <alignment vertical="center"/>
      <protection locked="0"/>
    </xf>
    <xf numFmtId="9" fontId="16" fillId="2" borderId="23" xfId="0" applyNumberFormat="1" applyFont="1" applyFill="1" applyBorder="1" applyAlignment="1" applyProtection="1">
      <alignment vertical="center"/>
      <protection locked="0"/>
    </xf>
    <xf numFmtId="0" fontId="10" fillId="0" borderId="3" xfId="17" applyBorder="1" applyAlignment="1" applyProtection="1"/>
    <xf numFmtId="165" fontId="0" fillId="0" borderId="145" xfId="7" applyNumberFormat="1" applyFont="1" applyBorder="1"/>
    <xf numFmtId="0" fontId="17" fillId="0" borderId="0" xfId="0" applyFont="1" applyAlignment="1">
      <alignment horizontal="center"/>
    </xf>
    <xf numFmtId="0" fontId="4" fillId="0" borderId="145" xfId="0" applyFont="1" applyBorder="1" applyAlignment="1">
      <alignment vertical="center" wrapText="1"/>
    </xf>
    <xf numFmtId="3" fontId="20" fillId="35" borderId="145" xfId="0" applyNumberFormat="1" applyFont="1" applyFill="1" applyBorder="1" applyAlignment="1">
      <alignment vertical="center" wrapText="1"/>
    </xf>
    <xf numFmtId="14" fontId="6" fillId="3" borderId="145" xfId="8" quotePrefix="1" applyNumberFormat="1" applyFont="1" applyFill="1" applyBorder="1" applyAlignment="1" applyProtection="1">
      <alignment horizontal="left" vertical="center" wrapText="1" indent="2"/>
      <protection locked="0"/>
    </xf>
    <xf numFmtId="3" fontId="20" fillId="0" borderId="145" xfId="0" applyNumberFormat="1" applyFont="1" applyBorder="1" applyAlignment="1">
      <alignment vertical="center" wrapText="1"/>
    </xf>
    <xf numFmtId="14" fontId="6" fillId="3" borderId="145" xfId="8" quotePrefix="1" applyNumberFormat="1" applyFont="1" applyFill="1" applyBorder="1" applyAlignment="1" applyProtection="1">
      <alignment horizontal="left" vertical="center" wrapText="1" indent="3"/>
      <protection locked="0"/>
    </xf>
    <xf numFmtId="0" fontId="4" fillId="0" borderId="145" xfId="0" applyFont="1" applyBorder="1" applyAlignment="1">
      <alignment horizontal="left" vertical="center" wrapText="1" indent="2"/>
    </xf>
    <xf numFmtId="0" fontId="4" fillId="0" borderId="15" xfId="0" applyFont="1" applyBorder="1" applyAlignment="1">
      <alignment vertical="center" wrapText="1"/>
    </xf>
    <xf numFmtId="0" fontId="5" fillId="0" borderId="16" xfId="0" applyFont="1" applyBorder="1" applyAlignment="1">
      <alignment vertical="center" wrapText="1"/>
    </xf>
    <xf numFmtId="0" fontId="19" fillId="0" borderId="155" xfId="0" applyFont="1" applyBorder="1" applyAlignment="1">
      <alignment horizontal="center" vertical="center" wrapText="1"/>
    </xf>
    <xf numFmtId="3" fontId="20" fillId="35" borderId="154" xfId="0" applyNumberFormat="1" applyFont="1" applyFill="1" applyBorder="1" applyAlignment="1">
      <alignment vertical="center" wrapText="1"/>
    </xf>
    <xf numFmtId="3" fontId="20" fillId="0" borderId="154" xfId="0" applyNumberFormat="1" applyFont="1" applyBorder="1" applyAlignment="1">
      <alignment vertical="center" wrapText="1"/>
    </xf>
    <xf numFmtId="0" fontId="19" fillId="0" borderId="153" xfId="0" applyFont="1" applyBorder="1" applyAlignment="1">
      <alignment horizontal="center" vertical="center" wrapText="1"/>
    </xf>
    <xf numFmtId="0" fontId="5" fillId="0" borderId="152" xfId="0" applyFont="1" applyBorder="1" applyAlignment="1">
      <alignment vertical="center" wrapText="1"/>
    </xf>
    <xf numFmtId="3" fontId="20" fillId="35" borderId="152" xfId="0" applyNumberFormat="1" applyFont="1" applyFill="1" applyBorder="1" applyAlignment="1">
      <alignment vertical="center" wrapText="1"/>
    </xf>
    <xf numFmtId="3" fontId="20" fillId="35" borderId="151" xfId="0" applyNumberFormat="1" applyFont="1" applyFill="1" applyBorder="1" applyAlignment="1">
      <alignment vertical="center" wrapText="1"/>
    </xf>
    <xf numFmtId="0" fontId="0" fillId="0" borderId="155" xfId="0" applyBorder="1"/>
    <xf numFmtId="0" fontId="0" fillId="0" borderId="155" xfId="0" applyBorder="1" applyAlignment="1">
      <alignment horizontal="center" vertical="center"/>
    </xf>
    <xf numFmtId="0" fontId="129" fillId="3" borderId="145" xfId="21414" applyFont="1" applyFill="1" applyBorder="1" applyAlignment="1">
      <alignment horizontal="left" vertical="center" wrapText="1"/>
    </xf>
    <xf numFmtId="43" fontId="4" fillId="0" borderId="145" xfId="7" applyFont="1" applyFill="1" applyBorder="1" applyAlignment="1">
      <alignment vertical="center" wrapText="1"/>
    </xf>
    <xf numFmtId="43" fontId="4" fillId="0" borderId="154" xfId="7" applyFont="1" applyFill="1" applyBorder="1" applyAlignment="1">
      <alignment vertical="center" wrapText="1"/>
    </xf>
    <xf numFmtId="0" fontId="130" fillId="0" borderId="145" xfId="21414" applyFont="1" applyBorder="1" applyAlignment="1">
      <alignment horizontal="left" vertical="center" wrapText="1" indent="1"/>
    </xf>
    <xf numFmtId="0" fontId="131" fillId="3" borderId="145" xfId="21414" applyFont="1" applyFill="1" applyBorder="1" applyAlignment="1">
      <alignment horizontal="left" vertical="center" wrapText="1"/>
    </xf>
    <xf numFmtId="0" fontId="130" fillId="3" borderId="145" xfId="21414" applyFont="1" applyFill="1" applyBorder="1" applyAlignment="1">
      <alignment horizontal="left" vertical="center" wrapText="1" indent="1"/>
    </xf>
    <xf numFmtId="43" fontId="4" fillId="0" borderId="145" xfId="7" applyFont="1" applyBorder="1" applyAlignment="1">
      <alignment vertical="center"/>
    </xf>
    <xf numFmtId="43" fontId="4" fillId="0" borderId="154" xfId="7" applyFont="1" applyBorder="1" applyAlignment="1">
      <alignment vertical="center"/>
    </xf>
    <xf numFmtId="0" fontId="132" fillId="0" borderId="145" xfId="21414" applyFont="1" applyBorder="1" applyAlignment="1">
      <alignment horizontal="left" vertical="center" wrapText="1" indent="1"/>
    </xf>
    <xf numFmtId="0" fontId="0" fillId="0" borderId="153" xfId="0" applyBorder="1"/>
    <xf numFmtId="167" fontId="5" fillId="35" borderId="152" xfId="0" applyNumberFormat="1" applyFont="1" applyFill="1" applyBorder="1" applyAlignment="1">
      <alignment horizontal="center" vertical="center"/>
    </xf>
    <xf numFmtId="167" fontId="5" fillId="35" borderId="151" xfId="0" applyNumberFormat="1" applyFont="1" applyFill="1" applyBorder="1" applyAlignment="1">
      <alignment horizontal="center" vertical="center"/>
    </xf>
    <xf numFmtId="165" fontId="4" fillId="0" borderId="51" xfId="7" applyNumberFormat="1" applyFont="1" applyBorder="1" applyAlignment="1">
      <alignment vertical="center"/>
    </xf>
    <xf numFmtId="165" fontId="4" fillId="0" borderId="62" xfId="7" applyNumberFormat="1" applyFont="1" applyBorder="1" applyAlignment="1">
      <alignment vertical="center"/>
    </xf>
    <xf numFmtId="165" fontId="4" fillId="3" borderId="95" xfId="7" applyNumberFormat="1" applyFont="1" applyFill="1" applyBorder="1" applyAlignment="1">
      <alignment vertical="center"/>
    </xf>
    <xf numFmtId="165" fontId="4" fillId="3" borderId="20" xfId="7" applyNumberFormat="1" applyFont="1" applyFill="1" applyBorder="1" applyAlignment="1">
      <alignment vertical="center"/>
    </xf>
    <xf numFmtId="165" fontId="4" fillId="0" borderId="98" xfId="7" applyNumberFormat="1" applyFont="1" applyBorder="1" applyAlignment="1">
      <alignment vertical="center"/>
    </xf>
    <xf numFmtId="165" fontId="4" fillId="0" borderId="111" xfId="7" applyNumberFormat="1" applyFont="1" applyBorder="1" applyAlignment="1">
      <alignment vertical="center"/>
    </xf>
    <xf numFmtId="165" fontId="4" fillId="0" borderId="24" xfId="7" applyNumberFormat="1" applyFont="1" applyBorder="1" applyAlignment="1">
      <alignment vertical="center"/>
    </xf>
    <xf numFmtId="165" fontId="4" fillId="0" borderId="23" xfId="7" applyNumberFormat="1" applyFont="1" applyBorder="1" applyAlignment="1">
      <alignment vertical="center"/>
    </xf>
    <xf numFmtId="165" fontId="4" fillId="0" borderId="22" xfId="7" applyNumberFormat="1" applyFont="1" applyBorder="1" applyAlignment="1">
      <alignment vertical="center"/>
    </xf>
    <xf numFmtId="165" fontId="4" fillId="0" borderId="25" xfId="7" applyNumberFormat="1" applyFont="1" applyBorder="1" applyAlignment="1">
      <alignment vertical="center"/>
    </xf>
    <xf numFmtId="165" fontId="4" fillId="0" borderId="17" xfId="7" applyNumberFormat="1" applyFont="1" applyBorder="1" applyAlignment="1">
      <alignment vertical="center"/>
    </xf>
    <xf numFmtId="165" fontId="4" fillId="0" borderId="93" xfId="7" applyNumberFormat="1" applyFont="1" applyBorder="1" applyAlignment="1">
      <alignment vertical="center"/>
    </xf>
    <xf numFmtId="165" fontId="4" fillId="0" borderId="106" xfId="7" applyNumberFormat="1" applyFont="1" applyBorder="1" applyAlignment="1">
      <alignment vertical="center"/>
    </xf>
    <xf numFmtId="165" fontId="119" fillId="0" borderId="137" xfId="7" applyNumberFormat="1" applyFont="1" applyBorder="1"/>
    <xf numFmtId="165" fontId="115" fillId="0" borderId="145" xfId="7" applyNumberFormat="1" applyFont="1" applyBorder="1"/>
    <xf numFmtId="165" fontId="115" fillId="35" borderId="145" xfId="7" applyNumberFormat="1" applyFont="1" applyFill="1" applyBorder="1"/>
    <xf numFmtId="165" fontId="118" fillId="0" borderId="145" xfId="7" applyNumberFormat="1" applyFont="1" applyBorder="1"/>
    <xf numFmtId="0" fontId="8" fillId="0" borderId="145" xfId="0" applyFont="1" applyBorder="1" applyAlignment="1">
      <alignment horizontal="center" vertical="center" wrapText="1"/>
    </xf>
    <xf numFmtId="0" fontId="8" fillId="0" borderId="154" xfId="0" applyFont="1" applyBorder="1" applyAlignment="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165" fontId="0" fillId="35" borderId="145" xfId="7" applyNumberFormat="1" applyFont="1" applyFill="1" applyBorder="1"/>
    <xf numFmtId="165" fontId="0" fillId="35" borderId="154" xfId="7" applyNumberFormat="1" applyFont="1" applyFill="1" applyBorder="1"/>
    <xf numFmtId="165" fontId="0" fillId="0" borderId="145" xfId="7" applyNumberFormat="1" applyFont="1" applyBorder="1" applyAlignment="1">
      <alignment vertical="center"/>
    </xf>
    <xf numFmtId="165" fontId="0" fillId="35" borderId="145" xfId="7" applyNumberFormat="1" applyFont="1" applyFill="1" applyBorder="1" applyAlignment="1">
      <alignment vertical="center"/>
    </xf>
    <xf numFmtId="165" fontId="0" fillId="35" borderId="154" xfId="7" applyNumberFormat="1" applyFont="1" applyFill="1" applyBorder="1" applyAlignment="1">
      <alignment vertical="center"/>
    </xf>
    <xf numFmtId="0" fontId="133" fillId="0" borderId="145" xfId="21414" applyFont="1" applyBorder="1" applyAlignment="1">
      <alignment horizontal="center" vertical="center" wrapText="1"/>
    </xf>
    <xf numFmtId="0" fontId="134" fillId="0" borderId="145" xfId="0" applyFont="1" applyBorder="1" applyAlignment="1">
      <alignment horizontal="left"/>
    </xf>
    <xf numFmtId="0" fontId="0" fillId="0" borderId="153" xfId="0" applyBorder="1" applyAlignment="1">
      <alignment horizontal="center"/>
    </xf>
    <xf numFmtId="0" fontId="131" fillId="0" borderId="152" xfId="0" applyFont="1" applyBorder="1" applyAlignment="1">
      <alignment horizontal="left" vertical="center" wrapText="1"/>
    </xf>
    <xf numFmtId="165" fontId="0" fillId="0" borderId="152" xfId="7" applyNumberFormat="1" applyFont="1" applyBorder="1"/>
    <xf numFmtId="165" fontId="0" fillId="35" borderId="152" xfId="7" applyNumberFormat="1" applyFont="1" applyFill="1" applyBorder="1"/>
    <xf numFmtId="165" fontId="0" fillId="35" borderId="151" xfId="7" applyNumberFormat="1" applyFont="1" applyFill="1" applyBorder="1"/>
    <xf numFmtId="0" fontId="131" fillId="0" borderId="145" xfId="21414" applyFont="1" applyBorder="1" applyAlignment="1">
      <alignment horizontal="justify" vertical="center" wrapText="1"/>
    </xf>
    <xf numFmtId="0" fontId="131" fillId="0" borderId="145" xfId="21414" applyFont="1" applyBorder="1" applyAlignment="1">
      <alignment vertical="center" wrapText="1"/>
    </xf>
    <xf numFmtId="0" fontId="0" fillId="0" borderId="153" xfId="0" applyBorder="1" applyAlignment="1">
      <alignment horizontal="center" vertical="center"/>
    </xf>
    <xf numFmtId="0" fontId="131" fillId="0" borderId="152" xfId="21414" applyFont="1" applyBorder="1" applyAlignment="1">
      <alignment vertical="center" wrapText="1"/>
    </xf>
    <xf numFmtId="0" fontId="14" fillId="0" borderId="145" xfId="0" applyFont="1" applyBorder="1" applyAlignment="1">
      <alignment vertical="center" wrapText="1"/>
    </xf>
    <xf numFmtId="193" fontId="8" fillId="35" borderId="145" xfId="0" applyNumberFormat="1" applyFont="1" applyFill="1" applyBorder="1" applyAlignment="1">
      <alignment horizontal="right"/>
    </xf>
    <xf numFmtId="193" fontId="8" fillId="35" borderId="154" xfId="0" applyNumberFormat="1" applyFont="1" applyFill="1" applyBorder="1" applyAlignment="1">
      <alignment horizontal="right"/>
    </xf>
    <xf numFmtId="0" fontId="6" fillId="0" borderId="145" xfId="0" applyFont="1" applyBorder="1" applyAlignment="1">
      <alignment horizontal="left" vertical="center" wrapText="1" indent="1"/>
    </xf>
    <xf numFmtId="0" fontId="3" fillId="0" borderId="145" xfId="0" applyFont="1" applyBorder="1" applyAlignment="1">
      <alignment vertical="center"/>
    </xf>
    <xf numFmtId="0" fontId="135" fillId="0" borderId="145" xfId="0" applyFont="1" applyBorder="1" applyAlignment="1" applyProtection="1">
      <alignment horizontal="left" vertical="center" indent="1"/>
      <protection locked="0"/>
    </xf>
    <xf numFmtId="0" fontId="136" fillId="0" borderId="145" xfId="0" applyFont="1" applyBorder="1" applyAlignment="1" applyProtection="1">
      <alignment horizontal="left" vertical="center" indent="3"/>
      <protection locked="0"/>
    </xf>
    <xf numFmtId="0" fontId="137" fillId="0" borderId="145" xfId="0" applyFont="1" applyBorder="1" applyAlignment="1" applyProtection="1">
      <alignment horizontal="left" vertical="center" indent="3"/>
      <protection locked="0"/>
    </xf>
    <xf numFmtId="0" fontId="3" fillId="0" borderId="152" xfId="0" applyFont="1" applyBorder="1"/>
    <xf numFmtId="193" fontId="8" fillId="0" borderId="152" xfId="0" applyNumberFormat="1" applyFont="1" applyBorder="1" applyAlignment="1">
      <alignment horizontal="right"/>
    </xf>
    <xf numFmtId="193" fontId="8" fillId="35" borderId="152" xfId="0" applyNumberFormat="1" applyFont="1" applyFill="1" applyBorder="1" applyAlignment="1">
      <alignment horizontal="right"/>
    </xf>
    <xf numFmtId="193" fontId="8" fillId="35" borderId="151" xfId="0" applyNumberFormat="1" applyFont="1" applyFill="1" applyBorder="1" applyAlignment="1">
      <alignment horizontal="right"/>
    </xf>
    <xf numFmtId="165" fontId="4" fillId="0" borderId="111" xfId="7" applyNumberFormat="1" applyFont="1" applyBorder="1" applyAlignment="1">
      <alignment horizontal="right" vertical="center" wrapText="1"/>
    </xf>
    <xf numFmtId="165" fontId="5" fillId="35" borderId="111" xfId="7" applyNumberFormat="1" applyFont="1" applyFill="1" applyBorder="1" applyAlignment="1">
      <alignment horizontal="right" vertical="center" wrapText="1"/>
    </xf>
    <xf numFmtId="165" fontId="108" fillId="0" borderId="111" xfId="7" applyNumberFormat="1" applyFont="1" applyBorder="1" applyAlignment="1">
      <alignment horizontal="right" vertical="center" wrapText="1"/>
    </xf>
    <xf numFmtId="165" fontId="6" fillId="0" borderId="23" xfId="7" applyNumberFormat="1" applyFont="1" applyFill="1" applyBorder="1" applyAlignment="1" applyProtection="1">
      <alignment horizontal="right" vertical="center"/>
    </xf>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8" xfId="0" applyFont="1" applyBorder="1" applyAlignment="1">
      <alignment horizontal="center" vertical="center"/>
    </xf>
    <xf numFmtId="0" fontId="140" fillId="0" borderId="28" xfId="0" applyFont="1" applyBorder="1" applyAlignment="1">
      <alignment horizontal="center" vertical="center"/>
    </xf>
    <xf numFmtId="0" fontId="140" fillId="0" borderId="159" xfId="0" applyFont="1" applyBorder="1" applyAlignment="1">
      <alignment horizontal="center" vertical="center"/>
    </xf>
    <xf numFmtId="165" fontId="0" fillId="0" borderId="148" xfId="7" applyNumberFormat="1" applyFont="1" applyBorder="1" applyAlignment="1">
      <alignment horizontal="center"/>
    </xf>
    <xf numFmtId="165" fontId="0" fillId="0" borderId="150" xfId="7" applyNumberFormat="1" applyFont="1" applyBorder="1" applyAlignment="1">
      <alignment horizontal="center"/>
    </xf>
    <xf numFmtId="165" fontId="0" fillId="0" borderId="20" xfId="7" applyNumberFormat="1" applyFont="1" applyBorder="1" applyAlignment="1">
      <alignment horizontal="center"/>
    </xf>
    <xf numFmtId="0" fontId="0" fillId="0" borderId="15" xfId="0" applyBorder="1" applyAlignment="1">
      <alignment horizontal="center" vertical="center"/>
    </xf>
    <xf numFmtId="0" fontId="0" fillId="0" borderId="155" xfId="0" applyBorder="1" applyAlignment="1">
      <alignment horizontal="center" vertical="center"/>
    </xf>
    <xf numFmtId="0" fontId="127" fillId="0" borderId="5"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0" xfId="0" applyBorder="1" applyAlignment="1">
      <alignment horizontal="center"/>
    </xf>
    <xf numFmtId="0" fontId="127" fillId="0" borderId="5"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wrapText="1"/>
    </xf>
    <xf numFmtId="0" fontId="0" fillId="0" borderId="145" xfId="0"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45" xfId="0" applyFont="1" applyBorder="1" applyAlignment="1">
      <alignment horizontal="center" vertical="center" wrapText="1"/>
    </xf>
    <xf numFmtId="0" fontId="4" fillId="0" borderId="148" xfId="0" applyFont="1" applyBorder="1" applyAlignment="1">
      <alignment horizontal="center"/>
    </xf>
    <xf numFmtId="0" fontId="4" fillId="0" borderId="20" xfId="0" applyFont="1" applyBorder="1" applyAlignment="1">
      <alignment horizontal="center"/>
    </xf>
    <xf numFmtId="0" fontId="5" fillId="35" borderId="115"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12" xfId="0" applyFont="1" applyFill="1" applyBorder="1" applyAlignment="1">
      <alignment horizontal="center" vertical="center" wrapText="1"/>
    </xf>
    <xf numFmtId="0" fontId="5" fillId="35" borderId="96"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5"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2" xfId="0" applyFont="1" applyFill="1" applyBorder="1" applyAlignment="1">
      <alignment horizontal="center" vertical="center" wrapText="1"/>
    </xf>
    <xf numFmtId="0" fontId="5" fillId="86" borderId="154" xfId="0" applyFont="1" applyFill="1" applyBorder="1" applyAlignment="1">
      <alignment horizontal="center" vertical="center" wrapText="1"/>
    </xf>
    <xf numFmtId="0" fontId="100" fillId="3" borderId="65" xfId="13" applyFont="1" applyFill="1" applyBorder="1" applyAlignment="1" applyProtection="1">
      <alignment horizontal="center" vertical="center" wrapText="1"/>
      <protection locked="0"/>
    </xf>
    <xf numFmtId="0" fontId="100"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4" fillId="3" borderId="15" xfId="1" applyNumberFormat="1" applyFont="1" applyFill="1" applyBorder="1" applyAlignment="1" applyProtection="1">
      <alignment horizontal="center"/>
      <protection locked="0"/>
    </xf>
    <xf numFmtId="165" fontId="14" fillId="3" borderId="16" xfId="1" applyNumberFormat="1" applyFont="1" applyFill="1" applyBorder="1" applyAlignment="1" applyProtection="1">
      <alignment horizontal="center"/>
      <protection locked="0"/>
    </xf>
    <xf numFmtId="165" fontId="14" fillId="3" borderId="17" xfId="1" applyNumberFormat="1" applyFont="1" applyFill="1" applyBorder="1" applyAlignment="1" applyProtection="1">
      <alignment horizont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5" fontId="14" fillId="0" borderId="88" xfId="1" applyNumberFormat="1" applyFont="1" applyFill="1" applyBorder="1" applyAlignment="1" applyProtection="1">
      <alignment horizontal="center" vertical="center" wrapText="1"/>
      <protection locked="0"/>
    </xf>
    <xf numFmtId="165" fontId="14" fillId="0" borderId="89" xfId="1" applyNumberFormat="1" applyFont="1" applyFill="1" applyBorder="1" applyAlignment="1" applyProtection="1">
      <alignment horizontal="center" vertical="center" wrapText="1"/>
      <protection locked="0"/>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104" xfId="0" applyFont="1" applyBorder="1" applyAlignment="1">
      <alignment horizontal="center" vertical="center" wrapText="1"/>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1" xfId="0" applyFont="1" applyBorder="1" applyAlignment="1">
      <alignment horizontal="center" vertical="center" wrapText="1"/>
    </xf>
    <xf numFmtId="0" fontId="118" fillId="0" borderId="118" xfId="0" applyFont="1" applyBorder="1" applyAlignment="1">
      <alignment horizontal="left" vertical="center" wrapText="1"/>
    </xf>
    <xf numFmtId="0" fontId="118" fillId="0" borderId="119" xfId="0" applyFont="1" applyBorder="1" applyAlignment="1">
      <alignment horizontal="left" vertical="center" wrapText="1"/>
    </xf>
    <xf numFmtId="0" fontId="118" fillId="0" borderId="121" xfId="0" applyFont="1" applyBorder="1" applyAlignment="1">
      <alignment horizontal="left" vertical="center" wrapText="1"/>
    </xf>
    <xf numFmtId="0" fontId="118" fillId="0" borderId="122" xfId="0" applyFont="1" applyBorder="1" applyAlignment="1">
      <alignment horizontal="left" vertical="center" wrapText="1"/>
    </xf>
    <xf numFmtId="0" fontId="118" fillId="0" borderId="124" xfId="0" applyFont="1" applyBorder="1" applyAlignment="1">
      <alignment horizontal="left" vertical="center" wrapText="1"/>
    </xf>
    <xf numFmtId="0" fontId="118" fillId="0" borderId="125" xfId="0" applyFont="1" applyBorder="1" applyAlignment="1">
      <alignment horizontal="left" vertical="center" wrapText="1"/>
    </xf>
    <xf numFmtId="0" fontId="119" fillId="0" borderId="144" xfId="0" applyFont="1" applyBorder="1" applyAlignment="1">
      <alignment horizontal="center" vertical="center" wrapText="1"/>
    </xf>
    <xf numFmtId="0" fontId="119" fillId="0" borderId="143" xfId="0" applyFont="1" applyBorder="1" applyAlignment="1">
      <alignment horizontal="center" vertical="center" wrapText="1"/>
    </xf>
    <xf numFmtId="0" fontId="119" fillId="0" borderId="120" xfId="0" applyFont="1" applyBorder="1" applyAlignment="1">
      <alignment horizontal="center" vertical="center" wrapText="1"/>
    </xf>
    <xf numFmtId="0" fontId="119" fillId="0" borderId="51" xfId="0" applyFont="1" applyBorder="1" applyAlignment="1">
      <alignment horizontal="center" vertical="center" wrapText="1"/>
    </xf>
    <xf numFmtId="0" fontId="119" fillId="0" borderId="123"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48" xfId="0" applyFont="1" applyBorder="1" applyAlignment="1">
      <alignment horizontal="center" vertical="center" wrapText="1"/>
    </xf>
    <xf numFmtId="0" fontId="115" fillId="0" borderId="147" xfId="0" applyFont="1" applyBorder="1" applyAlignment="1">
      <alignment horizontal="center" vertical="center" wrapText="1"/>
    </xf>
    <xf numFmtId="0" fontId="123" fillId="0" borderId="145" xfId="0" applyFont="1" applyBorder="1" applyAlignment="1">
      <alignment horizontal="center" vertical="center"/>
    </xf>
    <xf numFmtId="0" fontId="117" fillId="0" borderId="144" xfId="0" applyFont="1" applyBorder="1" applyAlignment="1">
      <alignment horizontal="center" vertical="center"/>
    </xf>
    <xf numFmtId="0" fontId="117" fillId="0" borderId="149" xfId="0" applyFont="1" applyBorder="1" applyAlignment="1">
      <alignment horizontal="center" vertical="center"/>
    </xf>
    <xf numFmtId="0" fontId="117" fillId="0" borderId="51" xfId="0" applyFont="1" applyBorder="1" applyAlignment="1">
      <alignment horizontal="center" vertical="center"/>
    </xf>
    <xf numFmtId="0" fontId="117" fillId="0" borderId="11" xfId="0" applyFont="1" applyBorder="1" applyAlignment="1">
      <alignment horizontal="center" vertical="center"/>
    </xf>
    <xf numFmtId="0" fontId="118" fillId="0" borderId="145" xfId="0" applyFont="1" applyBorder="1" applyAlignment="1">
      <alignment horizontal="center" vertical="center" wrapText="1"/>
    </xf>
    <xf numFmtId="0" fontId="118" fillId="0" borderId="144" xfId="0" applyFont="1" applyBorder="1" applyAlignment="1">
      <alignment horizontal="center" vertical="center" wrapText="1"/>
    </xf>
    <xf numFmtId="0" fontId="118" fillId="0" borderId="149"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127" xfId="0" applyFont="1" applyBorder="1" applyAlignment="1">
      <alignment horizontal="center" vertical="center" wrapText="1"/>
    </xf>
    <xf numFmtId="0" fontId="118" fillId="0" borderId="51"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50" xfId="0" applyFont="1" applyBorder="1" applyAlignment="1">
      <alignment horizontal="center" vertical="center" wrapText="1"/>
    </xf>
    <xf numFmtId="0" fontId="118" fillId="0" borderId="128"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8"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49"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4" xfId="0" applyFont="1" applyBorder="1" applyAlignment="1">
      <alignment horizontal="center" vertical="center" wrapText="1"/>
    </xf>
    <xf numFmtId="0" fontId="115" fillId="0" borderId="52" xfId="0" applyFont="1" applyBorder="1" applyAlignment="1">
      <alignment horizontal="center" vertical="center" wrapText="1"/>
    </xf>
    <xf numFmtId="0" fontId="115" fillId="0" borderId="53" xfId="0" applyFont="1" applyBorder="1" applyAlignment="1">
      <alignment horizontal="center" vertical="center" wrapText="1"/>
    </xf>
    <xf numFmtId="0" fontId="115" fillId="0" borderId="104" xfId="0" applyFont="1" applyBorder="1" applyAlignment="1">
      <alignment horizontal="center" vertical="center" wrapText="1"/>
    </xf>
    <xf numFmtId="0" fontId="118" fillId="0" borderId="52" xfId="0" applyFont="1" applyBorder="1" applyAlignment="1">
      <alignment horizontal="left" vertical="top" wrapText="1"/>
    </xf>
    <xf numFmtId="0" fontId="118" fillId="0" borderId="104" xfId="0" applyFont="1" applyBorder="1" applyAlignment="1">
      <alignment horizontal="left" vertical="top" wrapText="1"/>
    </xf>
    <xf numFmtId="0" fontId="118" fillId="0" borderId="61" xfId="0" applyFont="1" applyBorder="1" applyAlignment="1">
      <alignment horizontal="left" vertical="top" wrapText="1"/>
    </xf>
    <xf numFmtId="0" fontId="118" fillId="0" borderId="90" xfId="0" applyFont="1" applyBorder="1" applyAlignment="1">
      <alignment horizontal="left" vertical="top" wrapText="1"/>
    </xf>
    <xf numFmtId="0" fontId="118" fillId="0" borderId="117" xfId="0" applyFont="1" applyBorder="1" applyAlignment="1">
      <alignment horizontal="left" vertical="top" wrapText="1"/>
    </xf>
    <xf numFmtId="0" fontId="118" fillId="0" borderId="156" xfId="0" applyFont="1" applyBorder="1" applyAlignment="1">
      <alignment horizontal="left" vertical="top" wrapText="1"/>
    </xf>
    <xf numFmtId="0" fontId="118" fillId="0" borderId="157" xfId="0" applyFont="1" applyBorder="1" applyAlignment="1">
      <alignment horizontal="center" vertical="center" wrapText="1"/>
    </xf>
    <xf numFmtId="0" fontId="118" fillId="0" borderId="67" xfId="0" applyFont="1" applyBorder="1" applyAlignment="1">
      <alignment horizontal="center" vertical="center" wrapText="1"/>
    </xf>
    <xf numFmtId="0" fontId="115" fillId="0" borderId="144" xfId="0" applyFont="1" applyBorder="1" applyAlignment="1">
      <alignment horizontal="center" vertical="top" wrapText="1"/>
    </xf>
    <xf numFmtId="0" fontId="115" fillId="0" borderId="143" xfId="0" applyFont="1" applyBorder="1" applyAlignment="1">
      <alignment horizontal="center" vertical="top" wrapText="1"/>
    </xf>
    <xf numFmtId="0" fontId="115" fillId="0" borderId="150" xfId="0" applyFont="1" applyBorder="1" applyAlignment="1">
      <alignment horizontal="center" vertical="top" wrapText="1"/>
    </xf>
    <xf numFmtId="0" fontId="115" fillId="0" borderId="147" xfId="0" applyFont="1" applyBorder="1" applyAlignment="1">
      <alignment horizontal="center" vertical="top" wrapText="1"/>
    </xf>
    <xf numFmtId="0" fontId="104" fillId="0" borderId="129" xfId="0" applyFont="1" applyBorder="1" applyAlignment="1">
      <alignment horizontal="left" vertical="top" wrapText="1"/>
    </xf>
    <xf numFmtId="0" fontId="104" fillId="0" borderId="130" xfId="0" applyFont="1" applyBorder="1" applyAlignment="1">
      <alignment horizontal="left" vertical="top" wrapText="1"/>
    </xf>
    <xf numFmtId="0" fontId="121" fillId="0" borderId="145" xfId="0" applyFont="1" applyBorder="1" applyAlignment="1">
      <alignment horizontal="center" vertical="center"/>
    </xf>
    <xf numFmtId="0" fontId="120" fillId="0" borderId="145" xfId="0" applyFont="1" applyBorder="1" applyAlignment="1">
      <alignment horizontal="center" vertical="center" wrapText="1"/>
    </xf>
    <xf numFmtId="0" fontId="120" fillId="0" borderId="146" xfId="0" applyFont="1" applyBorder="1" applyAlignment="1">
      <alignment horizontal="center" vertical="center" wrapText="1"/>
    </xf>
    <xf numFmtId="0" fontId="104" fillId="0" borderId="68" xfId="0" applyFont="1" applyBorder="1" applyAlignment="1">
      <alignment horizontal="center" vertical="center"/>
    </xf>
    <xf numFmtId="0" fontId="104" fillId="0" borderId="69" xfId="0" applyFont="1" applyBorder="1" applyAlignment="1">
      <alignment horizontal="center" vertical="center"/>
    </xf>
    <xf numFmtId="0" fontId="104" fillId="0" borderId="70" xfId="0" applyFont="1" applyBorder="1" applyAlignment="1">
      <alignment horizontal="center" vertical="center"/>
    </xf>
    <xf numFmtId="0" fontId="105" fillId="0" borderId="97" xfId="0" applyFont="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1" xfId="0" applyFont="1" applyBorder="1" applyAlignment="1">
      <alignment horizontal="left" vertical="center" wrapText="1"/>
    </xf>
    <xf numFmtId="0" fontId="105" fillId="0" borderId="11" xfId="0" applyFont="1" applyBorder="1" applyAlignment="1">
      <alignment horizontal="left" vertical="center" wrapText="1"/>
    </xf>
    <xf numFmtId="0" fontId="105" fillId="0" borderId="98" xfId="0" applyFont="1" applyBorder="1" applyAlignment="1">
      <alignment horizontal="left" vertical="center" wrapText="1"/>
    </xf>
    <xf numFmtId="0" fontId="105" fillId="0" borderId="96" xfId="0" applyFont="1" applyBorder="1" applyAlignment="1">
      <alignment horizontal="left" vertical="center" wrapText="1"/>
    </xf>
    <xf numFmtId="0" fontId="154" fillId="3" borderId="98" xfId="0" applyFont="1" applyFill="1" applyBorder="1" applyAlignment="1">
      <alignment vertical="center" wrapText="1"/>
    </xf>
    <xf numFmtId="0" fontId="154" fillId="3" borderId="96" xfId="0" applyFont="1" applyFill="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5" fillId="0" borderId="98" xfId="0" applyFont="1" applyBorder="1" applyAlignment="1">
      <alignment horizontal="left"/>
    </xf>
    <xf numFmtId="0" fontId="105" fillId="0" borderId="96" xfId="0" applyFont="1" applyBorder="1" applyAlignment="1">
      <alignment horizontal="left"/>
    </xf>
    <xf numFmtId="0" fontId="105" fillId="0" borderId="98" xfId="0" applyFont="1" applyBorder="1" applyAlignment="1">
      <alignment vertical="center" wrapText="1"/>
    </xf>
    <xf numFmtId="0" fontId="105" fillId="0" borderId="96" xfId="0" applyFont="1" applyBorder="1" applyAlignment="1">
      <alignment vertical="center" wrapText="1"/>
    </xf>
    <xf numFmtId="0" fontId="105" fillId="0" borderId="138" xfId="0" applyFont="1" applyBorder="1" applyAlignment="1">
      <alignment horizontal="left" vertical="center" wrapText="1"/>
    </xf>
    <xf numFmtId="0" fontId="105" fillId="0" borderId="139" xfId="0" applyFont="1" applyBorder="1" applyAlignment="1">
      <alignment horizontal="left" vertical="center" wrapText="1"/>
    </xf>
    <xf numFmtId="0" fontId="105" fillId="0" borderId="140" xfId="0" applyFont="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Border="1" applyAlignment="1">
      <alignment horizontal="left" vertical="center" wrapText="1"/>
    </xf>
    <xf numFmtId="0" fontId="105" fillId="0" borderId="79" xfId="0" applyFont="1" applyBorder="1" applyAlignment="1">
      <alignment horizontal="left" vertical="center" wrapText="1"/>
    </xf>
    <xf numFmtId="0" fontId="105" fillId="0" borderId="51" xfId="0" applyFont="1" applyBorder="1" applyAlignment="1">
      <alignment vertical="center" wrapText="1"/>
    </xf>
    <xf numFmtId="0" fontId="105" fillId="0" borderId="11" xfId="0" applyFont="1" applyBorder="1" applyAlignment="1">
      <alignment vertical="center" wrapText="1"/>
    </xf>
    <xf numFmtId="0" fontId="105" fillId="0" borderId="75" xfId="0" applyFont="1" applyBorder="1" applyAlignment="1">
      <alignment horizontal="left" vertical="center" wrapText="1"/>
    </xf>
    <xf numFmtId="0" fontId="105" fillId="0" borderId="76" xfId="0" applyFont="1" applyBorder="1" applyAlignment="1">
      <alignment horizontal="left" vertical="center" wrapText="1"/>
    </xf>
    <xf numFmtId="0" fontId="154" fillId="3" borderId="98" xfId="0" applyFont="1" applyFill="1" applyBorder="1" applyAlignment="1">
      <alignment horizontal="left" vertical="center" wrapText="1"/>
    </xf>
    <xf numFmtId="0" fontId="154" fillId="3" borderId="96"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148" xfId="0" applyFont="1" applyBorder="1" applyAlignment="1">
      <alignment horizontal="left" vertical="center" wrapText="1"/>
    </xf>
    <xf numFmtId="0" fontId="105" fillId="0" borderId="147" xfId="0" applyFont="1" applyBorder="1" applyAlignment="1">
      <alignment horizontal="left" vertical="center" wrapText="1"/>
    </xf>
    <xf numFmtId="0" fontId="104" fillId="75" borderId="80"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81" xfId="0" applyFont="1" applyFill="1" applyBorder="1" applyAlignment="1">
      <alignment horizontal="center"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4" fillId="75" borderId="145" xfId="0" applyFont="1" applyFill="1" applyBorder="1" applyAlignment="1">
      <alignment horizontal="center" vertical="center" wrapText="1"/>
    </xf>
    <xf numFmtId="0" fontId="104" fillId="0" borderId="145" xfId="0" applyFont="1" applyBorder="1" applyAlignment="1">
      <alignment horizontal="center" vertical="center"/>
    </xf>
    <xf numFmtId="0" fontId="105" fillId="0" borderId="148" xfId="13" applyFont="1" applyBorder="1" applyAlignment="1" applyProtection="1">
      <alignment horizontal="left" vertical="top" wrapText="1"/>
      <protection locked="0"/>
    </xf>
    <xf numFmtId="0" fontId="105" fillId="0" borderId="147" xfId="13" applyFont="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5" fillId="3" borderId="147" xfId="13" applyFont="1" applyFill="1" applyBorder="1" applyAlignment="1" applyProtection="1">
      <alignment horizontal="left" vertical="top" wrapText="1"/>
      <protection locked="0"/>
    </xf>
    <xf numFmtId="0" fontId="104" fillId="0" borderId="83" xfId="0" applyFont="1" applyBorder="1" applyAlignment="1">
      <alignment horizontal="center" vertical="center"/>
    </xf>
    <xf numFmtId="49" fontId="105" fillId="0" borderId="0" xfId="0" applyNumberFormat="1" applyFont="1" applyAlignment="1">
      <alignment horizontal="center" vertical="center"/>
    </xf>
    <xf numFmtId="0" fontId="104" fillId="75" borderId="148" xfId="0" applyFont="1" applyFill="1" applyBorder="1" applyAlignment="1">
      <alignment horizontal="center" vertical="center" wrapText="1"/>
    </xf>
    <xf numFmtId="0" fontId="104" fillId="75" borderId="147" xfId="0" applyFont="1" applyFill="1" applyBorder="1" applyAlignment="1">
      <alignment horizontal="center" vertical="center" wrapText="1"/>
    </xf>
    <xf numFmtId="0" fontId="105" fillId="0" borderId="145" xfId="0" applyFont="1" applyBorder="1" applyAlignment="1">
      <alignment horizontal="left" vertical="top" wrapText="1"/>
    </xf>
    <xf numFmtId="0" fontId="105" fillId="0" borderId="148" xfId="0" applyFont="1" applyBorder="1" applyAlignment="1">
      <alignment horizontal="left" vertical="top" wrapText="1"/>
    </xf>
    <xf numFmtId="0" fontId="105" fillId="0" borderId="145" xfId="0" applyFont="1" applyBorder="1" applyAlignment="1">
      <alignment horizontal="left" vertical="center" wrapText="1"/>
    </xf>
    <xf numFmtId="0" fontId="105" fillId="0" borderId="145" xfId="0" applyFont="1" applyBorder="1" applyAlignment="1">
      <alignment horizontal="center"/>
    </xf>
    <xf numFmtId="0" fontId="154" fillId="0" borderId="148" xfId="13" applyFont="1" applyBorder="1" applyAlignment="1" applyProtection="1">
      <alignment horizontal="left" vertical="top" wrapText="1"/>
      <protection locked="0"/>
    </xf>
    <xf numFmtId="0" fontId="154" fillId="0" borderId="147" xfId="13" applyFont="1" applyBorder="1" applyAlignment="1" applyProtection="1">
      <alignment horizontal="left" vertical="top" wrapText="1"/>
      <protection locked="0"/>
    </xf>
    <xf numFmtId="0" fontId="105" fillId="0" borderId="147"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vebank.com/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80" zoomScaleNormal="80" workbookViewId="0">
      <pane xSplit="1" ySplit="7" topLeftCell="B8" activePane="bottomRight" state="frozen"/>
      <selection activeCell="B11" sqref="B11"/>
      <selection pane="topRight" activeCell="B11" sqref="B11"/>
      <selection pane="bottomLeft" activeCell="B11" sqref="B11"/>
      <selection pane="bottomRight" activeCell="E3" sqref="E3"/>
    </sheetView>
  </sheetViews>
  <sheetFormatPr defaultRowHeight="14.4"/>
  <cols>
    <col min="1" max="1" width="10.109375" style="1" customWidth="1"/>
    <col min="2" max="2" width="153" bestFit="1" customWidth="1"/>
    <col min="3" max="3" width="39.44140625" customWidth="1"/>
    <col min="7" max="7" width="25" customWidth="1"/>
  </cols>
  <sheetData>
    <row r="1" spans="1:3">
      <c r="A1" s="3"/>
      <c r="B1" s="91" t="s">
        <v>148</v>
      </c>
      <c r="C1" s="43"/>
    </row>
    <row r="2" spans="1:3" s="88" customFormat="1">
      <c r="A2" s="127">
        <v>1</v>
      </c>
      <c r="B2" s="89" t="s">
        <v>149</v>
      </c>
      <c r="C2" s="87" t="s">
        <v>1013</v>
      </c>
    </row>
    <row r="3" spans="1:3" s="88" customFormat="1">
      <c r="A3" s="127">
        <v>2</v>
      </c>
      <c r="B3" s="90" t="s">
        <v>150</v>
      </c>
      <c r="C3" s="87" t="s">
        <v>1002</v>
      </c>
    </row>
    <row r="4" spans="1:3" s="88" customFormat="1">
      <c r="A4" s="127">
        <v>3</v>
      </c>
      <c r="B4" s="90" t="s">
        <v>151</v>
      </c>
      <c r="C4" s="87" t="s">
        <v>1005</v>
      </c>
    </row>
    <row r="5" spans="1:3" s="88" customFormat="1">
      <c r="A5" s="128">
        <v>4</v>
      </c>
      <c r="B5" s="93" t="s">
        <v>152</v>
      </c>
      <c r="C5" s="634" t="s">
        <v>1014</v>
      </c>
    </row>
    <row r="6" spans="1:3" s="92" customFormat="1" ht="65.25" customHeight="1">
      <c r="A6" s="719" t="s">
        <v>309</v>
      </c>
      <c r="B6" s="720"/>
      <c r="C6" s="720"/>
    </row>
    <row r="7" spans="1:3">
      <c r="A7" s="218" t="s">
        <v>240</v>
      </c>
      <c r="B7" s="219" t="s">
        <v>153</v>
      </c>
    </row>
    <row r="8" spans="1:3">
      <c r="A8" s="220">
        <v>1</v>
      </c>
      <c r="B8" s="216" t="s">
        <v>128</v>
      </c>
    </row>
    <row r="9" spans="1:3">
      <c r="A9" s="220">
        <v>2</v>
      </c>
      <c r="B9" s="216" t="s">
        <v>154</v>
      </c>
    </row>
    <row r="10" spans="1:3">
      <c r="A10" s="220">
        <v>3</v>
      </c>
      <c r="B10" s="216" t="s">
        <v>155</v>
      </c>
    </row>
    <row r="11" spans="1:3">
      <c r="A11" s="220">
        <v>4</v>
      </c>
      <c r="B11" s="216" t="s">
        <v>156</v>
      </c>
    </row>
    <row r="12" spans="1:3">
      <c r="A12" s="220">
        <v>5</v>
      </c>
      <c r="B12" s="216" t="s">
        <v>96</v>
      </c>
    </row>
    <row r="13" spans="1:3">
      <c r="A13" s="220">
        <v>6</v>
      </c>
      <c r="B13" s="221" t="s">
        <v>80</v>
      </c>
    </row>
    <row r="14" spans="1:3">
      <c r="A14" s="220">
        <v>7</v>
      </c>
      <c r="B14" s="216" t="s">
        <v>157</v>
      </c>
    </row>
    <row r="15" spans="1:3">
      <c r="A15" s="220">
        <v>8</v>
      </c>
      <c r="B15" s="216" t="s">
        <v>160</v>
      </c>
    </row>
    <row r="16" spans="1:3">
      <c r="A16" s="220">
        <v>9</v>
      </c>
      <c r="B16" s="216" t="s">
        <v>74</v>
      </c>
    </row>
    <row r="17" spans="1:2">
      <c r="A17" s="222" t="s">
        <v>366</v>
      </c>
      <c r="B17" s="216" t="s">
        <v>346</v>
      </c>
    </row>
    <row r="18" spans="1:2">
      <c r="A18" s="220">
        <v>9.1999999999999993</v>
      </c>
      <c r="B18" s="564" t="s">
        <v>946</v>
      </c>
    </row>
    <row r="19" spans="1:2">
      <c r="A19" s="220">
        <v>9.3000000000000007</v>
      </c>
      <c r="B19" s="564" t="s">
        <v>947</v>
      </c>
    </row>
    <row r="20" spans="1:2">
      <c r="A20" s="220">
        <v>10</v>
      </c>
      <c r="B20" s="216" t="s">
        <v>161</v>
      </c>
    </row>
    <row r="21" spans="1:2">
      <c r="A21" s="220">
        <v>11</v>
      </c>
      <c r="B21" s="221" t="s">
        <v>144</v>
      </c>
    </row>
    <row r="22" spans="1:2">
      <c r="A22" s="220">
        <v>12</v>
      </c>
      <c r="B22" s="221" t="s">
        <v>141</v>
      </c>
    </row>
    <row r="23" spans="1:2">
      <c r="A23" s="220">
        <v>13</v>
      </c>
      <c r="B23" s="223" t="s">
        <v>285</v>
      </c>
    </row>
    <row r="24" spans="1:2">
      <c r="A24" s="220">
        <v>14</v>
      </c>
      <c r="B24" s="216" t="s">
        <v>339</v>
      </c>
    </row>
    <row r="25" spans="1:2">
      <c r="A25" s="220">
        <v>15</v>
      </c>
      <c r="B25" s="216" t="s">
        <v>73</v>
      </c>
    </row>
    <row r="26" spans="1:2">
      <c r="A26" s="220">
        <v>15.1</v>
      </c>
      <c r="B26" s="216" t="s">
        <v>375</v>
      </c>
    </row>
    <row r="27" spans="1:2">
      <c r="A27" s="563">
        <v>15.2</v>
      </c>
      <c r="B27" s="564" t="s">
        <v>970</v>
      </c>
    </row>
    <row r="28" spans="1:2">
      <c r="A28" s="220">
        <v>16</v>
      </c>
      <c r="B28" s="216" t="s">
        <v>422</v>
      </c>
    </row>
    <row r="29" spans="1:2">
      <c r="A29" s="220">
        <v>17</v>
      </c>
      <c r="B29" s="216" t="s">
        <v>646</v>
      </c>
    </row>
    <row r="30" spans="1:2">
      <c r="A30" s="220">
        <v>18</v>
      </c>
      <c r="B30" s="216" t="s">
        <v>906</v>
      </c>
    </row>
    <row r="31" spans="1:2">
      <c r="A31" s="220">
        <v>19</v>
      </c>
      <c r="B31" s="216" t="s">
        <v>907</v>
      </c>
    </row>
    <row r="32" spans="1:2">
      <c r="A32" s="220">
        <v>20</v>
      </c>
      <c r="B32" s="216" t="s">
        <v>908</v>
      </c>
    </row>
    <row r="33" spans="1:2">
      <c r="A33" s="220">
        <v>21</v>
      </c>
      <c r="B33" s="216" t="s">
        <v>515</v>
      </c>
    </row>
    <row r="34" spans="1:2">
      <c r="A34" s="220">
        <v>22</v>
      </c>
      <c r="B34" s="216" t="s">
        <v>909</v>
      </c>
    </row>
    <row r="35" spans="1:2" ht="26.4">
      <c r="A35" s="220">
        <v>23</v>
      </c>
      <c r="B35" s="520" t="s">
        <v>905</v>
      </c>
    </row>
    <row r="36" spans="1:2">
      <c r="A36" s="220">
        <v>24</v>
      </c>
      <c r="B36" s="216" t="s">
        <v>910</v>
      </c>
    </row>
    <row r="37" spans="1:2">
      <c r="A37" s="220">
        <v>25</v>
      </c>
      <c r="B37" s="216" t="s">
        <v>911</v>
      </c>
    </row>
    <row r="38" spans="1:2">
      <c r="A38" s="220">
        <v>26</v>
      </c>
      <c r="B38" s="216"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1AC3380B-DD4E-404F-87E9-240E6E67D5C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C56"/>
  <sheetViews>
    <sheetView zoomScale="80" zoomScaleNormal="80" workbookViewId="0">
      <pane xSplit="1" ySplit="5" topLeftCell="B6" activePane="bottomRight" state="frozen"/>
      <selection pane="topRight" activeCell="B1" sqref="B1"/>
      <selection pane="bottomLeft" activeCell="A5" sqref="A5"/>
      <selection pane="bottomRight" activeCell="F13" sqref="F13"/>
    </sheetView>
  </sheetViews>
  <sheetFormatPr defaultRowHeight="14.4"/>
  <cols>
    <col min="1" max="1" width="9.44140625" style="1" bestFit="1" customWidth="1"/>
    <col min="2" max="2" width="132.44140625" style="1" customWidth="1"/>
    <col min="3" max="3" width="18.44140625" style="1" customWidth="1"/>
  </cols>
  <sheetData>
    <row r="1" spans="1:3">
      <c r="A1" s="10" t="s">
        <v>97</v>
      </c>
      <c r="B1" s="9" t="str">
        <f>Info!C2</f>
        <v>სს პეივ ბანკ ჯორჯია</v>
      </c>
    </row>
    <row r="2" spans="1:3" s="10" customFormat="1" ht="15.75" customHeight="1">
      <c r="A2" s="10" t="s">
        <v>98</v>
      </c>
      <c r="B2" s="260">
        <f>'1. key ratios'!B2</f>
        <v>45747</v>
      </c>
    </row>
    <row r="3" spans="1:3" s="10" customFormat="1" ht="15.75" customHeight="1"/>
    <row r="4" spans="1:3" ht="15" thickBot="1">
      <c r="A4" s="1" t="s">
        <v>246</v>
      </c>
      <c r="B4" s="19" t="s">
        <v>74</v>
      </c>
    </row>
    <row r="5" spans="1:3">
      <c r="A5" s="61" t="s">
        <v>25</v>
      </c>
      <c r="B5" s="62"/>
      <c r="C5" s="63" t="s">
        <v>26</v>
      </c>
    </row>
    <row r="6" spans="1:3">
      <c r="A6" s="64">
        <v>1</v>
      </c>
      <c r="B6" s="39" t="s">
        <v>27</v>
      </c>
      <c r="C6" s="135">
        <f>SUM(C7:C11)</f>
        <v>7248796.7599999998</v>
      </c>
    </row>
    <row r="7" spans="1:3">
      <c r="A7" s="64">
        <v>2</v>
      </c>
      <c r="B7" s="36" t="s">
        <v>28</v>
      </c>
      <c r="C7" s="136">
        <v>8052000</v>
      </c>
    </row>
    <row r="8" spans="1:3">
      <c r="A8" s="64">
        <v>3</v>
      </c>
      <c r="B8" s="31" t="s">
        <v>29</v>
      </c>
      <c r="C8" s="136">
        <v>0</v>
      </c>
    </row>
    <row r="9" spans="1:3">
      <c r="A9" s="64">
        <v>4</v>
      </c>
      <c r="B9" s="31" t="s">
        <v>30</v>
      </c>
      <c r="C9" s="136">
        <v>0</v>
      </c>
    </row>
    <row r="10" spans="1:3">
      <c r="A10" s="64">
        <v>5</v>
      </c>
      <c r="B10" s="31" t="s">
        <v>31</v>
      </c>
      <c r="C10" s="136">
        <v>0</v>
      </c>
    </row>
    <row r="11" spans="1:3">
      <c r="A11" s="64">
        <v>6</v>
      </c>
      <c r="B11" s="37" t="s">
        <v>32</v>
      </c>
      <c r="C11" s="136">
        <v>-803203.23999999987</v>
      </c>
    </row>
    <row r="12" spans="1:3" s="2" customFormat="1">
      <c r="A12" s="64">
        <v>7</v>
      </c>
      <c r="B12" s="39" t="s">
        <v>33</v>
      </c>
      <c r="C12" s="137">
        <f>SUM(C13:C28)</f>
        <v>259105.8</v>
      </c>
    </row>
    <row r="13" spans="1:3" s="2" customFormat="1">
      <c r="A13" s="64">
        <v>8</v>
      </c>
      <c r="B13" s="38" t="s">
        <v>34</v>
      </c>
      <c r="C13" s="138">
        <v>0</v>
      </c>
    </row>
    <row r="14" spans="1:3" s="2" customFormat="1" ht="27.6">
      <c r="A14" s="64">
        <v>9</v>
      </c>
      <c r="B14" s="32" t="s">
        <v>35</v>
      </c>
      <c r="C14" s="138">
        <v>0</v>
      </c>
    </row>
    <row r="15" spans="1:3" s="2" customFormat="1">
      <c r="A15" s="64">
        <v>10</v>
      </c>
      <c r="B15" s="33" t="s">
        <v>36</v>
      </c>
      <c r="C15" s="138">
        <v>259105.8</v>
      </c>
    </row>
    <row r="16" spans="1:3" s="2" customFormat="1">
      <c r="A16" s="64">
        <v>11</v>
      </c>
      <c r="B16" s="34" t="s">
        <v>37</v>
      </c>
      <c r="C16" s="138">
        <v>0</v>
      </c>
    </row>
    <row r="17" spans="1:3" s="2" customFormat="1">
      <c r="A17" s="64">
        <v>12</v>
      </c>
      <c r="B17" s="33" t="s">
        <v>38</v>
      </c>
      <c r="C17" s="138">
        <v>0</v>
      </c>
    </row>
    <row r="18" spans="1:3" s="2" customFormat="1">
      <c r="A18" s="64">
        <v>13</v>
      </c>
      <c r="B18" s="33" t="s">
        <v>39</v>
      </c>
      <c r="C18" s="138">
        <v>0</v>
      </c>
    </row>
    <row r="19" spans="1:3" s="2" customFormat="1">
      <c r="A19" s="64">
        <v>14</v>
      </c>
      <c r="B19" s="33" t="s">
        <v>40</v>
      </c>
      <c r="C19" s="138">
        <v>0</v>
      </c>
    </row>
    <row r="20" spans="1:3" s="2" customFormat="1" ht="27.6">
      <c r="A20" s="64">
        <v>15</v>
      </c>
      <c r="B20" s="33" t="s">
        <v>41</v>
      </c>
      <c r="C20" s="138">
        <v>0</v>
      </c>
    </row>
    <row r="21" spans="1:3" s="2" customFormat="1" ht="27.6">
      <c r="A21" s="64">
        <v>16</v>
      </c>
      <c r="B21" s="32" t="s">
        <v>42</v>
      </c>
      <c r="C21" s="138">
        <v>0</v>
      </c>
    </row>
    <row r="22" spans="1:3" s="2" customFormat="1">
      <c r="A22" s="64">
        <v>17</v>
      </c>
      <c r="B22" s="65" t="s">
        <v>43</v>
      </c>
      <c r="C22" s="138">
        <v>0</v>
      </c>
    </row>
    <row r="23" spans="1:3" s="2" customFormat="1">
      <c r="A23" s="64">
        <v>18</v>
      </c>
      <c r="B23" s="555" t="s">
        <v>694</v>
      </c>
      <c r="C23" s="326">
        <v>0</v>
      </c>
    </row>
    <row r="24" spans="1:3" s="2" customFormat="1" ht="27.6">
      <c r="A24" s="64">
        <v>19</v>
      </c>
      <c r="B24" s="32" t="s">
        <v>44</v>
      </c>
      <c r="C24" s="138">
        <v>0</v>
      </c>
    </row>
    <row r="25" spans="1:3" s="2" customFormat="1" ht="27.6">
      <c r="A25" s="64">
        <v>20</v>
      </c>
      <c r="B25" s="32" t="s">
        <v>45</v>
      </c>
      <c r="C25" s="138">
        <v>0</v>
      </c>
    </row>
    <row r="26" spans="1:3" s="2" customFormat="1" ht="27.6">
      <c r="A26" s="64">
        <v>21</v>
      </c>
      <c r="B26" s="34" t="s">
        <v>46</v>
      </c>
      <c r="C26" s="138">
        <v>0</v>
      </c>
    </row>
    <row r="27" spans="1:3" s="2" customFormat="1">
      <c r="A27" s="64">
        <v>22</v>
      </c>
      <c r="B27" s="34" t="s">
        <v>47</v>
      </c>
      <c r="C27" s="138">
        <v>0</v>
      </c>
    </row>
    <row r="28" spans="1:3" s="2" customFormat="1" ht="27.6">
      <c r="A28" s="64">
        <v>23</v>
      </c>
      <c r="B28" s="34" t="s">
        <v>48</v>
      </c>
      <c r="C28" s="138">
        <v>0</v>
      </c>
    </row>
    <row r="29" spans="1:3" s="2" customFormat="1">
      <c r="A29" s="64">
        <v>24</v>
      </c>
      <c r="B29" s="40" t="s">
        <v>22</v>
      </c>
      <c r="C29" s="137">
        <f>C6-C12</f>
        <v>6989690.96</v>
      </c>
    </row>
    <row r="30" spans="1:3" s="2" customFormat="1">
      <c r="A30" s="66"/>
      <c r="B30" s="35"/>
      <c r="C30" s="138"/>
    </row>
    <row r="31" spans="1:3" s="2" customFormat="1">
      <c r="A31" s="66">
        <v>25</v>
      </c>
      <c r="B31" s="40" t="s">
        <v>49</v>
      </c>
      <c r="C31" s="137">
        <f>C32+C35</f>
        <v>0</v>
      </c>
    </row>
    <row r="32" spans="1:3" s="2" customFormat="1">
      <c r="A32" s="66">
        <v>26</v>
      </c>
      <c r="B32" s="31" t="s">
        <v>50</v>
      </c>
      <c r="C32" s="139">
        <f>C33+C34</f>
        <v>0</v>
      </c>
    </row>
    <row r="33" spans="1:3" s="2" customFormat="1">
      <c r="A33" s="66">
        <v>27</v>
      </c>
      <c r="B33" s="85" t="s">
        <v>51</v>
      </c>
      <c r="C33" s="138">
        <v>0</v>
      </c>
    </row>
    <row r="34" spans="1:3" s="2" customFormat="1">
      <c r="A34" s="66">
        <v>28</v>
      </c>
      <c r="B34" s="85" t="s">
        <v>52</v>
      </c>
      <c r="C34" s="138">
        <v>0</v>
      </c>
    </row>
    <row r="35" spans="1:3" s="2" customFormat="1">
      <c r="A35" s="66">
        <v>29</v>
      </c>
      <c r="B35" s="31" t="s">
        <v>53</v>
      </c>
      <c r="C35" s="138">
        <v>0</v>
      </c>
    </row>
    <row r="36" spans="1:3" s="2" customFormat="1">
      <c r="A36" s="66">
        <v>30</v>
      </c>
      <c r="B36" s="40" t="s">
        <v>54</v>
      </c>
      <c r="C36" s="137">
        <f>SUM(C37:C41)</f>
        <v>0</v>
      </c>
    </row>
    <row r="37" spans="1:3" s="2" customFormat="1">
      <c r="A37" s="66">
        <v>31</v>
      </c>
      <c r="B37" s="32" t="s">
        <v>55</v>
      </c>
      <c r="C37" s="138">
        <v>0</v>
      </c>
    </row>
    <row r="38" spans="1:3" s="2" customFormat="1">
      <c r="A38" s="66">
        <v>32</v>
      </c>
      <c r="B38" s="33" t="s">
        <v>56</v>
      </c>
      <c r="C38" s="138">
        <v>0</v>
      </c>
    </row>
    <row r="39" spans="1:3" s="2" customFormat="1" ht="27.6">
      <c r="A39" s="66">
        <v>33</v>
      </c>
      <c r="B39" s="32" t="s">
        <v>57</v>
      </c>
      <c r="C39" s="138">
        <v>0</v>
      </c>
    </row>
    <row r="40" spans="1:3" s="2" customFormat="1" ht="27.6">
      <c r="A40" s="66">
        <v>34</v>
      </c>
      <c r="B40" s="32" t="s">
        <v>45</v>
      </c>
      <c r="C40" s="138">
        <v>0</v>
      </c>
    </row>
    <row r="41" spans="1:3" s="2" customFormat="1" ht="27.6">
      <c r="A41" s="66">
        <v>35</v>
      </c>
      <c r="B41" s="34" t="s">
        <v>58</v>
      </c>
      <c r="C41" s="138">
        <v>0</v>
      </c>
    </row>
    <row r="42" spans="1:3" s="2" customFormat="1">
      <c r="A42" s="66">
        <v>36</v>
      </c>
      <c r="B42" s="40" t="s">
        <v>23</v>
      </c>
      <c r="C42" s="137">
        <f>C31-C36</f>
        <v>0</v>
      </c>
    </row>
    <row r="43" spans="1:3" s="2" customFormat="1">
      <c r="A43" s="66"/>
      <c r="B43" s="35"/>
      <c r="C43" s="138"/>
    </row>
    <row r="44" spans="1:3" s="2" customFormat="1">
      <c r="A44" s="66">
        <v>37</v>
      </c>
      <c r="B44" s="41" t="s">
        <v>59</v>
      </c>
      <c r="C44" s="137">
        <f>SUM(C45:C47)</f>
        <v>0</v>
      </c>
    </row>
    <row r="45" spans="1:3" s="2" customFormat="1">
      <c r="A45" s="66">
        <v>38</v>
      </c>
      <c r="B45" s="31" t="s">
        <v>60</v>
      </c>
      <c r="C45" s="138">
        <v>0</v>
      </c>
    </row>
    <row r="46" spans="1:3" s="2" customFormat="1">
      <c r="A46" s="66">
        <v>39</v>
      </c>
      <c r="B46" s="31" t="s">
        <v>61</v>
      </c>
      <c r="C46" s="138">
        <v>0</v>
      </c>
    </row>
    <row r="47" spans="1:3" s="2" customFormat="1">
      <c r="A47" s="66">
        <v>40</v>
      </c>
      <c r="B47" s="556" t="s">
        <v>693</v>
      </c>
      <c r="C47" s="138">
        <v>0</v>
      </c>
    </row>
    <row r="48" spans="1:3" s="2" customFormat="1">
      <c r="A48" s="66">
        <v>41</v>
      </c>
      <c r="B48" s="41" t="s">
        <v>62</v>
      </c>
      <c r="C48" s="137">
        <f>SUM(C49:C52)</f>
        <v>0</v>
      </c>
    </row>
    <row r="49" spans="1:3" s="2" customFormat="1">
      <c r="A49" s="66">
        <v>42</v>
      </c>
      <c r="B49" s="32" t="s">
        <v>63</v>
      </c>
      <c r="C49" s="138">
        <v>0</v>
      </c>
    </row>
    <row r="50" spans="1:3" s="2" customFormat="1">
      <c r="A50" s="66">
        <v>43</v>
      </c>
      <c r="B50" s="33" t="s">
        <v>64</v>
      </c>
      <c r="C50" s="138">
        <v>0</v>
      </c>
    </row>
    <row r="51" spans="1:3" s="2" customFormat="1" ht="27.6">
      <c r="A51" s="66">
        <v>44</v>
      </c>
      <c r="B51" s="32" t="s">
        <v>65</v>
      </c>
      <c r="C51" s="138">
        <v>0</v>
      </c>
    </row>
    <row r="52" spans="1:3" s="2" customFormat="1" ht="27.6">
      <c r="A52" s="66">
        <v>45</v>
      </c>
      <c r="B52" s="32" t="s">
        <v>45</v>
      </c>
      <c r="C52" s="138">
        <v>0</v>
      </c>
    </row>
    <row r="53" spans="1:3" s="2" customFormat="1" ht="15" thickBot="1">
      <c r="A53" s="66">
        <v>46</v>
      </c>
      <c r="B53" s="67" t="s">
        <v>24</v>
      </c>
      <c r="C53" s="140">
        <f>C44-C48</f>
        <v>0</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G21" sqref="G21"/>
    </sheetView>
  </sheetViews>
  <sheetFormatPr defaultColWidth="9.109375" defaultRowHeight="13.8"/>
  <cols>
    <col min="1" max="1" width="10.88671875" style="1" bestFit="1" customWidth="1"/>
    <col min="2" max="2" width="59" style="1" customWidth="1"/>
    <col min="3" max="3" width="16.88671875" style="1" bestFit="1" customWidth="1"/>
    <col min="4" max="4" width="22.109375" style="1" customWidth="1"/>
    <col min="5" max="16384" width="9.109375" style="1"/>
  </cols>
  <sheetData>
    <row r="1" spans="1:4">
      <c r="A1" s="10" t="s">
        <v>97</v>
      </c>
      <c r="B1" s="9" t="str">
        <f>Info!C2</f>
        <v>სს პეივ ბანკ ჯორჯია</v>
      </c>
    </row>
    <row r="2" spans="1:4" s="10" customFormat="1" ht="15.75" customHeight="1">
      <c r="A2" s="10" t="s">
        <v>98</v>
      </c>
      <c r="B2" s="260">
        <f>'1. key ratios'!B2</f>
        <v>45747</v>
      </c>
    </row>
    <row r="3" spans="1:4" s="10" customFormat="1" ht="15.75" customHeight="1"/>
    <row r="4" spans="1:4" ht="14.4" thickBot="1">
      <c r="A4" s="1" t="s">
        <v>345</v>
      </c>
      <c r="B4" s="211" t="s">
        <v>346</v>
      </c>
    </row>
    <row r="5" spans="1:4" s="27" customFormat="1">
      <c r="A5" s="751" t="s">
        <v>347</v>
      </c>
      <c r="B5" s="752"/>
      <c r="C5" s="201" t="s">
        <v>348</v>
      </c>
      <c r="D5" s="202" t="s">
        <v>349</v>
      </c>
    </row>
    <row r="6" spans="1:4" s="212" customFormat="1">
      <c r="A6" s="203">
        <v>1</v>
      </c>
      <c r="B6" s="204" t="s">
        <v>350</v>
      </c>
      <c r="C6" s="204"/>
      <c r="D6" s="205"/>
    </row>
    <row r="7" spans="1:4" s="212" customFormat="1">
      <c r="A7" s="206" t="s">
        <v>351</v>
      </c>
      <c r="B7" s="207" t="s">
        <v>352</v>
      </c>
      <c r="C7" s="225">
        <v>4.4999999999999998E-2</v>
      </c>
      <c r="D7" s="715">
        <f>C7*'5. RWA'!$C$13</f>
        <v>982408.01137919875</v>
      </c>
    </row>
    <row r="8" spans="1:4" s="212" customFormat="1">
      <c r="A8" s="206" t="s">
        <v>353</v>
      </c>
      <c r="B8" s="207" t="s">
        <v>354</v>
      </c>
      <c r="C8" s="226">
        <v>0.06</v>
      </c>
      <c r="D8" s="715">
        <f>C8*'5. RWA'!$C$13</f>
        <v>1309877.3485055983</v>
      </c>
    </row>
    <row r="9" spans="1:4" s="212" customFormat="1">
      <c r="A9" s="206" t="s">
        <v>355</v>
      </c>
      <c r="B9" s="207" t="s">
        <v>356</v>
      </c>
      <c r="C9" s="226">
        <v>0.08</v>
      </c>
      <c r="D9" s="715">
        <f>C9*'5. RWA'!$C$13</f>
        <v>1746503.131340798</v>
      </c>
    </row>
    <row r="10" spans="1:4" s="212" customFormat="1">
      <c r="A10" s="203" t="s">
        <v>357</v>
      </c>
      <c r="B10" s="204" t="s">
        <v>358</v>
      </c>
      <c r="C10" s="227"/>
      <c r="D10" s="716"/>
    </row>
    <row r="11" spans="1:4" s="213" customFormat="1">
      <c r="A11" s="208" t="s">
        <v>359</v>
      </c>
      <c r="B11" s="209" t="s">
        <v>997</v>
      </c>
      <c r="C11" s="228">
        <v>2.5000000000000001E-2</v>
      </c>
      <c r="D11" s="717">
        <f>C11*'5. RWA'!$C$13</f>
        <v>545782.22854399937</v>
      </c>
    </row>
    <row r="12" spans="1:4" s="213" customFormat="1">
      <c r="A12" s="208" t="s">
        <v>360</v>
      </c>
      <c r="B12" s="209" t="s">
        <v>361</v>
      </c>
      <c r="C12" s="228">
        <v>5.0000000000000001E-3</v>
      </c>
      <c r="D12" s="717">
        <f>C12*'5. RWA'!$C$13</f>
        <v>109156.44570879987</v>
      </c>
    </row>
    <row r="13" spans="1:4" s="213" customFormat="1">
      <c r="A13" s="208" t="s">
        <v>362</v>
      </c>
      <c r="B13" s="209" t="s">
        <v>363</v>
      </c>
      <c r="C13" s="228">
        <v>0</v>
      </c>
      <c r="D13" s="717">
        <f>C13*'5. RWA'!$C$13</f>
        <v>0</v>
      </c>
    </row>
    <row r="14" spans="1:4" s="212" customFormat="1">
      <c r="A14" s="203" t="s">
        <v>364</v>
      </c>
      <c r="B14" s="204" t="s">
        <v>409</v>
      </c>
      <c r="C14" s="229"/>
      <c r="D14" s="716"/>
    </row>
    <row r="15" spans="1:4" s="212" customFormat="1">
      <c r="A15" s="217" t="s">
        <v>367</v>
      </c>
      <c r="B15" s="209" t="s">
        <v>410</v>
      </c>
      <c r="C15" s="228">
        <v>1.8668947626202494E-4</v>
      </c>
      <c r="D15" s="717">
        <f>C15*'5. RWA'!$C$13</f>
        <v>4075.6719360000011</v>
      </c>
    </row>
    <row r="16" spans="1:4" s="212" customFormat="1">
      <c r="A16" s="217" t="s">
        <v>368</v>
      </c>
      <c r="B16" s="209" t="s">
        <v>370</v>
      </c>
      <c r="C16" s="228">
        <v>2.5003054856521191E-4</v>
      </c>
      <c r="D16" s="717">
        <f>C16*'5. RWA'!$C$13</f>
        <v>5458.4892</v>
      </c>
    </row>
    <row r="17" spans="1:4" s="212" customFormat="1">
      <c r="A17" s="217" t="s">
        <v>369</v>
      </c>
      <c r="B17" s="209" t="s">
        <v>407</v>
      </c>
      <c r="C17" s="228">
        <v>3.3337406475361588E-4</v>
      </c>
      <c r="D17" s="717">
        <f>C17*'5. RWA'!$C$13</f>
        <v>7277.9856000000009</v>
      </c>
    </row>
    <row r="18" spans="1:4" s="27" customFormat="1">
      <c r="A18" s="753" t="s">
        <v>408</v>
      </c>
      <c r="B18" s="754"/>
      <c r="C18" s="230" t="s">
        <v>348</v>
      </c>
      <c r="D18" s="224" t="s">
        <v>349</v>
      </c>
    </row>
    <row r="19" spans="1:4" s="212" customFormat="1">
      <c r="A19" s="210">
        <v>4</v>
      </c>
      <c r="B19" s="209" t="s">
        <v>22</v>
      </c>
      <c r="C19" s="228">
        <f>C7+C11+C12+C13+C15</f>
        <v>7.5186689476262031E-2</v>
      </c>
      <c r="D19" s="715">
        <f>C19*'5. RWA'!$C$13</f>
        <v>1641422.3575679981</v>
      </c>
    </row>
    <row r="20" spans="1:4" s="212" customFormat="1">
      <c r="A20" s="210">
        <v>5</v>
      </c>
      <c r="B20" s="209" t="s">
        <v>75</v>
      </c>
      <c r="C20" s="228">
        <f>C8+C11+C12+C13+C16</f>
        <v>9.0250030548565202E-2</v>
      </c>
      <c r="D20" s="715">
        <f>C20*'5. RWA'!$C$13</f>
        <v>1970274.5119583975</v>
      </c>
    </row>
    <row r="21" spans="1:4" s="212" customFormat="1" ht="14.4" thickBot="1">
      <c r="A21" s="214" t="s">
        <v>365</v>
      </c>
      <c r="B21" s="215" t="s">
        <v>74</v>
      </c>
      <c r="C21" s="231">
        <f>C9+C11+C12+C13+C17</f>
        <v>0.11033337406475363</v>
      </c>
      <c r="D21" s="718">
        <f>C21*'5. RWA'!$C$13</f>
        <v>2408719.7911935975</v>
      </c>
    </row>
    <row r="23" spans="1:4">
      <c r="B23" s="14"/>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C14" sqref="C14"/>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526" t="s">
        <v>97</v>
      </c>
      <c r="B1" s="9" t="str">
        <f>Info!C2</f>
        <v>სს პეივ ბანკ ჯორჯია</v>
      </c>
    </row>
    <row r="2" spans="1:2">
      <c r="A2" s="526" t="s">
        <v>98</v>
      </c>
      <c r="B2" s="260">
        <f>'1. key ratios'!B2</f>
        <v>45747</v>
      </c>
    </row>
    <row r="3" spans="1:2">
      <c r="A3" s="527" t="s">
        <v>948</v>
      </c>
      <c r="B3" s="522" t="s">
        <v>919</v>
      </c>
    </row>
    <row r="4" spans="1:2" ht="15" thickBot="1"/>
    <row r="5" spans="1:2">
      <c r="A5" s="532"/>
      <c r="B5" s="533" t="s">
        <v>920</v>
      </c>
    </row>
    <row r="6" spans="1:2">
      <c r="A6" s="528" t="s">
        <v>921</v>
      </c>
      <c r="B6" s="534">
        <f>SUM(B7,B11)</f>
        <v>0</v>
      </c>
    </row>
    <row r="7" spans="1:2" ht="15.6">
      <c r="A7" s="528" t="s">
        <v>954</v>
      </c>
      <c r="B7" s="534">
        <f>SUM(B8:B10)</f>
        <v>0</v>
      </c>
    </row>
    <row r="8" spans="1:2">
      <c r="A8" s="529" t="s">
        <v>922</v>
      </c>
      <c r="B8" s="535">
        <v>0</v>
      </c>
    </row>
    <row r="9" spans="1:2">
      <c r="A9" s="529" t="s">
        <v>923</v>
      </c>
      <c r="B9" s="535">
        <f>'9. Capital'!C42</f>
        <v>0</v>
      </c>
    </row>
    <row r="10" spans="1:2">
      <c r="A10" s="529" t="s">
        <v>924</v>
      </c>
      <c r="B10" s="535">
        <f>'9. Capital'!C53</f>
        <v>0</v>
      </c>
    </row>
    <row r="11" spans="1:2">
      <c r="A11" s="528" t="s">
        <v>925</v>
      </c>
      <c r="B11" s="534">
        <f>SUM(B12:B13)</f>
        <v>0</v>
      </c>
    </row>
    <row r="12" spans="1:2" ht="15.6">
      <c r="A12" s="529" t="s">
        <v>955</v>
      </c>
      <c r="B12" s="535"/>
    </row>
    <row r="13" spans="1:2" ht="15.6">
      <c r="A13" s="529" t="s">
        <v>956</v>
      </c>
      <c r="B13" s="535"/>
    </row>
    <row r="14" spans="1:2">
      <c r="A14" s="528" t="s">
        <v>926</v>
      </c>
      <c r="B14" s="534">
        <f>SUM(B15:B16)</f>
        <v>0</v>
      </c>
    </row>
    <row r="15" spans="1:2">
      <c r="A15" s="530" t="s">
        <v>927</v>
      </c>
      <c r="B15" s="535">
        <v>0</v>
      </c>
    </row>
    <row r="16" spans="1:2">
      <c r="A16" s="530" t="s">
        <v>74</v>
      </c>
      <c r="B16" s="535">
        <f>B7</f>
        <v>0</v>
      </c>
    </row>
    <row r="17" spans="1:5">
      <c r="A17" s="528" t="s">
        <v>928</v>
      </c>
      <c r="B17" s="534"/>
    </row>
    <row r="18" spans="1:5">
      <c r="A18" s="530" t="s">
        <v>929</v>
      </c>
      <c r="B18" s="535">
        <v>0</v>
      </c>
    </row>
    <row r="19" spans="1:5">
      <c r="A19" s="530" t="s">
        <v>930</v>
      </c>
      <c r="B19" s="535">
        <v>0</v>
      </c>
    </row>
    <row r="20" spans="1:5">
      <c r="A20" s="528" t="s">
        <v>931</v>
      </c>
      <c r="B20" s="534"/>
    </row>
    <row r="21" spans="1:5">
      <c r="A21" s="531" t="s">
        <v>932</v>
      </c>
      <c r="B21" s="536">
        <f>IFERROR(B6/B18,0)</f>
        <v>0</v>
      </c>
    </row>
    <row r="22" spans="1:5">
      <c r="A22" s="531" t="s">
        <v>933</v>
      </c>
      <c r="B22" s="536">
        <f>IFERROR(B6/B19,0)</f>
        <v>0</v>
      </c>
    </row>
    <row r="23" spans="1:5" ht="15" thickBot="1">
      <c r="A23" s="537" t="s">
        <v>934</v>
      </c>
      <c r="B23" s="538">
        <f>IFERROR(B6/B14,0)</f>
        <v>0</v>
      </c>
    </row>
    <row r="24" spans="1:5" ht="16.5" customHeight="1">
      <c r="A24" s="525" t="s">
        <v>957</v>
      </c>
      <c r="B24" s="523"/>
      <c r="C24" s="523"/>
      <c r="D24" s="523"/>
      <c r="E24" s="523"/>
    </row>
    <row r="25" spans="1:5" ht="25.5" customHeight="1">
      <c r="A25" s="525" t="s">
        <v>958</v>
      </c>
    </row>
    <row r="26" spans="1:5" ht="57" customHeight="1">
      <c r="A26" s="525" t="s">
        <v>959</v>
      </c>
    </row>
    <row r="27" spans="1:5">
      <c r="A27" s="524"/>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24" sqref="A24"/>
    </sheetView>
  </sheetViews>
  <sheetFormatPr defaultRowHeight="14.4"/>
  <cols>
    <col min="1" max="1" width="78.5546875" customWidth="1"/>
    <col min="2" max="2" width="28.109375" bestFit="1" customWidth="1"/>
    <col min="3" max="6" width="28.109375" customWidth="1"/>
  </cols>
  <sheetData>
    <row r="1" spans="1:6">
      <c r="A1" s="526" t="s">
        <v>97</v>
      </c>
      <c r="B1" s="9" t="str">
        <f>Info!C2</f>
        <v>სს პეივ ბანკ ჯორჯია</v>
      </c>
      <c r="C1" s="1"/>
    </row>
    <row r="2" spans="1:6">
      <c r="A2" s="526" t="s">
        <v>98</v>
      </c>
      <c r="B2" s="260">
        <f>'1. key ratios'!B2</f>
        <v>45747</v>
      </c>
      <c r="C2" s="1"/>
    </row>
    <row r="3" spans="1:6">
      <c r="A3" s="527" t="s">
        <v>949</v>
      </c>
      <c r="B3" s="522" t="s">
        <v>919</v>
      </c>
      <c r="C3" s="1"/>
    </row>
    <row r="5" spans="1:6">
      <c r="A5" s="524"/>
    </row>
    <row r="6" spans="1:6" ht="15" thickBot="1">
      <c r="A6" s="539"/>
      <c r="B6" s="539"/>
      <c r="C6" s="539"/>
      <c r="D6" s="539"/>
      <c r="E6" s="539"/>
      <c r="F6" s="539"/>
    </row>
    <row r="7" spans="1:6">
      <c r="A7" s="755"/>
      <c r="B7" s="757" t="s">
        <v>935</v>
      </c>
      <c r="C7" s="757"/>
      <c r="D7" s="757"/>
      <c r="E7" s="757"/>
      <c r="F7" s="758" t="s">
        <v>936</v>
      </c>
    </row>
    <row r="8" spans="1:6" ht="27.6">
      <c r="A8" s="756"/>
      <c r="B8" s="540" t="s">
        <v>937</v>
      </c>
      <c r="C8" s="540" t="s">
        <v>938</v>
      </c>
      <c r="D8" s="540" t="s">
        <v>939</v>
      </c>
      <c r="E8" s="540" t="s">
        <v>940</v>
      </c>
      <c r="F8" s="759"/>
    </row>
    <row r="9" spans="1:6">
      <c r="A9" s="541" t="s">
        <v>941</v>
      </c>
      <c r="B9" s="542">
        <f>B13+B17</f>
        <v>0</v>
      </c>
      <c r="C9" s="542">
        <f t="shared" ref="C9:E9" si="0">C13+C17</f>
        <v>0</v>
      </c>
      <c r="D9" s="542">
        <f t="shared" si="0"/>
        <v>0</v>
      </c>
      <c r="E9" s="542">
        <f t="shared" si="0"/>
        <v>0</v>
      </c>
      <c r="F9" s="543">
        <f>F13+F17</f>
        <v>0</v>
      </c>
    </row>
    <row r="10" spans="1:6">
      <c r="A10" s="544" t="s">
        <v>942</v>
      </c>
      <c r="B10" s="545">
        <f t="shared" ref="B10:E12" si="1">B14+B18</f>
        <v>0</v>
      </c>
      <c r="C10" s="545">
        <f t="shared" si="1"/>
        <v>0</v>
      </c>
      <c r="D10" s="545">
        <f t="shared" si="1"/>
        <v>0</v>
      </c>
      <c r="E10" s="545">
        <f t="shared" si="1"/>
        <v>0</v>
      </c>
      <c r="F10" s="543">
        <f>SUM(B10:E10)</f>
        <v>0</v>
      </c>
    </row>
    <row r="11" spans="1:6">
      <c r="A11" s="544" t="s">
        <v>943</v>
      </c>
      <c r="B11" s="545">
        <f t="shared" si="1"/>
        <v>0</v>
      </c>
      <c r="C11" s="545">
        <f t="shared" si="1"/>
        <v>0</v>
      </c>
      <c r="D11" s="545">
        <f t="shared" si="1"/>
        <v>0</v>
      </c>
      <c r="E11" s="545">
        <f t="shared" si="1"/>
        <v>0</v>
      </c>
      <c r="F11" s="543">
        <f t="shared" ref="F11:F12" si="2">SUM(B11:E11)</f>
        <v>0</v>
      </c>
    </row>
    <row r="12" spans="1:6">
      <c r="A12" s="546" t="s">
        <v>944</v>
      </c>
      <c r="B12" s="545">
        <f t="shared" si="1"/>
        <v>0</v>
      </c>
      <c r="C12" s="545">
        <f t="shared" si="1"/>
        <v>0</v>
      </c>
      <c r="D12" s="545">
        <f t="shared" si="1"/>
        <v>0</v>
      </c>
      <c r="E12" s="545">
        <f t="shared" si="1"/>
        <v>0</v>
      </c>
      <c r="F12" s="543">
        <f t="shared" si="2"/>
        <v>0</v>
      </c>
    </row>
    <row r="13" spans="1:6">
      <c r="A13" s="547" t="s">
        <v>945</v>
      </c>
      <c r="B13" s="548"/>
      <c r="C13" s="548"/>
      <c r="D13" s="548"/>
      <c r="E13" s="548"/>
      <c r="F13" s="549"/>
    </row>
    <row r="14" spans="1:6">
      <c r="A14" s="544" t="s">
        <v>942</v>
      </c>
      <c r="B14" s="550"/>
      <c r="C14" s="550"/>
      <c r="D14" s="550"/>
      <c r="E14" s="550"/>
      <c r="F14" s="551"/>
    </row>
    <row r="15" spans="1:6">
      <c r="A15" s="544" t="s">
        <v>943</v>
      </c>
      <c r="B15" s="550"/>
      <c r="C15" s="550"/>
      <c r="D15" s="550"/>
      <c r="E15" s="550"/>
      <c r="F15" s="551"/>
    </row>
    <row r="16" spans="1:6">
      <c r="A16" s="546" t="s">
        <v>944</v>
      </c>
      <c r="B16" s="550"/>
      <c r="C16" s="550"/>
      <c r="D16" s="550"/>
      <c r="E16" s="550"/>
      <c r="F16" s="551"/>
    </row>
    <row r="17" spans="1:6">
      <c r="A17" s="547" t="s">
        <v>925</v>
      </c>
      <c r="B17" s="548"/>
      <c r="C17" s="548"/>
      <c r="D17" s="548"/>
      <c r="E17" s="548"/>
      <c r="F17" s="551"/>
    </row>
    <row r="18" spans="1:6">
      <c r="A18" s="544" t="s">
        <v>942</v>
      </c>
      <c r="B18" s="550"/>
      <c r="C18" s="550"/>
      <c r="D18" s="550"/>
      <c r="E18" s="550"/>
      <c r="F18" s="551"/>
    </row>
    <row r="19" spans="1:6">
      <c r="A19" s="544" t="s">
        <v>943</v>
      </c>
      <c r="B19" s="550"/>
      <c r="C19" s="550"/>
      <c r="D19" s="550"/>
      <c r="E19" s="550"/>
      <c r="F19" s="551"/>
    </row>
    <row r="20" spans="1:6" ht="15" thickBot="1">
      <c r="A20" s="552" t="s">
        <v>944</v>
      </c>
      <c r="B20" s="553"/>
      <c r="C20" s="553"/>
      <c r="D20" s="553"/>
      <c r="E20" s="553"/>
      <c r="F20" s="55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E68"/>
  <sheetViews>
    <sheetView zoomScale="80" zoomScaleNormal="80" workbookViewId="0">
      <pane xSplit="1" ySplit="5" topLeftCell="B6" activePane="bottomRight" state="frozen"/>
      <selection pane="topRight" activeCell="B1" sqref="B1"/>
      <selection pane="bottomLeft" activeCell="A5" sqref="A5"/>
      <selection pane="bottomRight" activeCell="H15" sqref="H15"/>
    </sheetView>
  </sheetViews>
  <sheetFormatPr defaultRowHeight="14.4"/>
  <cols>
    <col min="1" max="1" width="10.88671875" style="28" customWidth="1"/>
    <col min="2" max="2" width="91.88671875" style="28" customWidth="1"/>
    <col min="3" max="3" width="53.109375" style="28" customWidth="1"/>
    <col min="4" max="4" width="32.109375" style="28" customWidth="1"/>
  </cols>
  <sheetData>
    <row r="1" spans="1:5">
      <c r="A1" s="10" t="s">
        <v>97</v>
      </c>
      <c r="B1" s="11" t="str">
        <f>Info!C2</f>
        <v>სს პეივ ბანკ ჯორჯია</v>
      </c>
      <c r="E1" s="1"/>
    </row>
    <row r="2" spans="1:5" s="10" customFormat="1" ht="15.75" customHeight="1">
      <c r="A2" s="10" t="s">
        <v>98</v>
      </c>
      <c r="B2" s="260">
        <f>'1. key ratios'!B2</f>
        <v>45747</v>
      </c>
    </row>
    <row r="3" spans="1:5" s="10" customFormat="1" ht="15.75" customHeight="1">
      <c r="A3" s="16"/>
    </row>
    <row r="4" spans="1:5" s="10" customFormat="1" ht="15.75" customHeight="1" thickBot="1">
      <c r="A4" s="10" t="s">
        <v>247</v>
      </c>
      <c r="B4" s="108" t="s">
        <v>161</v>
      </c>
      <c r="D4" s="110" t="s">
        <v>76</v>
      </c>
    </row>
    <row r="5" spans="1:5" ht="27.6">
      <c r="A5" s="73" t="s">
        <v>25</v>
      </c>
      <c r="B5" s="74" t="s">
        <v>133</v>
      </c>
      <c r="C5" s="75" t="s">
        <v>826</v>
      </c>
      <c r="D5" s="109" t="s">
        <v>162</v>
      </c>
    </row>
    <row r="6" spans="1:5">
      <c r="A6" s="362">
        <v>1</v>
      </c>
      <c r="B6" s="327" t="s">
        <v>811</v>
      </c>
      <c r="C6" s="377">
        <f>SUM(C7:C9)</f>
        <v>30026833.66</v>
      </c>
      <c r="D6" s="68"/>
    </row>
    <row r="7" spans="1:5">
      <c r="A7" s="362">
        <v>1.1000000000000001</v>
      </c>
      <c r="B7" s="328" t="s">
        <v>85</v>
      </c>
      <c r="C7" s="376">
        <f>'2. SOFP'!E8</f>
        <v>0</v>
      </c>
      <c r="D7" s="69"/>
    </row>
    <row r="8" spans="1:5">
      <c r="A8" s="362">
        <v>1.2</v>
      </c>
      <c r="B8" s="328" t="s">
        <v>86</v>
      </c>
      <c r="C8" s="376">
        <f>'2. SOFP'!E9</f>
        <v>17024432.120000001</v>
      </c>
      <c r="D8" s="69"/>
    </row>
    <row r="9" spans="1:5">
      <c r="A9" s="362">
        <v>1.3</v>
      </c>
      <c r="B9" s="328" t="s">
        <v>87</v>
      </c>
      <c r="C9" s="376">
        <f>'2. SOFP'!E10</f>
        <v>13002401.539999999</v>
      </c>
      <c r="D9" s="69"/>
    </row>
    <row r="10" spans="1:5">
      <c r="A10" s="362">
        <v>2</v>
      </c>
      <c r="B10" s="329" t="s">
        <v>698</v>
      </c>
      <c r="C10" s="376">
        <f>'2. SOFP'!E11</f>
        <v>0</v>
      </c>
      <c r="D10" s="69"/>
    </row>
    <row r="11" spans="1:5">
      <c r="A11" s="362">
        <v>2.1</v>
      </c>
      <c r="B11" s="330" t="s">
        <v>699</v>
      </c>
      <c r="C11" s="376">
        <f>'2. SOFP'!E12</f>
        <v>0</v>
      </c>
      <c r="D11" s="70"/>
    </row>
    <row r="12" spans="1:5" ht="23.55" customHeight="1">
      <c r="A12" s="362">
        <v>3</v>
      </c>
      <c r="B12" s="331" t="s">
        <v>700</v>
      </c>
      <c r="C12" s="376">
        <f>'2. SOFP'!E13</f>
        <v>0</v>
      </c>
      <c r="D12" s="70"/>
    </row>
    <row r="13" spans="1:5" ht="23.1" customHeight="1">
      <c r="A13" s="362">
        <v>4</v>
      </c>
      <c r="B13" s="332" t="s">
        <v>701</v>
      </c>
      <c r="C13" s="376">
        <f>'2. SOFP'!E14</f>
        <v>0</v>
      </c>
      <c r="D13" s="70"/>
    </row>
    <row r="14" spans="1:5">
      <c r="A14" s="362">
        <v>5</v>
      </c>
      <c r="B14" s="332" t="s">
        <v>702</v>
      </c>
      <c r="C14" s="378">
        <f>SUM(C15:C17)</f>
        <v>0</v>
      </c>
      <c r="D14" s="70"/>
    </row>
    <row r="15" spans="1:5">
      <c r="A15" s="362">
        <v>5.0999999999999996</v>
      </c>
      <c r="B15" s="333" t="s">
        <v>703</v>
      </c>
      <c r="C15" s="376">
        <f>'2. SOFP'!E16</f>
        <v>0</v>
      </c>
      <c r="D15" s="70"/>
    </row>
    <row r="16" spans="1:5">
      <c r="A16" s="362">
        <v>5.2</v>
      </c>
      <c r="B16" s="333" t="s">
        <v>538</v>
      </c>
      <c r="C16" s="376">
        <f>'2. SOFP'!E17</f>
        <v>0</v>
      </c>
      <c r="D16" s="69"/>
    </row>
    <row r="17" spans="1:4">
      <c r="A17" s="362">
        <v>5.3</v>
      </c>
      <c r="B17" s="333" t="s">
        <v>704</v>
      </c>
      <c r="C17" s="376">
        <f>'2. SOFP'!E18</f>
        <v>0</v>
      </c>
      <c r="D17" s="69"/>
    </row>
    <row r="18" spans="1:4">
      <c r="A18" s="362">
        <v>6</v>
      </c>
      <c r="B18" s="331" t="s">
        <v>705</v>
      </c>
      <c r="C18" s="379">
        <f>SUM(C19:C20)</f>
        <v>0</v>
      </c>
      <c r="D18" s="69"/>
    </row>
    <row r="19" spans="1:4">
      <c r="A19" s="362">
        <v>6.1</v>
      </c>
      <c r="B19" s="333" t="s">
        <v>538</v>
      </c>
      <c r="C19" s="376">
        <f>'2. SOFP'!E20</f>
        <v>0</v>
      </c>
      <c r="D19" s="69"/>
    </row>
    <row r="20" spans="1:4">
      <c r="A20" s="362">
        <v>6.2</v>
      </c>
      <c r="B20" s="333" t="s">
        <v>704</v>
      </c>
      <c r="C20" s="376">
        <f>'2. SOFP'!E21</f>
        <v>0</v>
      </c>
      <c r="D20" s="69"/>
    </row>
    <row r="21" spans="1:4">
      <c r="A21" s="362">
        <v>7</v>
      </c>
      <c r="B21" s="334" t="s">
        <v>706</v>
      </c>
      <c r="C21" s="376">
        <f>'2. SOFP'!E22</f>
        <v>0</v>
      </c>
      <c r="D21" s="69"/>
    </row>
    <row r="22" spans="1:4">
      <c r="A22" s="362">
        <v>8</v>
      </c>
      <c r="B22" s="335" t="s">
        <v>707</v>
      </c>
      <c r="C22" s="376">
        <f>'2. SOFP'!E23</f>
        <v>0</v>
      </c>
      <c r="D22" s="69"/>
    </row>
    <row r="23" spans="1:4">
      <c r="A23" s="362">
        <v>9</v>
      </c>
      <c r="B23" s="332" t="s">
        <v>708</v>
      </c>
      <c r="C23" s="379">
        <f>SUM(C24:C25)</f>
        <v>23847.22</v>
      </c>
      <c r="D23" s="375"/>
    </row>
    <row r="24" spans="1:4">
      <c r="A24" s="362">
        <v>9.1</v>
      </c>
      <c r="B24" s="336" t="s">
        <v>709</v>
      </c>
      <c r="C24" s="376">
        <f>'2. SOFP'!E25</f>
        <v>23847.22</v>
      </c>
      <c r="D24" s="71"/>
    </row>
    <row r="25" spans="1:4">
      <c r="A25" s="362">
        <v>9.1999999999999993</v>
      </c>
      <c r="B25" s="336" t="s">
        <v>710</v>
      </c>
      <c r="C25" s="376">
        <f>'2. SOFP'!E26</f>
        <v>0</v>
      </c>
      <c r="D25" s="374"/>
    </row>
    <row r="26" spans="1:4">
      <c r="A26" s="362">
        <v>10</v>
      </c>
      <c r="B26" s="332" t="s">
        <v>36</v>
      </c>
      <c r="C26" s="380">
        <f>SUM(C27:C28)</f>
        <v>259105.8</v>
      </c>
      <c r="D26" s="519" t="s">
        <v>903</v>
      </c>
    </row>
    <row r="27" spans="1:4">
      <c r="A27" s="362">
        <v>10.1</v>
      </c>
      <c r="B27" s="336" t="s">
        <v>711</v>
      </c>
      <c r="C27" s="376">
        <f>'2. SOFP'!E28</f>
        <v>0</v>
      </c>
      <c r="D27" s="69"/>
    </row>
    <row r="28" spans="1:4">
      <c r="A28" s="362">
        <v>10.199999999999999</v>
      </c>
      <c r="B28" s="336" t="s">
        <v>712</v>
      </c>
      <c r="C28" s="376">
        <f>'2. SOFP'!E29</f>
        <v>259105.8</v>
      </c>
      <c r="D28" s="69"/>
    </row>
    <row r="29" spans="1:4">
      <c r="A29" s="362">
        <v>11</v>
      </c>
      <c r="B29" s="332" t="s">
        <v>713</v>
      </c>
      <c r="C29" s="379">
        <f>SUM(C30:C31)</f>
        <v>94887.16</v>
      </c>
      <c r="D29" s="69"/>
    </row>
    <row r="30" spans="1:4">
      <c r="A30" s="362">
        <v>11.1</v>
      </c>
      <c r="B30" s="336" t="s">
        <v>714</v>
      </c>
      <c r="C30" s="376">
        <f>'2. SOFP'!E31</f>
        <v>94887.16</v>
      </c>
      <c r="D30" s="69"/>
    </row>
    <row r="31" spans="1:4">
      <c r="A31" s="362">
        <v>11.2</v>
      </c>
      <c r="B31" s="336" t="s">
        <v>715</v>
      </c>
      <c r="C31" s="376">
        <f>'2. SOFP'!E32</f>
        <v>0</v>
      </c>
      <c r="D31" s="69"/>
    </row>
    <row r="32" spans="1:4">
      <c r="A32" s="362">
        <v>13</v>
      </c>
      <c r="B32" s="332" t="s">
        <v>88</v>
      </c>
      <c r="C32" s="376">
        <f>'2. SOFP'!E33</f>
        <v>101498.91</v>
      </c>
      <c r="D32" s="69"/>
    </row>
    <row r="33" spans="1:4">
      <c r="A33" s="362">
        <v>13.1</v>
      </c>
      <c r="B33" s="337" t="s">
        <v>716</v>
      </c>
      <c r="C33" s="376">
        <f>'2. SOFP'!E34</f>
        <v>0</v>
      </c>
      <c r="D33" s="69"/>
    </row>
    <row r="34" spans="1:4">
      <c r="A34" s="362">
        <v>13.2</v>
      </c>
      <c r="B34" s="337" t="s">
        <v>717</v>
      </c>
      <c r="C34" s="376">
        <f>'2. SOFP'!E35</f>
        <v>0</v>
      </c>
      <c r="D34" s="71"/>
    </row>
    <row r="35" spans="1:4">
      <c r="A35" s="362">
        <v>14</v>
      </c>
      <c r="B35" s="338" t="s">
        <v>718</v>
      </c>
      <c r="C35" s="381">
        <f>SUM(C6,C10,C12,C13,C14,C18,C21,C22,C23,C26,C29,C32)</f>
        <v>30506172.75</v>
      </c>
      <c r="D35" s="71"/>
    </row>
    <row r="36" spans="1:4">
      <c r="A36" s="362"/>
      <c r="B36" s="339" t="s">
        <v>93</v>
      </c>
      <c r="C36" s="141"/>
      <c r="D36" s="72"/>
    </row>
    <row r="37" spans="1:4">
      <c r="A37" s="362">
        <v>15</v>
      </c>
      <c r="B37" s="340" t="s">
        <v>719</v>
      </c>
      <c r="C37" s="376">
        <f>'2. SOFP'!E38</f>
        <v>0</v>
      </c>
      <c r="D37" s="374"/>
    </row>
    <row r="38" spans="1:4">
      <c r="A38" s="362">
        <v>15.1</v>
      </c>
      <c r="B38" s="341" t="s">
        <v>699</v>
      </c>
      <c r="C38" s="376">
        <f>'2. SOFP'!E39</f>
        <v>0</v>
      </c>
      <c r="D38" s="69"/>
    </row>
    <row r="39" spans="1:4" ht="20.399999999999999">
      <c r="A39" s="362">
        <v>16</v>
      </c>
      <c r="B39" s="334" t="s">
        <v>720</v>
      </c>
      <c r="C39" s="376">
        <f>'2. SOFP'!E40</f>
        <v>0</v>
      </c>
      <c r="D39" s="69"/>
    </row>
    <row r="40" spans="1:4">
      <c r="A40" s="362">
        <v>17</v>
      </c>
      <c r="B40" s="334" t="s">
        <v>721</v>
      </c>
      <c r="C40" s="379">
        <f>SUM(C41:C44)</f>
        <v>23032984.530000001</v>
      </c>
      <c r="D40" s="69"/>
    </row>
    <row r="41" spans="1:4">
      <c r="A41" s="362">
        <v>17.100000000000001</v>
      </c>
      <c r="B41" s="342" t="s">
        <v>722</v>
      </c>
      <c r="C41" s="376">
        <f>'2. SOFP'!E42</f>
        <v>22187868.07</v>
      </c>
      <c r="D41" s="69"/>
    </row>
    <row r="42" spans="1:4">
      <c r="A42" s="366">
        <v>17.2</v>
      </c>
      <c r="B42" s="367" t="s">
        <v>89</v>
      </c>
      <c r="C42" s="376">
        <f>'2. SOFP'!E43</f>
        <v>845116.46000000008</v>
      </c>
      <c r="D42" s="71"/>
    </row>
    <row r="43" spans="1:4">
      <c r="A43" s="362">
        <v>17.3</v>
      </c>
      <c r="B43" s="368" t="s">
        <v>723</v>
      </c>
      <c r="C43" s="376">
        <f>'2. SOFP'!E44</f>
        <v>0</v>
      </c>
      <c r="D43" s="369"/>
    </row>
    <row r="44" spans="1:4">
      <c r="A44" s="362">
        <v>17.399999999999999</v>
      </c>
      <c r="B44" s="368" t="s">
        <v>724</v>
      </c>
      <c r="C44" s="376">
        <f>'2. SOFP'!E45</f>
        <v>0</v>
      </c>
      <c r="D44" s="369"/>
    </row>
    <row r="45" spans="1:4">
      <c r="A45" s="362">
        <v>18</v>
      </c>
      <c r="B45" s="350" t="s">
        <v>725</v>
      </c>
      <c r="C45" s="376">
        <f>'2. SOFP'!E46</f>
        <v>0</v>
      </c>
      <c r="D45" s="369"/>
    </row>
    <row r="46" spans="1:4">
      <c r="A46" s="362">
        <v>19</v>
      </c>
      <c r="B46" s="350" t="s">
        <v>726</v>
      </c>
      <c r="C46" s="622">
        <f>SUM(C47:C48)</f>
        <v>22426.6</v>
      </c>
      <c r="D46" s="370"/>
    </row>
    <row r="47" spans="1:4">
      <c r="A47" s="362">
        <v>19.100000000000001</v>
      </c>
      <c r="B47" s="371" t="s">
        <v>727</v>
      </c>
      <c r="C47" s="376">
        <f>'2. SOFP'!E48</f>
        <v>22426.6</v>
      </c>
      <c r="D47" s="370"/>
    </row>
    <row r="48" spans="1:4">
      <c r="A48" s="362">
        <v>19.2</v>
      </c>
      <c r="B48" s="371" t="s">
        <v>728</v>
      </c>
      <c r="C48" s="376">
        <f>'2. SOFP'!E49</f>
        <v>0</v>
      </c>
      <c r="D48" s="370"/>
    </row>
    <row r="49" spans="1:4">
      <c r="A49" s="362">
        <v>20</v>
      </c>
      <c r="B49" s="346" t="s">
        <v>90</v>
      </c>
      <c r="C49" s="376">
        <f>'2. SOFP'!E50</f>
        <v>0</v>
      </c>
      <c r="D49" s="370"/>
    </row>
    <row r="50" spans="1:4">
      <c r="A50" s="362">
        <v>21</v>
      </c>
      <c r="B50" s="347" t="s">
        <v>78</v>
      </c>
      <c r="C50" s="376">
        <f>'2. SOFP'!E51</f>
        <v>201964.86000000002</v>
      </c>
      <c r="D50" s="370"/>
    </row>
    <row r="51" spans="1:4">
      <c r="A51" s="362">
        <v>21.1</v>
      </c>
      <c r="B51" s="343" t="s">
        <v>729</v>
      </c>
      <c r="C51" s="376">
        <f>'2. SOFP'!E52</f>
        <v>0</v>
      </c>
      <c r="D51" s="370"/>
    </row>
    <row r="52" spans="1:4">
      <c r="A52" s="362">
        <v>22</v>
      </c>
      <c r="B52" s="346" t="s">
        <v>730</v>
      </c>
      <c r="C52" s="381">
        <f>SUM(C37,C39,C40,C45,C46,C49,C50)</f>
        <v>23257375.990000002</v>
      </c>
      <c r="D52" s="370"/>
    </row>
    <row r="53" spans="1:4">
      <c r="A53" s="362"/>
      <c r="B53" s="348" t="s">
        <v>731</v>
      </c>
      <c r="C53" s="370"/>
      <c r="D53" s="370"/>
    </row>
    <row r="54" spans="1:4">
      <c r="A54" s="362">
        <v>23</v>
      </c>
      <c r="B54" s="346" t="s">
        <v>94</v>
      </c>
      <c r="C54" s="376">
        <f>'2. SOFP'!E55</f>
        <v>8052000</v>
      </c>
      <c r="D54" s="370"/>
    </row>
    <row r="55" spans="1:4">
      <c r="A55" s="362">
        <v>24</v>
      </c>
      <c r="B55" s="346" t="s">
        <v>732</v>
      </c>
      <c r="C55" s="376">
        <f>'2. SOFP'!E56</f>
        <v>0</v>
      </c>
      <c r="D55" s="370"/>
    </row>
    <row r="56" spans="1:4">
      <c r="A56" s="362">
        <v>25</v>
      </c>
      <c r="B56" s="346" t="s">
        <v>91</v>
      </c>
      <c r="C56" s="376">
        <f>'2. SOFP'!E57</f>
        <v>0</v>
      </c>
      <c r="D56" s="370"/>
    </row>
    <row r="57" spans="1:4">
      <c r="A57" s="362">
        <v>26</v>
      </c>
      <c r="B57" s="350" t="s">
        <v>733</v>
      </c>
      <c r="C57" s="376">
        <f>'2. SOFP'!E58</f>
        <v>0</v>
      </c>
      <c r="D57" s="370"/>
    </row>
    <row r="58" spans="1:4">
      <c r="A58" s="362">
        <v>27</v>
      </c>
      <c r="B58" s="350" t="s">
        <v>734</v>
      </c>
      <c r="C58" s="623">
        <f>SUM(C59:C60)</f>
        <v>0</v>
      </c>
      <c r="D58" s="370"/>
    </row>
    <row r="59" spans="1:4">
      <c r="A59" s="362">
        <v>27.1</v>
      </c>
      <c r="B59" s="371" t="s">
        <v>735</v>
      </c>
      <c r="C59" s="376">
        <f>'2. SOFP'!E60</f>
        <v>0</v>
      </c>
      <c r="D59" s="370"/>
    </row>
    <row r="60" spans="1:4">
      <c r="A60" s="362">
        <v>27.2</v>
      </c>
      <c r="B60" s="368" t="s">
        <v>736</v>
      </c>
      <c r="C60" s="376">
        <f>'2. SOFP'!E61</f>
        <v>0</v>
      </c>
      <c r="D60" s="370"/>
    </row>
    <row r="61" spans="1:4">
      <c r="A61" s="362">
        <v>28</v>
      </c>
      <c r="B61" s="347" t="s">
        <v>737</v>
      </c>
      <c r="C61" s="376">
        <f>'2. SOFP'!E62</f>
        <v>0</v>
      </c>
      <c r="D61" s="370"/>
    </row>
    <row r="62" spans="1:4">
      <c r="A62" s="362">
        <v>29</v>
      </c>
      <c r="B62" s="350" t="s">
        <v>738</v>
      </c>
      <c r="C62" s="623">
        <f>SUM(C63:C65)</f>
        <v>0</v>
      </c>
      <c r="D62" s="370"/>
    </row>
    <row r="63" spans="1:4">
      <c r="A63" s="362">
        <v>29.1</v>
      </c>
      <c r="B63" s="372" t="s">
        <v>739</v>
      </c>
      <c r="C63" s="376">
        <f>'2. SOFP'!E64</f>
        <v>0</v>
      </c>
      <c r="D63" s="370"/>
    </row>
    <row r="64" spans="1:4" ht="24" customHeight="1">
      <c r="A64" s="362">
        <v>29.2</v>
      </c>
      <c r="B64" s="371" t="s">
        <v>740</v>
      </c>
      <c r="C64" s="376">
        <f>'2. SOFP'!E65</f>
        <v>0</v>
      </c>
      <c r="D64" s="370"/>
    </row>
    <row r="65" spans="1:4" ht="22.05" customHeight="1">
      <c r="A65" s="362">
        <v>29.3</v>
      </c>
      <c r="B65" s="373" t="s">
        <v>741</v>
      </c>
      <c r="C65" s="376">
        <f>'2. SOFP'!E66</f>
        <v>0</v>
      </c>
      <c r="D65" s="370"/>
    </row>
    <row r="66" spans="1:4">
      <c r="A66" s="362">
        <v>30</v>
      </c>
      <c r="B66" s="350" t="s">
        <v>92</v>
      </c>
      <c r="C66" s="376">
        <f>'2. SOFP'!E67</f>
        <v>-803203.23999999987</v>
      </c>
      <c r="D66" s="370"/>
    </row>
    <row r="67" spans="1:4">
      <c r="A67" s="362">
        <v>31</v>
      </c>
      <c r="B67" s="349" t="s">
        <v>742</v>
      </c>
      <c r="C67" s="381">
        <f>SUM(C54,C55,C56,C57,C58,C61,C62,C66)</f>
        <v>7248796.7599999998</v>
      </c>
      <c r="D67" s="370"/>
    </row>
    <row r="68" spans="1:4">
      <c r="A68" s="362">
        <v>32</v>
      </c>
      <c r="B68" s="350" t="s">
        <v>743</v>
      </c>
      <c r="C68" s="624">
        <f>SUM(C52,C67)</f>
        <v>30506172.75</v>
      </c>
      <c r="D68" s="37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P8" activePane="bottomRight" state="frozen"/>
      <selection pane="topRight" activeCell="C1" sqref="C1"/>
      <selection pane="bottomLeft" activeCell="A8" sqref="A8"/>
      <selection pane="bottomRight" activeCell="V17" sqref="V17"/>
    </sheetView>
  </sheetViews>
  <sheetFormatPr defaultColWidth="9.109375" defaultRowHeight="13.8"/>
  <cols>
    <col min="1" max="1" width="10.44140625" style="1" bestFit="1" customWidth="1"/>
    <col min="2" max="2" width="97" style="1" bestFit="1" customWidth="1"/>
    <col min="3" max="3" width="9.44140625" style="1" bestFit="1" customWidth="1"/>
    <col min="4" max="4" width="13.109375" style="1" bestFit="1" customWidth="1"/>
    <col min="5" max="5" width="9.44140625" style="1" bestFit="1" customWidth="1"/>
    <col min="6" max="6" width="13.109375" style="1" bestFit="1" customWidth="1"/>
    <col min="7" max="7" width="9.44140625" style="1" bestFit="1" customWidth="1"/>
    <col min="8" max="8" width="13.109375" style="1" bestFit="1" customWidth="1"/>
    <col min="9" max="9" width="9.44140625" style="1" bestFit="1" customWidth="1"/>
    <col min="10" max="10" width="13.109375" style="1" bestFit="1" customWidth="1"/>
    <col min="11" max="11" width="9.44140625" style="1" bestFit="1" customWidth="1"/>
    <col min="12" max="12" width="13.109375" style="1" bestFit="1" customWidth="1"/>
    <col min="13" max="13" width="9.44140625" style="1" bestFit="1" customWidth="1"/>
    <col min="14" max="14" width="13.109375" style="1" bestFit="1" customWidth="1"/>
    <col min="15" max="15" width="9.44140625" style="1" bestFit="1" customWidth="1"/>
    <col min="16" max="16" width="13.109375" style="1" bestFit="1" customWidth="1"/>
    <col min="17" max="17" width="9.44140625" style="1" bestFit="1" customWidth="1"/>
    <col min="18" max="18" width="13.109375" style="1" bestFit="1" customWidth="1"/>
    <col min="19" max="19" width="31.44140625" style="1" bestFit="1" customWidth="1"/>
    <col min="20" max="16384" width="9.109375" style="5"/>
  </cols>
  <sheetData>
    <row r="1" spans="1:19">
      <c r="A1" s="1" t="s">
        <v>97</v>
      </c>
      <c r="B1" s="1" t="str">
        <f>Info!C2</f>
        <v>სს პეივ ბანკ ჯორჯია</v>
      </c>
    </row>
    <row r="2" spans="1:19">
      <c r="A2" s="1" t="s">
        <v>98</v>
      </c>
      <c r="B2" s="260">
        <f>'1. key ratios'!B2</f>
        <v>45747</v>
      </c>
    </row>
    <row r="4" spans="1:19" ht="28.2" thickBot="1">
      <c r="A4" s="27" t="s">
        <v>248</v>
      </c>
      <c r="B4" s="157" t="s">
        <v>282</v>
      </c>
    </row>
    <row r="5" spans="1:19">
      <c r="A5" s="59"/>
      <c r="B5" s="60"/>
      <c r="C5" s="53" t="s">
        <v>0</v>
      </c>
      <c r="D5" s="53" t="s">
        <v>1</v>
      </c>
      <c r="E5" s="53" t="s">
        <v>2</v>
      </c>
      <c r="F5" s="53" t="s">
        <v>3</v>
      </c>
      <c r="G5" s="53" t="s">
        <v>4</v>
      </c>
      <c r="H5" s="53" t="s">
        <v>5</v>
      </c>
      <c r="I5" s="53" t="s">
        <v>134</v>
      </c>
      <c r="J5" s="53" t="s">
        <v>135</v>
      </c>
      <c r="K5" s="53" t="s">
        <v>136</v>
      </c>
      <c r="L5" s="53" t="s">
        <v>137</v>
      </c>
      <c r="M5" s="53" t="s">
        <v>138</v>
      </c>
      <c r="N5" s="53" t="s">
        <v>139</v>
      </c>
      <c r="O5" s="53" t="s">
        <v>269</v>
      </c>
      <c r="P5" s="53" t="s">
        <v>270</v>
      </c>
      <c r="Q5" s="53" t="s">
        <v>271</v>
      </c>
      <c r="R5" s="150" t="s">
        <v>272</v>
      </c>
      <c r="S5" s="54" t="s">
        <v>273</v>
      </c>
    </row>
    <row r="6" spans="1:19" ht="46.5" customHeight="1">
      <c r="A6" s="76"/>
      <c r="B6" s="764" t="s">
        <v>274</v>
      </c>
      <c r="C6" s="762">
        <v>0</v>
      </c>
      <c r="D6" s="763"/>
      <c r="E6" s="762">
        <v>0.2</v>
      </c>
      <c r="F6" s="763"/>
      <c r="G6" s="762">
        <v>0.35</v>
      </c>
      <c r="H6" s="763"/>
      <c r="I6" s="762">
        <v>0.5</v>
      </c>
      <c r="J6" s="763"/>
      <c r="K6" s="762">
        <v>0.75</v>
      </c>
      <c r="L6" s="763"/>
      <c r="M6" s="762">
        <v>1</v>
      </c>
      <c r="N6" s="763"/>
      <c r="O6" s="762">
        <v>1.5</v>
      </c>
      <c r="P6" s="763"/>
      <c r="Q6" s="762">
        <v>2.5</v>
      </c>
      <c r="R6" s="763"/>
      <c r="S6" s="760" t="s">
        <v>145</v>
      </c>
    </row>
    <row r="7" spans="1:19">
      <c r="A7" s="76"/>
      <c r="B7" s="765"/>
      <c r="C7" s="156" t="s">
        <v>267</v>
      </c>
      <c r="D7" s="156" t="s">
        <v>268</v>
      </c>
      <c r="E7" s="156" t="s">
        <v>267</v>
      </c>
      <c r="F7" s="156" t="s">
        <v>268</v>
      </c>
      <c r="G7" s="156" t="s">
        <v>267</v>
      </c>
      <c r="H7" s="156" t="s">
        <v>268</v>
      </c>
      <c r="I7" s="156" t="s">
        <v>267</v>
      </c>
      <c r="J7" s="156" t="s">
        <v>268</v>
      </c>
      <c r="K7" s="156" t="s">
        <v>267</v>
      </c>
      <c r="L7" s="156" t="s">
        <v>268</v>
      </c>
      <c r="M7" s="156" t="s">
        <v>267</v>
      </c>
      <c r="N7" s="156" t="s">
        <v>268</v>
      </c>
      <c r="O7" s="156" t="s">
        <v>267</v>
      </c>
      <c r="P7" s="156" t="s">
        <v>268</v>
      </c>
      <c r="Q7" s="156" t="s">
        <v>267</v>
      </c>
      <c r="R7" s="156" t="s">
        <v>268</v>
      </c>
      <c r="S7" s="761"/>
    </row>
    <row r="8" spans="1:19">
      <c r="A8" s="57">
        <v>1</v>
      </c>
      <c r="B8" s="84" t="s">
        <v>123</v>
      </c>
      <c r="C8" s="142">
        <v>0</v>
      </c>
      <c r="D8" s="142">
        <v>0</v>
      </c>
      <c r="E8" s="142">
        <v>0</v>
      </c>
      <c r="F8" s="151">
        <v>0</v>
      </c>
      <c r="G8" s="142">
        <v>0</v>
      </c>
      <c r="H8" s="142">
        <v>0</v>
      </c>
      <c r="I8" s="142">
        <v>0</v>
      </c>
      <c r="J8" s="142">
        <v>0</v>
      </c>
      <c r="K8" s="142">
        <v>0</v>
      </c>
      <c r="L8" s="142">
        <v>0</v>
      </c>
      <c r="M8" s="142">
        <v>17024432.120000001</v>
      </c>
      <c r="N8" s="142">
        <v>0</v>
      </c>
      <c r="O8" s="142">
        <v>0</v>
      </c>
      <c r="P8" s="142">
        <v>0</v>
      </c>
      <c r="Q8" s="142">
        <v>0</v>
      </c>
      <c r="R8" s="151">
        <v>0</v>
      </c>
      <c r="S8" s="160">
        <f>$C$6*SUM(C8:D8)+$E$6*SUM(E8:F8)+$G$6*SUM(G8:H8)+$I$6*SUM(I8:J8)+$K$6*SUM(K8:L8)+$M$6*SUM(M8:N8)+$O$6*SUM(O8:P8)+$Q$6*SUM(Q8:R8)</f>
        <v>17024432.120000001</v>
      </c>
    </row>
    <row r="9" spans="1:19">
      <c r="A9" s="57">
        <v>2</v>
      </c>
      <c r="B9" s="84" t="s">
        <v>124</v>
      </c>
      <c r="C9" s="142">
        <v>0</v>
      </c>
      <c r="D9" s="142">
        <v>0</v>
      </c>
      <c r="E9" s="142">
        <v>0</v>
      </c>
      <c r="F9" s="142">
        <v>0</v>
      </c>
      <c r="G9" s="142">
        <v>0</v>
      </c>
      <c r="H9" s="142">
        <v>0</v>
      </c>
      <c r="I9" s="142">
        <v>0</v>
      </c>
      <c r="J9" s="142">
        <v>0</v>
      </c>
      <c r="K9" s="142">
        <v>0</v>
      </c>
      <c r="L9" s="142">
        <v>0</v>
      </c>
      <c r="M9" s="142">
        <v>0</v>
      </c>
      <c r="N9" s="142">
        <v>0</v>
      </c>
      <c r="O9" s="142">
        <v>0</v>
      </c>
      <c r="P9" s="142">
        <v>0</v>
      </c>
      <c r="Q9" s="142">
        <v>0</v>
      </c>
      <c r="R9" s="151">
        <v>0</v>
      </c>
      <c r="S9" s="160">
        <f t="shared" ref="S9:S21" si="0">$C$6*SUM(C9:D9)+$E$6*SUM(E9:F9)+$G$6*SUM(G9:H9)+$I$6*SUM(I9:J9)+$K$6*SUM(K9:L9)+$M$6*SUM(M9:N9)+$O$6*SUM(O9:P9)+$Q$6*SUM(Q9:R9)</f>
        <v>0</v>
      </c>
    </row>
    <row r="10" spans="1:19">
      <c r="A10" s="57">
        <v>3</v>
      </c>
      <c r="B10" s="84" t="s">
        <v>125</v>
      </c>
      <c r="C10" s="142">
        <v>0</v>
      </c>
      <c r="D10" s="142">
        <v>0</v>
      </c>
      <c r="E10" s="142">
        <v>0</v>
      </c>
      <c r="F10" s="142">
        <v>0</v>
      </c>
      <c r="G10" s="142">
        <v>0</v>
      </c>
      <c r="H10" s="142">
        <v>0</v>
      </c>
      <c r="I10" s="142">
        <v>0</v>
      </c>
      <c r="J10" s="142">
        <v>0</v>
      </c>
      <c r="K10" s="142">
        <v>0</v>
      </c>
      <c r="L10" s="142">
        <v>0</v>
      </c>
      <c r="M10" s="142">
        <v>0</v>
      </c>
      <c r="N10" s="142">
        <v>0</v>
      </c>
      <c r="O10" s="142">
        <v>0</v>
      </c>
      <c r="P10" s="142">
        <v>0</v>
      </c>
      <c r="Q10" s="142">
        <v>0</v>
      </c>
      <c r="R10" s="151">
        <v>0</v>
      </c>
      <c r="S10" s="160">
        <f t="shared" si="0"/>
        <v>0</v>
      </c>
    </row>
    <row r="11" spans="1:19">
      <c r="A11" s="57">
        <v>4</v>
      </c>
      <c r="B11" s="84" t="s">
        <v>126</v>
      </c>
      <c r="C11" s="142">
        <v>0</v>
      </c>
      <c r="D11" s="142">
        <v>0</v>
      </c>
      <c r="E11" s="142">
        <v>0</v>
      </c>
      <c r="F11" s="142">
        <v>0</v>
      </c>
      <c r="G11" s="142">
        <v>0</v>
      </c>
      <c r="H11" s="142">
        <v>0</v>
      </c>
      <c r="I11" s="142">
        <v>0</v>
      </c>
      <c r="J11" s="142">
        <v>0</v>
      </c>
      <c r="K11" s="142">
        <v>0</v>
      </c>
      <c r="L11" s="142">
        <v>0</v>
      </c>
      <c r="M11" s="142">
        <v>0</v>
      </c>
      <c r="N11" s="142">
        <v>0</v>
      </c>
      <c r="O11" s="142">
        <v>0</v>
      </c>
      <c r="P11" s="142">
        <v>0</v>
      </c>
      <c r="Q11" s="142">
        <v>0</v>
      </c>
      <c r="R11" s="151">
        <v>0</v>
      </c>
      <c r="S11" s="160">
        <f t="shared" si="0"/>
        <v>0</v>
      </c>
    </row>
    <row r="12" spans="1:19">
      <c r="A12" s="57">
        <v>5</v>
      </c>
      <c r="B12" s="84" t="s">
        <v>912</v>
      </c>
      <c r="C12" s="142">
        <v>0</v>
      </c>
      <c r="D12" s="142">
        <v>0</v>
      </c>
      <c r="E12" s="142">
        <v>0</v>
      </c>
      <c r="F12" s="142">
        <v>0</v>
      </c>
      <c r="G12" s="142">
        <v>0</v>
      </c>
      <c r="H12" s="142">
        <v>0</v>
      </c>
      <c r="I12" s="142">
        <v>0</v>
      </c>
      <c r="J12" s="142">
        <v>0</v>
      </c>
      <c r="K12" s="142">
        <v>0</v>
      </c>
      <c r="L12" s="142">
        <v>0</v>
      </c>
      <c r="M12" s="142">
        <v>0</v>
      </c>
      <c r="N12" s="142">
        <v>0</v>
      </c>
      <c r="O12" s="142">
        <v>0</v>
      </c>
      <c r="P12" s="142">
        <v>0</v>
      </c>
      <c r="Q12" s="142">
        <v>0</v>
      </c>
      <c r="R12" s="151">
        <v>0</v>
      </c>
      <c r="S12" s="160">
        <f t="shared" si="0"/>
        <v>0</v>
      </c>
    </row>
    <row r="13" spans="1:19">
      <c r="A13" s="57">
        <v>6</v>
      </c>
      <c r="B13" s="84" t="s">
        <v>127</v>
      </c>
      <c r="C13" s="142">
        <v>0</v>
      </c>
      <c r="D13" s="142">
        <v>0</v>
      </c>
      <c r="E13" s="142">
        <v>8920164.9499999974</v>
      </c>
      <c r="F13" s="142">
        <v>0</v>
      </c>
      <c r="G13" s="142">
        <v>0</v>
      </c>
      <c r="H13" s="142">
        <v>0</v>
      </c>
      <c r="I13" s="142">
        <v>3949354.8200000003</v>
      </c>
      <c r="J13" s="142">
        <v>0</v>
      </c>
      <c r="K13" s="142">
        <v>0</v>
      </c>
      <c r="L13" s="142">
        <v>0</v>
      </c>
      <c r="M13" s="142">
        <v>132881.76999999999</v>
      </c>
      <c r="N13" s="142">
        <v>0</v>
      </c>
      <c r="O13" s="142">
        <v>0</v>
      </c>
      <c r="P13" s="142">
        <v>0</v>
      </c>
      <c r="Q13" s="142">
        <v>0</v>
      </c>
      <c r="R13" s="151">
        <v>0</v>
      </c>
      <c r="S13" s="160">
        <f t="shared" si="0"/>
        <v>3891592.1699999995</v>
      </c>
    </row>
    <row r="14" spans="1:19">
      <c r="A14" s="57">
        <v>7</v>
      </c>
      <c r="B14" s="84" t="s">
        <v>71</v>
      </c>
      <c r="C14" s="142">
        <v>0</v>
      </c>
      <c r="D14" s="142">
        <v>0</v>
      </c>
      <c r="E14" s="142">
        <v>0</v>
      </c>
      <c r="F14" s="142">
        <v>0</v>
      </c>
      <c r="G14" s="142">
        <v>0</v>
      </c>
      <c r="H14" s="142">
        <v>0</v>
      </c>
      <c r="I14" s="142">
        <v>0</v>
      </c>
      <c r="J14" s="142">
        <v>0</v>
      </c>
      <c r="K14" s="142">
        <v>0</v>
      </c>
      <c r="L14" s="142">
        <v>0</v>
      </c>
      <c r="M14" s="142">
        <v>0</v>
      </c>
      <c r="N14" s="142">
        <v>0</v>
      </c>
      <c r="O14" s="142">
        <v>0</v>
      </c>
      <c r="P14" s="142">
        <v>0</v>
      </c>
      <c r="Q14" s="142">
        <v>0</v>
      </c>
      <c r="R14" s="151">
        <v>0</v>
      </c>
      <c r="S14" s="160">
        <f t="shared" si="0"/>
        <v>0</v>
      </c>
    </row>
    <row r="15" spans="1:19">
      <c r="A15" s="57">
        <v>8</v>
      </c>
      <c r="B15" s="84" t="s">
        <v>72</v>
      </c>
      <c r="C15" s="142">
        <v>0</v>
      </c>
      <c r="D15" s="142">
        <v>0</v>
      </c>
      <c r="E15" s="142">
        <v>0</v>
      </c>
      <c r="F15" s="142">
        <v>0</v>
      </c>
      <c r="G15" s="142">
        <v>0</v>
      </c>
      <c r="H15" s="142">
        <v>0</v>
      </c>
      <c r="I15" s="142">
        <v>0</v>
      </c>
      <c r="J15" s="142">
        <v>0</v>
      </c>
      <c r="K15" s="142">
        <v>0</v>
      </c>
      <c r="L15" s="142">
        <v>0</v>
      </c>
      <c r="M15" s="142">
        <v>0</v>
      </c>
      <c r="N15" s="142">
        <v>0</v>
      </c>
      <c r="O15" s="142">
        <v>0</v>
      </c>
      <c r="P15" s="142">
        <v>0</v>
      </c>
      <c r="Q15" s="142">
        <v>0</v>
      </c>
      <c r="R15" s="151">
        <v>0</v>
      </c>
      <c r="S15" s="160">
        <f t="shared" si="0"/>
        <v>0</v>
      </c>
    </row>
    <row r="16" spans="1:19">
      <c r="A16" s="57">
        <v>9</v>
      </c>
      <c r="B16" s="84" t="s">
        <v>913</v>
      </c>
      <c r="C16" s="142">
        <v>0</v>
      </c>
      <c r="D16" s="142">
        <v>0</v>
      </c>
      <c r="E16" s="142">
        <v>0</v>
      </c>
      <c r="F16" s="142">
        <v>0</v>
      </c>
      <c r="G16" s="142">
        <v>0</v>
      </c>
      <c r="H16" s="142">
        <v>0</v>
      </c>
      <c r="I16" s="142">
        <v>0</v>
      </c>
      <c r="J16" s="142">
        <v>0</v>
      </c>
      <c r="K16" s="142">
        <v>0</v>
      </c>
      <c r="L16" s="142">
        <v>0</v>
      </c>
      <c r="M16" s="142">
        <v>0</v>
      </c>
      <c r="N16" s="142">
        <v>0</v>
      </c>
      <c r="O16" s="142">
        <v>0</v>
      </c>
      <c r="P16" s="142">
        <v>0</v>
      </c>
      <c r="Q16" s="142">
        <v>0</v>
      </c>
      <c r="R16" s="151">
        <v>0</v>
      </c>
      <c r="S16" s="160">
        <f t="shared" si="0"/>
        <v>0</v>
      </c>
    </row>
    <row r="17" spans="1:19">
      <c r="A17" s="57">
        <v>10</v>
      </c>
      <c r="B17" s="84" t="s">
        <v>67</v>
      </c>
      <c r="C17" s="142">
        <v>0</v>
      </c>
      <c r="D17" s="142">
        <v>0</v>
      </c>
      <c r="E17" s="142">
        <v>0</v>
      </c>
      <c r="F17" s="142">
        <v>0</v>
      </c>
      <c r="G17" s="142">
        <v>0</v>
      </c>
      <c r="H17" s="142">
        <v>0</v>
      </c>
      <c r="I17" s="142">
        <v>0</v>
      </c>
      <c r="J17" s="142">
        <v>0</v>
      </c>
      <c r="K17" s="142">
        <v>0</v>
      </c>
      <c r="L17" s="142">
        <v>0</v>
      </c>
      <c r="M17" s="142">
        <v>0</v>
      </c>
      <c r="N17" s="142">
        <v>0</v>
      </c>
      <c r="O17" s="142">
        <v>0</v>
      </c>
      <c r="P17" s="142">
        <v>0</v>
      </c>
      <c r="Q17" s="142">
        <v>0</v>
      </c>
      <c r="R17" s="151">
        <v>0</v>
      </c>
      <c r="S17" s="160">
        <f t="shared" si="0"/>
        <v>0</v>
      </c>
    </row>
    <row r="18" spans="1:19">
      <c r="A18" s="57">
        <v>11</v>
      </c>
      <c r="B18" s="84" t="s">
        <v>68</v>
      </c>
      <c r="C18" s="142">
        <v>0</v>
      </c>
      <c r="D18" s="142">
        <v>0</v>
      </c>
      <c r="E18" s="142">
        <v>0</v>
      </c>
      <c r="F18" s="142">
        <v>0</v>
      </c>
      <c r="G18" s="142">
        <v>0</v>
      </c>
      <c r="H18" s="142">
        <v>0</v>
      </c>
      <c r="I18" s="142">
        <v>0</v>
      </c>
      <c r="J18" s="142">
        <v>0</v>
      </c>
      <c r="K18" s="142">
        <v>0</v>
      </c>
      <c r="L18" s="142">
        <v>0</v>
      </c>
      <c r="M18" s="142">
        <v>0</v>
      </c>
      <c r="N18" s="142">
        <v>0</v>
      </c>
      <c r="O18" s="142">
        <v>0</v>
      </c>
      <c r="P18" s="142">
        <v>0</v>
      </c>
      <c r="Q18" s="142">
        <v>0</v>
      </c>
      <c r="R18" s="151">
        <v>0</v>
      </c>
      <c r="S18" s="160">
        <f t="shared" si="0"/>
        <v>0</v>
      </c>
    </row>
    <row r="19" spans="1:19">
      <c r="A19" s="57">
        <v>12</v>
      </c>
      <c r="B19" s="84" t="s">
        <v>69</v>
      </c>
      <c r="C19" s="142">
        <v>0</v>
      </c>
      <c r="D19" s="142">
        <v>0</v>
      </c>
      <c r="E19" s="142">
        <v>0</v>
      </c>
      <c r="F19" s="142">
        <v>0</v>
      </c>
      <c r="G19" s="142">
        <v>0</v>
      </c>
      <c r="H19" s="142">
        <v>0</v>
      </c>
      <c r="I19" s="142">
        <v>0</v>
      </c>
      <c r="J19" s="142">
        <v>0</v>
      </c>
      <c r="K19" s="142">
        <v>0</v>
      </c>
      <c r="L19" s="142">
        <v>0</v>
      </c>
      <c r="M19" s="142">
        <v>0</v>
      </c>
      <c r="N19" s="142">
        <v>0</v>
      </c>
      <c r="O19" s="142">
        <v>0</v>
      </c>
      <c r="P19" s="142">
        <v>0</v>
      </c>
      <c r="Q19" s="142">
        <v>0</v>
      </c>
      <c r="R19" s="151">
        <v>0</v>
      </c>
      <c r="S19" s="160">
        <f t="shared" si="0"/>
        <v>0</v>
      </c>
    </row>
    <row r="20" spans="1:19">
      <c r="A20" s="57">
        <v>13</v>
      </c>
      <c r="B20" s="84" t="s">
        <v>70</v>
      </c>
      <c r="C20" s="142">
        <v>0</v>
      </c>
      <c r="D20" s="142">
        <v>0</v>
      </c>
      <c r="E20" s="142">
        <v>0</v>
      </c>
      <c r="F20" s="142">
        <v>0</v>
      </c>
      <c r="G20" s="142">
        <v>0</v>
      </c>
      <c r="H20" s="142">
        <v>0</v>
      </c>
      <c r="I20" s="142">
        <v>0</v>
      </c>
      <c r="J20" s="142">
        <v>0</v>
      </c>
      <c r="K20" s="142">
        <v>0</v>
      </c>
      <c r="L20" s="142">
        <v>0</v>
      </c>
      <c r="M20" s="142">
        <v>0</v>
      </c>
      <c r="N20" s="142">
        <v>0</v>
      </c>
      <c r="O20" s="142">
        <v>0</v>
      </c>
      <c r="P20" s="142">
        <v>0</v>
      </c>
      <c r="Q20" s="142">
        <v>0</v>
      </c>
      <c r="R20" s="151">
        <v>0</v>
      </c>
      <c r="S20" s="160">
        <f t="shared" si="0"/>
        <v>0</v>
      </c>
    </row>
    <row r="21" spans="1:19">
      <c r="A21" s="57">
        <v>14</v>
      </c>
      <c r="B21" s="84" t="s">
        <v>143</v>
      </c>
      <c r="C21" s="142">
        <v>0</v>
      </c>
      <c r="D21" s="142">
        <v>0</v>
      </c>
      <c r="E21" s="142">
        <v>0</v>
      </c>
      <c r="F21" s="142">
        <v>0</v>
      </c>
      <c r="G21" s="142">
        <v>0</v>
      </c>
      <c r="H21" s="142">
        <v>0</v>
      </c>
      <c r="I21" s="142">
        <v>0</v>
      </c>
      <c r="J21" s="142">
        <v>0</v>
      </c>
      <c r="K21" s="142">
        <v>0</v>
      </c>
      <c r="L21" s="142">
        <v>0</v>
      </c>
      <c r="M21" s="142">
        <v>220233.29000000004</v>
      </c>
      <c r="N21" s="142">
        <v>0</v>
      </c>
      <c r="O21" s="142">
        <v>0</v>
      </c>
      <c r="P21" s="142">
        <v>0</v>
      </c>
      <c r="Q21" s="142">
        <v>0</v>
      </c>
      <c r="R21" s="151">
        <v>0</v>
      </c>
      <c r="S21" s="160">
        <f t="shared" si="0"/>
        <v>220233.29000000004</v>
      </c>
    </row>
    <row r="22" spans="1:19" ht="14.4" thickBot="1">
      <c r="A22" s="51"/>
      <c r="B22" s="80" t="s">
        <v>66</v>
      </c>
      <c r="C22" s="143">
        <f>SUM(C8:C21)</f>
        <v>0</v>
      </c>
      <c r="D22" s="143">
        <f t="shared" ref="D22:S22" si="1">SUM(D8:D21)</f>
        <v>0</v>
      </c>
      <c r="E22" s="143">
        <f t="shared" si="1"/>
        <v>8920164.9499999974</v>
      </c>
      <c r="F22" s="143">
        <f t="shared" si="1"/>
        <v>0</v>
      </c>
      <c r="G22" s="143">
        <f t="shared" si="1"/>
        <v>0</v>
      </c>
      <c r="H22" s="143">
        <f t="shared" si="1"/>
        <v>0</v>
      </c>
      <c r="I22" s="143">
        <f t="shared" si="1"/>
        <v>3949354.8200000003</v>
      </c>
      <c r="J22" s="143">
        <f t="shared" si="1"/>
        <v>0</v>
      </c>
      <c r="K22" s="143">
        <f t="shared" si="1"/>
        <v>0</v>
      </c>
      <c r="L22" s="143">
        <f t="shared" si="1"/>
        <v>0</v>
      </c>
      <c r="M22" s="143">
        <f t="shared" si="1"/>
        <v>17377547.18</v>
      </c>
      <c r="N22" s="143">
        <f t="shared" si="1"/>
        <v>0</v>
      </c>
      <c r="O22" s="143">
        <f t="shared" si="1"/>
        <v>0</v>
      </c>
      <c r="P22" s="143">
        <f t="shared" si="1"/>
        <v>0</v>
      </c>
      <c r="Q22" s="143">
        <f t="shared" si="1"/>
        <v>0</v>
      </c>
      <c r="R22" s="143">
        <f t="shared" si="1"/>
        <v>0</v>
      </c>
      <c r="S22" s="161">
        <f t="shared" si="1"/>
        <v>21136257.579999998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S7" activePane="bottomRight" state="frozen"/>
      <selection pane="topRight" activeCell="C1" sqref="C1"/>
      <selection pane="bottomLeft" activeCell="A6" sqref="A6"/>
      <selection pane="bottomRight" activeCell="S26" sqref="S26"/>
    </sheetView>
  </sheetViews>
  <sheetFormatPr defaultColWidth="9.109375" defaultRowHeight="13.8"/>
  <cols>
    <col min="1" max="1" width="10.44140625" style="1" bestFit="1" customWidth="1"/>
    <col min="2" max="2" width="97" style="1" bestFit="1" customWidth="1"/>
    <col min="3" max="3" width="19" style="1" customWidth="1"/>
    <col min="4" max="4" width="19.44140625" style="1" customWidth="1"/>
    <col min="5" max="5" width="31.109375" style="1" customWidth="1"/>
    <col min="6" max="6" width="29.109375" style="1" customWidth="1"/>
    <col min="7" max="7" width="28.44140625" style="1" customWidth="1"/>
    <col min="8" max="8" width="26.44140625" style="1" customWidth="1"/>
    <col min="9" max="9" width="23.88671875" style="1" customWidth="1"/>
    <col min="10" max="10" width="21.44140625" style="1" customWidth="1"/>
    <col min="11" max="11" width="15.88671875" style="1" customWidth="1"/>
    <col min="12" max="12" width="13.109375" style="1" customWidth="1"/>
    <col min="13" max="13" width="20.88671875" style="1" customWidth="1"/>
    <col min="14" max="14" width="19.109375" style="1" customWidth="1"/>
    <col min="15" max="15" width="18.44140625" style="1" customWidth="1"/>
    <col min="16" max="16" width="19" style="1" customWidth="1"/>
    <col min="17" max="17" width="20.10937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5"/>
  </cols>
  <sheetData>
    <row r="1" spans="1:22">
      <c r="A1" s="1" t="s">
        <v>97</v>
      </c>
      <c r="B1" s="1" t="str">
        <f>Info!C2</f>
        <v>სს პეივ ბანკ ჯორჯია</v>
      </c>
    </row>
    <row r="2" spans="1:22">
      <c r="A2" s="1" t="s">
        <v>98</v>
      </c>
      <c r="B2" s="260">
        <f>'1. key ratios'!B2</f>
        <v>45747</v>
      </c>
    </row>
    <row r="4" spans="1:22" ht="28.2" thickBot="1">
      <c r="A4" s="1" t="s">
        <v>249</v>
      </c>
      <c r="B4" s="157" t="s">
        <v>283</v>
      </c>
      <c r="V4" s="110" t="s">
        <v>76</v>
      </c>
    </row>
    <row r="5" spans="1:22">
      <c r="A5" s="49"/>
      <c r="B5" s="50"/>
      <c r="C5" s="766" t="s">
        <v>105</v>
      </c>
      <c r="D5" s="767"/>
      <c r="E5" s="767"/>
      <c r="F5" s="767"/>
      <c r="G5" s="767"/>
      <c r="H5" s="767"/>
      <c r="I5" s="767"/>
      <c r="J5" s="767"/>
      <c r="K5" s="767"/>
      <c r="L5" s="768"/>
      <c r="M5" s="766" t="s">
        <v>106</v>
      </c>
      <c r="N5" s="767"/>
      <c r="O5" s="767"/>
      <c r="P5" s="767"/>
      <c r="Q5" s="767"/>
      <c r="R5" s="767"/>
      <c r="S5" s="768"/>
      <c r="T5" s="771" t="s">
        <v>281</v>
      </c>
      <c r="U5" s="771" t="s">
        <v>280</v>
      </c>
      <c r="V5" s="769" t="s">
        <v>107</v>
      </c>
    </row>
    <row r="6" spans="1:22" s="27" customFormat="1" ht="138">
      <c r="A6" s="55"/>
      <c r="B6" s="86"/>
      <c r="C6" s="47" t="s">
        <v>108</v>
      </c>
      <c r="D6" s="46" t="s">
        <v>109</v>
      </c>
      <c r="E6" s="44" t="s">
        <v>110</v>
      </c>
      <c r="F6" s="44" t="s">
        <v>275</v>
      </c>
      <c r="G6" s="46" t="s">
        <v>111</v>
      </c>
      <c r="H6" s="46" t="s">
        <v>112</v>
      </c>
      <c r="I6" s="46" t="s">
        <v>113</v>
      </c>
      <c r="J6" s="46" t="s">
        <v>142</v>
      </c>
      <c r="K6" s="46" t="s">
        <v>114</v>
      </c>
      <c r="L6" s="48" t="s">
        <v>115</v>
      </c>
      <c r="M6" s="47" t="s">
        <v>116</v>
      </c>
      <c r="N6" s="46" t="s">
        <v>117</v>
      </c>
      <c r="O6" s="46" t="s">
        <v>118</v>
      </c>
      <c r="P6" s="46" t="s">
        <v>119</v>
      </c>
      <c r="Q6" s="46" t="s">
        <v>120</v>
      </c>
      <c r="R6" s="46" t="s">
        <v>121</v>
      </c>
      <c r="S6" s="48" t="s">
        <v>122</v>
      </c>
      <c r="T6" s="772"/>
      <c r="U6" s="772"/>
      <c r="V6" s="770"/>
    </row>
    <row r="7" spans="1:22">
      <c r="A7" s="79">
        <v>1</v>
      </c>
      <c r="B7" s="84" t="s">
        <v>123</v>
      </c>
      <c r="C7" s="144"/>
      <c r="D7" s="142"/>
      <c r="E7" s="142"/>
      <c r="F7" s="142"/>
      <c r="G7" s="142"/>
      <c r="H7" s="142"/>
      <c r="I7" s="142"/>
      <c r="J7" s="142"/>
      <c r="K7" s="142"/>
      <c r="L7" s="145"/>
      <c r="M7" s="144"/>
      <c r="N7" s="142"/>
      <c r="O7" s="142"/>
      <c r="P7" s="142"/>
      <c r="Q7" s="142"/>
      <c r="R7" s="142"/>
      <c r="S7" s="145"/>
      <c r="T7" s="154"/>
      <c r="U7" s="153"/>
      <c r="V7" s="146">
        <f>SUM(C7:S7)</f>
        <v>0</v>
      </c>
    </row>
    <row r="8" spans="1:22">
      <c r="A8" s="79">
        <v>2</v>
      </c>
      <c r="B8" s="84" t="s">
        <v>124</v>
      </c>
      <c r="C8" s="144"/>
      <c r="D8" s="142"/>
      <c r="E8" s="142"/>
      <c r="F8" s="142"/>
      <c r="G8" s="142"/>
      <c r="H8" s="142"/>
      <c r="I8" s="142"/>
      <c r="J8" s="142"/>
      <c r="K8" s="142"/>
      <c r="L8" s="145"/>
      <c r="M8" s="144"/>
      <c r="N8" s="142"/>
      <c r="O8" s="142"/>
      <c r="P8" s="142"/>
      <c r="Q8" s="142"/>
      <c r="R8" s="142"/>
      <c r="S8" s="145"/>
      <c r="T8" s="153"/>
      <c r="U8" s="153"/>
      <c r="V8" s="146">
        <f t="shared" ref="V8:V20" si="0">SUM(C8:S8)</f>
        <v>0</v>
      </c>
    </row>
    <row r="9" spans="1:22">
      <c r="A9" s="79">
        <v>3</v>
      </c>
      <c r="B9" s="84" t="s">
        <v>125</v>
      </c>
      <c r="C9" s="144"/>
      <c r="D9" s="142"/>
      <c r="E9" s="142"/>
      <c r="F9" s="142"/>
      <c r="G9" s="142"/>
      <c r="H9" s="142"/>
      <c r="I9" s="142"/>
      <c r="J9" s="142"/>
      <c r="K9" s="142"/>
      <c r="L9" s="145"/>
      <c r="M9" s="144"/>
      <c r="N9" s="142"/>
      <c r="O9" s="142"/>
      <c r="P9" s="142"/>
      <c r="Q9" s="142"/>
      <c r="R9" s="142"/>
      <c r="S9" s="145"/>
      <c r="T9" s="153"/>
      <c r="U9" s="153"/>
      <c r="V9" s="146">
        <f>SUM(C9:S9)</f>
        <v>0</v>
      </c>
    </row>
    <row r="10" spans="1:22">
      <c r="A10" s="79">
        <v>4</v>
      </c>
      <c r="B10" s="84" t="s">
        <v>126</v>
      </c>
      <c r="C10" s="144"/>
      <c r="D10" s="142"/>
      <c r="E10" s="142"/>
      <c r="F10" s="142"/>
      <c r="G10" s="142"/>
      <c r="H10" s="142"/>
      <c r="I10" s="142"/>
      <c r="J10" s="142"/>
      <c r="K10" s="142"/>
      <c r="L10" s="145"/>
      <c r="M10" s="144"/>
      <c r="N10" s="142"/>
      <c r="O10" s="142"/>
      <c r="P10" s="142"/>
      <c r="Q10" s="142"/>
      <c r="R10" s="142"/>
      <c r="S10" s="145"/>
      <c r="T10" s="153"/>
      <c r="U10" s="153"/>
      <c r="V10" s="146">
        <f t="shared" si="0"/>
        <v>0</v>
      </c>
    </row>
    <row r="11" spans="1:22">
      <c r="A11" s="79">
        <v>5</v>
      </c>
      <c r="B11" s="84" t="s">
        <v>912</v>
      </c>
      <c r="C11" s="144"/>
      <c r="D11" s="142"/>
      <c r="E11" s="142"/>
      <c r="F11" s="142"/>
      <c r="G11" s="142"/>
      <c r="H11" s="142"/>
      <c r="I11" s="142"/>
      <c r="J11" s="142"/>
      <c r="K11" s="142"/>
      <c r="L11" s="145"/>
      <c r="M11" s="144"/>
      <c r="N11" s="142"/>
      <c r="O11" s="142"/>
      <c r="P11" s="142"/>
      <c r="Q11" s="142"/>
      <c r="R11" s="142"/>
      <c r="S11" s="145"/>
      <c r="T11" s="153"/>
      <c r="U11" s="153"/>
      <c r="V11" s="146">
        <f t="shared" si="0"/>
        <v>0</v>
      </c>
    </row>
    <row r="12" spans="1:22">
      <c r="A12" s="79">
        <v>6</v>
      </c>
      <c r="B12" s="84" t="s">
        <v>127</v>
      </c>
      <c r="C12" s="144"/>
      <c r="D12" s="142"/>
      <c r="E12" s="142"/>
      <c r="F12" s="142"/>
      <c r="G12" s="142"/>
      <c r="H12" s="142"/>
      <c r="I12" s="142"/>
      <c r="J12" s="142"/>
      <c r="K12" s="142"/>
      <c r="L12" s="145"/>
      <c r="M12" s="144"/>
      <c r="N12" s="142"/>
      <c r="O12" s="142"/>
      <c r="P12" s="142"/>
      <c r="Q12" s="142"/>
      <c r="R12" s="142"/>
      <c r="S12" s="145"/>
      <c r="T12" s="153"/>
      <c r="U12" s="153"/>
      <c r="V12" s="146">
        <f t="shared" si="0"/>
        <v>0</v>
      </c>
    </row>
    <row r="13" spans="1:22">
      <c r="A13" s="79">
        <v>7</v>
      </c>
      <c r="B13" s="84" t="s">
        <v>71</v>
      </c>
      <c r="C13" s="144"/>
      <c r="D13" s="142"/>
      <c r="E13" s="142"/>
      <c r="F13" s="142"/>
      <c r="G13" s="142"/>
      <c r="H13" s="142"/>
      <c r="I13" s="142"/>
      <c r="J13" s="142"/>
      <c r="K13" s="142"/>
      <c r="L13" s="145"/>
      <c r="M13" s="144"/>
      <c r="N13" s="142"/>
      <c r="O13" s="142"/>
      <c r="P13" s="142"/>
      <c r="Q13" s="142"/>
      <c r="R13" s="142"/>
      <c r="S13" s="145"/>
      <c r="T13" s="153"/>
      <c r="U13" s="153"/>
      <c r="V13" s="146">
        <f t="shared" si="0"/>
        <v>0</v>
      </c>
    </row>
    <row r="14" spans="1:22">
      <c r="A14" s="79">
        <v>8</v>
      </c>
      <c r="B14" s="84" t="s">
        <v>72</v>
      </c>
      <c r="C14" s="144"/>
      <c r="D14" s="142"/>
      <c r="E14" s="142"/>
      <c r="F14" s="142"/>
      <c r="G14" s="142"/>
      <c r="H14" s="142"/>
      <c r="I14" s="142"/>
      <c r="J14" s="142"/>
      <c r="K14" s="142"/>
      <c r="L14" s="145"/>
      <c r="M14" s="144"/>
      <c r="N14" s="142"/>
      <c r="O14" s="142"/>
      <c r="P14" s="142"/>
      <c r="Q14" s="142"/>
      <c r="R14" s="142"/>
      <c r="S14" s="145"/>
      <c r="T14" s="153"/>
      <c r="U14" s="153"/>
      <c r="V14" s="146">
        <f t="shared" si="0"/>
        <v>0</v>
      </c>
    </row>
    <row r="15" spans="1:22">
      <c r="A15" s="79">
        <v>9</v>
      </c>
      <c r="B15" s="84" t="s">
        <v>913</v>
      </c>
      <c r="C15" s="144"/>
      <c r="D15" s="142"/>
      <c r="E15" s="142"/>
      <c r="F15" s="142"/>
      <c r="G15" s="142"/>
      <c r="H15" s="142"/>
      <c r="I15" s="142"/>
      <c r="J15" s="142"/>
      <c r="K15" s="142"/>
      <c r="L15" s="145"/>
      <c r="M15" s="144"/>
      <c r="N15" s="142"/>
      <c r="O15" s="142"/>
      <c r="P15" s="142"/>
      <c r="Q15" s="142"/>
      <c r="R15" s="142"/>
      <c r="S15" s="145"/>
      <c r="T15" s="153"/>
      <c r="U15" s="153"/>
      <c r="V15" s="146">
        <f t="shared" si="0"/>
        <v>0</v>
      </c>
    </row>
    <row r="16" spans="1:22">
      <c r="A16" s="79">
        <v>10</v>
      </c>
      <c r="B16" s="84" t="s">
        <v>67</v>
      </c>
      <c r="C16" s="144"/>
      <c r="D16" s="142"/>
      <c r="E16" s="142"/>
      <c r="F16" s="142"/>
      <c r="G16" s="142"/>
      <c r="H16" s="142"/>
      <c r="I16" s="142"/>
      <c r="J16" s="142"/>
      <c r="K16" s="142"/>
      <c r="L16" s="145"/>
      <c r="M16" s="144"/>
      <c r="N16" s="142"/>
      <c r="O16" s="142"/>
      <c r="P16" s="142"/>
      <c r="Q16" s="142"/>
      <c r="R16" s="142"/>
      <c r="S16" s="145"/>
      <c r="T16" s="153"/>
      <c r="U16" s="153"/>
      <c r="V16" s="146">
        <f t="shared" si="0"/>
        <v>0</v>
      </c>
    </row>
    <row r="17" spans="1:22">
      <c r="A17" s="79">
        <v>11</v>
      </c>
      <c r="B17" s="84" t="s">
        <v>68</v>
      </c>
      <c r="C17" s="144"/>
      <c r="D17" s="142"/>
      <c r="E17" s="142"/>
      <c r="F17" s="142"/>
      <c r="G17" s="142"/>
      <c r="H17" s="142"/>
      <c r="I17" s="142"/>
      <c r="J17" s="142"/>
      <c r="K17" s="142"/>
      <c r="L17" s="145"/>
      <c r="M17" s="144"/>
      <c r="N17" s="142"/>
      <c r="O17" s="142"/>
      <c r="P17" s="142"/>
      <c r="Q17" s="142"/>
      <c r="R17" s="142"/>
      <c r="S17" s="145"/>
      <c r="T17" s="153"/>
      <c r="U17" s="153"/>
      <c r="V17" s="146">
        <f t="shared" si="0"/>
        <v>0</v>
      </c>
    </row>
    <row r="18" spans="1:22">
      <c r="A18" s="79">
        <v>12</v>
      </c>
      <c r="B18" s="84" t="s">
        <v>69</v>
      </c>
      <c r="C18" s="144"/>
      <c r="D18" s="142"/>
      <c r="E18" s="142"/>
      <c r="F18" s="142"/>
      <c r="G18" s="142"/>
      <c r="H18" s="142"/>
      <c r="I18" s="142"/>
      <c r="J18" s="142"/>
      <c r="K18" s="142"/>
      <c r="L18" s="145"/>
      <c r="M18" s="144"/>
      <c r="N18" s="142"/>
      <c r="O18" s="142"/>
      <c r="P18" s="142"/>
      <c r="Q18" s="142"/>
      <c r="R18" s="142"/>
      <c r="S18" s="145"/>
      <c r="T18" s="153"/>
      <c r="U18" s="153"/>
      <c r="V18" s="146">
        <f t="shared" si="0"/>
        <v>0</v>
      </c>
    </row>
    <row r="19" spans="1:22">
      <c r="A19" s="79">
        <v>13</v>
      </c>
      <c r="B19" s="84" t="s">
        <v>70</v>
      </c>
      <c r="C19" s="144"/>
      <c r="D19" s="142"/>
      <c r="E19" s="142"/>
      <c r="F19" s="142"/>
      <c r="G19" s="142"/>
      <c r="H19" s="142"/>
      <c r="I19" s="142"/>
      <c r="J19" s="142"/>
      <c r="K19" s="142"/>
      <c r="L19" s="145"/>
      <c r="M19" s="144"/>
      <c r="N19" s="142"/>
      <c r="O19" s="142"/>
      <c r="P19" s="142"/>
      <c r="Q19" s="142"/>
      <c r="R19" s="142"/>
      <c r="S19" s="145"/>
      <c r="T19" s="153"/>
      <c r="U19" s="153"/>
      <c r="V19" s="146">
        <f t="shared" si="0"/>
        <v>0</v>
      </c>
    </row>
    <row r="20" spans="1:22">
      <c r="A20" s="79">
        <v>14</v>
      </c>
      <c r="B20" s="84" t="s">
        <v>143</v>
      </c>
      <c r="C20" s="144"/>
      <c r="D20" s="142"/>
      <c r="E20" s="142"/>
      <c r="F20" s="142"/>
      <c r="G20" s="142"/>
      <c r="H20" s="142"/>
      <c r="I20" s="142"/>
      <c r="J20" s="142"/>
      <c r="K20" s="142"/>
      <c r="L20" s="145"/>
      <c r="M20" s="144"/>
      <c r="N20" s="142"/>
      <c r="O20" s="142"/>
      <c r="P20" s="142"/>
      <c r="Q20" s="142"/>
      <c r="R20" s="142"/>
      <c r="S20" s="145"/>
      <c r="T20" s="153"/>
      <c r="U20" s="153"/>
      <c r="V20" s="146">
        <f t="shared" si="0"/>
        <v>0</v>
      </c>
    </row>
    <row r="21" spans="1:22" ht="14.4" thickBot="1">
      <c r="A21" s="51"/>
      <c r="B21" s="52" t="s">
        <v>66</v>
      </c>
      <c r="C21" s="147">
        <f>SUM(C7:C20)</f>
        <v>0</v>
      </c>
      <c r="D21" s="143">
        <f t="shared" ref="D21:V21" si="1">SUM(D7:D20)</f>
        <v>0</v>
      </c>
      <c r="E21" s="143">
        <f t="shared" si="1"/>
        <v>0</v>
      </c>
      <c r="F21" s="143">
        <f t="shared" si="1"/>
        <v>0</v>
      </c>
      <c r="G21" s="143">
        <f t="shared" si="1"/>
        <v>0</v>
      </c>
      <c r="H21" s="143">
        <f t="shared" si="1"/>
        <v>0</v>
      </c>
      <c r="I21" s="143">
        <f t="shared" si="1"/>
        <v>0</v>
      </c>
      <c r="J21" s="143">
        <f t="shared" si="1"/>
        <v>0</v>
      </c>
      <c r="K21" s="143">
        <f t="shared" si="1"/>
        <v>0</v>
      </c>
      <c r="L21" s="148">
        <f t="shared" si="1"/>
        <v>0</v>
      </c>
      <c r="M21" s="147">
        <f t="shared" si="1"/>
        <v>0</v>
      </c>
      <c r="N21" s="143">
        <f t="shared" si="1"/>
        <v>0</v>
      </c>
      <c r="O21" s="143">
        <f t="shared" si="1"/>
        <v>0</v>
      </c>
      <c r="P21" s="143">
        <f t="shared" si="1"/>
        <v>0</v>
      </c>
      <c r="Q21" s="143">
        <f t="shared" si="1"/>
        <v>0</v>
      </c>
      <c r="R21" s="143">
        <f t="shared" si="1"/>
        <v>0</v>
      </c>
      <c r="S21" s="148">
        <f t="shared" si="1"/>
        <v>0</v>
      </c>
      <c r="T21" s="148">
        <f>SUM(T7:T20)</f>
        <v>0</v>
      </c>
      <c r="U21" s="148">
        <f t="shared" si="1"/>
        <v>0</v>
      </c>
      <c r="V21" s="149">
        <f t="shared" si="1"/>
        <v>0</v>
      </c>
    </row>
    <row r="24" spans="1:22">
      <c r="C24" s="30"/>
      <c r="D24" s="30"/>
      <c r="E24" s="30"/>
    </row>
    <row r="25" spans="1:22">
      <c r="A25" s="26"/>
      <c r="B25" s="26"/>
      <c r="D25" s="30"/>
      <c r="E25" s="30"/>
    </row>
    <row r="26" spans="1:22">
      <c r="A26" s="26"/>
      <c r="B26" s="45"/>
      <c r="D26" s="30"/>
      <c r="E26" s="30"/>
    </row>
    <row r="27" spans="1:22">
      <c r="A27" s="26"/>
      <c r="B27" s="26"/>
      <c r="D27" s="30"/>
      <c r="E27" s="30"/>
    </row>
    <row r="28" spans="1:22">
      <c r="A28" s="26"/>
      <c r="B28" s="45"/>
      <c r="D28" s="30"/>
      <c r="E28" s="3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H30" sqref="H30"/>
    </sheetView>
  </sheetViews>
  <sheetFormatPr defaultColWidth="9.109375" defaultRowHeight="13.8"/>
  <cols>
    <col min="1" max="1" width="10.44140625" style="1" bestFit="1" customWidth="1"/>
    <col min="2" max="2" width="101.88671875" style="1" customWidth="1"/>
    <col min="3" max="3" width="13.88671875" style="1" customWidth="1"/>
    <col min="4" max="4" width="14.88671875" style="1" bestFit="1" customWidth="1"/>
    <col min="5" max="5" width="17.88671875" style="1" customWidth="1"/>
    <col min="6" max="6" width="15.88671875" style="1" customWidth="1"/>
    <col min="7" max="7" width="17.44140625" style="1" customWidth="1"/>
    <col min="8" max="8" width="15.109375" style="1" customWidth="1"/>
    <col min="9" max="16384" width="9.109375" style="5"/>
  </cols>
  <sheetData>
    <row r="1" spans="1:9">
      <c r="A1" s="1" t="s">
        <v>97</v>
      </c>
      <c r="B1" s="1" t="str">
        <f>Info!C2</f>
        <v>სს პეივ ბანკ ჯორჯია</v>
      </c>
    </row>
    <row r="2" spans="1:9">
      <c r="A2" s="1" t="s">
        <v>98</v>
      </c>
      <c r="B2" s="260">
        <f>'1. key ratios'!B2</f>
        <v>45747</v>
      </c>
    </row>
    <row r="4" spans="1:9" ht="14.4" thickBot="1">
      <c r="A4" s="1" t="s">
        <v>250</v>
      </c>
      <c r="B4" s="19" t="s">
        <v>284</v>
      </c>
    </row>
    <row r="5" spans="1:9">
      <c r="A5" s="49"/>
      <c r="B5" s="77"/>
      <c r="C5" s="81" t="s">
        <v>0</v>
      </c>
      <c r="D5" s="81" t="s">
        <v>1</v>
      </c>
      <c r="E5" s="81" t="s">
        <v>2</v>
      </c>
      <c r="F5" s="81" t="s">
        <v>3</v>
      </c>
      <c r="G5" s="152" t="s">
        <v>4</v>
      </c>
      <c r="H5" s="82" t="s">
        <v>5</v>
      </c>
      <c r="I5" s="15"/>
    </row>
    <row r="6" spans="1:9" ht="15" customHeight="1">
      <c r="A6" s="76"/>
      <c r="B6" s="13"/>
      <c r="C6" s="764" t="s">
        <v>276</v>
      </c>
      <c r="D6" s="775" t="s">
        <v>297</v>
      </c>
      <c r="E6" s="776"/>
      <c r="F6" s="764" t="s">
        <v>303</v>
      </c>
      <c r="G6" s="764" t="s">
        <v>304</v>
      </c>
      <c r="H6" s="773" t="s">
        <v>278</v>
      </c>
      <c r="I6" s="15"/>
    </row>
    <row r="7" spans="1:9" ht="69">
      <c r="A7" s="76"/>
      <c r="B7" s="13"/>
      <c r="C7" s="765"/>
      <c r="D7" s="155" t="s">
        <v>279</v>
      </c>
      <c r="E7" s="155" t="s">
        <v>277</v>
      </c>
      <c r="F7" s="765"/>
      <c r="G7" s="765"/>
      <c r="H7" s="774"/>
      <c r="I7" s="15"/>
    </row>
    <row r="8" spans="1:9">
      <c r="A8" s="42">
        <v>1</v>
      </c>
      <c r="B8" s="84" t="s">
        <v>123</v>
      </c>
      <c r="C8" s="142">
        <v>17024432.120000001</v>
      </c>
      <c r="D8" s="142"/>
      <c r="E8" s="142"/>
      <c r="F8" s="142">
        <v>17024432.120000001</v>
      </c>
      <c r="G8" s="151">
        <f>F8</f>
        <v>17024432.120000001</v>
      </c>
      <c r="H8" s="158">
        <f>G8/(C8+E8)</f>
        <v>1</v>
      </c>
    </row>
    <row r="9" spans="1:9" ht="15" customHeight="1">
      <c r="A9" s="42">
        <v>2</v>
      </c>
      <c r="B9" s="84" t="s">
        <v>124</v>
      </c>
      <c r="C9" s="142">
        <v>0</v>
      </c>
      <c r="D9" s="142"/>
      <c r="E9" s="142"/>
      <c r="F9" s="142">
        <v>0</v>
      </c>
      <c r="G9" s="151">
        <f t="shared" ref="G9:G21" si="0">F9</f>
        <v>0</v>
      </c>
      <c r="H9" s="158" t="e">
        <f t="shared" ref="H9:H21" si="1">G9/(C9+E9)</f>
        <v>#DIV/0!</v>
      </c>
    </row>
    <row r="10" spans="1:9">
      <c r="A10" s="42">
        <v>3</v>
      </c>
      <c r="B10" s="84" t="s">
        <v>125</v>
      </c>
      <c r="C10" s="142">
        <v>0</v>
      </c>
      <c r="D10" s="142"/>
      <c r="E10" s="142"/>
      <c r="F10" s="142">
        <v>0</v>
      </c>
      <c r="G10" s="151">
        <f t="shared" si="0"/>
        <v>0</v>
      </c>
      <c r="H10" s="158" t="e">
        <f t="shared" si="1"/>
        <v>#DIV/0!</v>
      </c>
    </row>
    <row r="11" spans="1:9">
      <c r="A11" s="42">
        <v>4</v>
      </c>
      <c r="B11" s="84" t="s">
        <v>126</v>
      </c>
      <c r="C11" s="142">
        <v>0</v>
      </c>
      <c r="D11" s="142"/>
      <c r="E11" s="142"/>
      <c r="F11" s="142">
        <v>0</v>
      </c>
      <c r="G11" s="151">
        <f t="shared" si="0"/>
        <v>0</v>
      </c>
      <c r="H11" s="158" t="e">
        <f t="shared" si="1"/>
        <v>#DIV/0!</v>
      </c>
    </row>
    <row r="12" spans="1:9">
      <c r="A12" s="42">
        <v>5</v>
      </c>
      <c r="B12" s="84" t="s">
        <v>912</v>
      </c>
      <c r="C12" s="142">
        <v>0</v>
      </c>
      <c r="D12" s="142"/>
      <c r="E12" s="142"/>
      <c r="F12" s="142">
        <v>0</v>
      </c>
      <c r="G12" s="151">
        <f t="shared" si="0"/>
        <v>0</v>
      </c>
      <c r="H12" s="158" t="e">
        <f t="shared" si="1"/>
        <v>#DIV/0!</v>
      </c>
    </row>
    <row r="13" spans="1:9">
      <c r="A13" s="42">
        <v>6</v>
      </c>
      <c r="B13" s="84" t="s">
        <v>127</v>
      </c>
      <c r="C13" s="142">
        <v>13002401.539999997</v>
      </c>
      <c r="D13" s="142"/>
      <c r="E13" s="142"/>
      <c r="F13" s="142">
        <v>3891592.1699999995</v>
      </c>
      <c r="G13" s="151">
        <f t="shared" si="0"/>
        <v>3891592.1699999995</v>
      </c>
      <c r="H13" s="158">
        <f t="shared" si="1"/>
        <v>0.29929795338407927</v>
      </c>
    </row>
    <row r="14" spans="1:9">
      <c r="A14" s="42">
        <v>7</v>
      </c>
      <c r="B14" s="84" t="s">
        <v>71</v>
      </c>
      <c r="C14" s="142">
        <v>0</v>
      </c>
      <c r="D14" s="142"/>
      <c r="E14" s="142"/>
      <c r="F14" s="142">
        <v>0</v>
      </c>
      <c r="G14" s="151">
        <f t="shared" si="0"/>
        <v>0</v>
      </c>
      <c r="H14" s="158" t="e">
        <f>G14/(C14+E14)</f>
        <v>#DIV/0!</v>
      </c>
    </row>
    <row r="15" spans="1:9">
      <c r="A15" s="42">
        <v>8</v>
      </c>
      <c r="B15" s="84" t="s">
        <v>72</v>
      </c>
      <c r="C15" s="142">
        <v>0</v>
      </c>
      <c r="D15" s="142"/>
      <c r="E15" s="142"/>
      <c r="F15" s="142">
        <v>0</v>
      </c>
      <c r="G15" s="151">
        <f t="shared" si="0"/>
        <v>0</v>
      </c>
      <c r="H15" s="158" t="e">
        <f t="shared" si="1"/>
        <v>#DIV/0!</v>
      </c>
    </row>
    <row r="16" spans="1:9">
      <c r="A16" s="42">
        <v>9</v>
      </c>
      <c r="B16" s="84" t="s">
        <v>913</v>
      </c>
      <c r="C16" s="142">
        <v>0</v>
      </c>
      <c r="D16" s="142"/>
      <c r="E16" s="142"/>
      <c r="F16" s="142">
        <v>0</v>
      </c>
      <c r="G16" s="151">
        <f t="shared" si="0"/>
        <v>0</v>
      </c>
      <c r="H16" s="158" t="e">
        <f t="shared" si="1"/>
        <v>#DIV/0!</v>
      </c>
    </row>
    <row r="17" spans="1:8">
      <c r="A17" s="42">
        <v>10</v>
      </c>
      <c r="B17" s="84" t="s">
        <v>67</v>
      </c>
      <c r="C17" s="142">
        <v>0</v>
      </c>
      <c r="D17" s="142"/>
      <c r="E17" s="142"/>
      <c r="F17" s="142">
        <v>0</v>
      </c>
      <c r="G17" s="151">
        <f t="shared" si="0"/>
        <v>0</v>
      </c>
      <c r="H17" s="158" t="e">
        <f t="shared" si="1"/>
        <v>#DIV/0!</v>
      </c>
    </row>
    <row r="18" spans="1:8">
      <c r="A18" s="42">
        <v>11</v>
      </c>
      <c r="B18" s="84" t="s">
        <v>68</v>
      </c>
      <c r="C18" s="142">
        <v>0</v>
      </c>
      <c r="D18" s="142"/>
      <c r="E18" s="142"/>
      <c r="F18" s="142">
        <v>0</v>
      </c>
      <c r="G18" s="151">
        <f t="shared" si="0"/>
        <v>0</v>
      </c>
      <c r="H18" s="158" t="e">
        <f t="shared" si="1"/>
        <v>#DIV/0!</v>
      </c>
    </row>
    <row r="19" spans="1:8">
      <c r="A19" s="42">
        <v>12</v>
      </c>
      <c r="B19" s="84" t="s">
        <v>69</v>
      </c>
      <c r="C19" s="142">
        <v>0</v>
      </c>
      <c r="D19" s="142"/>
      <c r="E19" s="142"/>
      <c r="F19" s="142">
        <v>0</v>
      </c>
      <c r="G19" s="151">
        <f t="shared" si="0"/>
        <v>0</v>
      </c>
      <c r="H19" s="158" t="e">
        <f t="shared" si="1"/>
        <v>#DIV/0!</v>
      </c>
    </row>
    <row r="20" spans="1:8">
      <c r="A20" s="42">
        <v>13</v>
      </c>
      <c r="B20" s="84" t="s">
        <v>70</v>
      </c>
      <c r="C20" s="142">
        <v>0</v>
      </c>
      <c r="D20" s="142"/>
      <c r="E20" s="142"/>
      <c r="F20" s="142">
        <v>0</v>
      </c>
      <c r="G20" s="151">
        <f t="shared" si="0"/>
        <v>0</v>
      </c>
      <c r="H20" s="158" t="e">
        <f t="shared" si="1"/>
        <v>#DIV/0!</v>
      </c>
    </row>
    <row r="21" spans="1:8">
      <c r="A21" s="42">
        <v>14</v>
      </c>
      <c r="B21" s="84" t="s">
        <v>143</v>
      </c>
      <c r="C21" s="142">
        <v>220233.29000000004</v>
      </c>
      <c r="D21" s="142"/>
      <c r="E21" s="142"/>
      <c r="F21" s="142">
        <v>220233.29000000004</v>
      </c>
      <c r="G21" s="151">
        <f t="shared" si="0"/>
        <v>220233.29000000004</v>
      </c>
      <c r="H21" s="158">
        <f t="shared" si="1"/>
        <v>1</v>
      </c>
    </row>
    <row r="22" spans="1:8" ht="14.4" thickBot="1">
      <c r="A22" s="78"/>
      <c r="B22" s="83" t="s">
        <v>66</v>
      </c>
      <c r="C22" s="143">
        <f>SUM(C8:C21)</f>
        <v>30247066.949999996</v>
      </c>
      <c r="D22" s="143">
        <f>SUM(D8:D21)</f>
        <v>0</v>
      </c>
      <c r="E22" s="143">
        <f>SUM(E8:E21)</f>
        <v>0</v>
      </c>
      <c r="F22" s="143">
        <f>SUM(F8:F21)</f>
        <v>21136257.579999998</v>
      </c>
      <c r="G22" s="143">
        <f>SUM(G8:G21)</f>
        <v>21136257.579999998</v>
      </c>
      <c r="H22" s="159">
        <f>G22/(C22+E22)</f>
        <v>0.69878701346280458</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32" sqref="F32"/>
    </sheetView>
  </sheetViews>
  <sheetFormatPr defaultColWidth="9.109375" defaultRowHeight="13.8"/>
  <cols>
    <col min="1" max="1" width="10.44140625" style="1" bestFit="1" customWidth="1"/>
    <col min="2" max="2" width="104.109375" style="1" customWidth="1"/>
    <col min="3" max="11" width="12.88671875" style="1" customWidth="1"/>
    <col min="12" max="16384" width="9.109375" style="1"/>
  </cols>
  <sheetData>
    <row r="1" spans="1:11">
      <c r="A1" s="1" t="s">
        <v>97</v>
      </c>
      <c r="B1" s="1" t="str">
        <f>Info!C2</f>
        <v>სს პეივ ბანკ ჯორჯია</v>
      </c>
    </row>
    <row r="2" spans="1:11">
      <c r="A2" s="1" t="s">
        <v>98</v>
      </c>
      <c r="B2" s="260">
        <f>'1. key ratios'!B2</f>
        <v>45747</v>
      </c>
    </row>
    <row r="4" spans="1:11" ht="14.4" thickBot="1">
      <c r="A4" s="1" t="s">
        <v>340</v>
      </c>
      <c r="B4" s="19" t="s">
        <v>339</v>
      </c>
    </row>
    <row r="5" spans="1:11" ht="30" customHeight="1">
      <c r="A5" s="780"/>
      <c r="B5" s="781"/>
      <c r="C5" s="778" t="s">
        <v>372</v>
      </c>
      <c r="D5" s="778"/>
      <c r="E5" s="778"/>
      <c r="F5" s="778" t="s">
        <v>373</v>
      </c>
      <c r="G5" s="778"/>
      <c r="H5" s="778"/>
      <c r="I5" s="778" t="s">
        <v>374</v>
      </c>
      <c r="J5" s="778"/>
      <c r="K5" s="779"/>
    </row>
    <row r="6" spans="1:11">
      <c r="A6" s="184"/>
      <c r="B6" s="185"/>
      <c r="C6" s="186" t="s">
        <v>26</v>
      </c>
      <c r="D6" s="186" t="s">
        <v>79</v>
      </c>
      <c r="E6" s="186" t="s">
        <v>66</v>
      </c>
      <c r="F6" s="186" t="s">
        <v>26</v>
      </c>
      <c r="G6" s="186" t="s">
        <v>79</v>
      </c>
      <c r="H6" s="186" t="s">
        <v>66</v>
      </c>
      <c r="I6" s="186" t="s">
        <v>26</v>
      </c>
      <c r="J6" s="186" t="s">
        <v>79</v>
      </c>
      <c r="K6" s="188" t="s">
        <v>66</v>
      </c>
    </row>
    <row r="7" spans="1:11">
      <c r="A7" s="189" t="s">
        <v>310</v>
      </c>
      <c r="B7" s="183"/>
      <c r="C7" s="183"/>
      <c r="D7" s="183"/>
      <c r="E7" s="183"/>
      <c r="F7" s="183"/>
      <c r="G7" s="183"/>
      <c r="H7" s="183"/>
      <c r="I7" s="183"/>
      <c r="J7" s="183"/>
      <c r="K7" s="190"/>
    </row>
    <row r="8" spans="1:11">
      <c r="A8" s="182">
        <v>1</v>
      </c>
      <c r="B8" s="166" t="s">
        <v>310</v>
      </c>
      <c r="C8" s="164"/>
      <c r="D8" s="164"/>
      <c r="E8" s="164"/>
      <c r="F8" s="666">
        <v>1678265.5260000078</v>
      </c>
      <c r="G8" s="666">
        <v>12444376.365666665</v>
      </c>
      <c r="H8" s="667">
        <f>F8+G8</f>
        <v>14122641.891666673</v>
      </c>
      <c r="I8" s="666">
        <v>695361.65377777698</v>
      </c>
      <c r="J8" s="666">
        <v>2994954.5650000055</v>
      </c>
      <c r="K8" s="667">
        <f>I8+J8</f>
        <v>3690316.2187777823</v>
      </c>
    </row>
    <row r="9" spans="1:11">
      <c r="A9" s="189" t="s">
        <v>311</v>
      </c>
      <c r="B9" s="183"/>
      <c r="C9" s="183"/>
      <c r="D9" s="183"/>
      <c r="E9" s="183"/>
      <c r="F9" s="668"/>
      <c r="G9" s="668"/>
      <c r="H9" s="668"/>
      <c r="I9" s="668"/>
      <c r="J9" s="668"/>
      <c r="K9" s="669"/>
    </row>
    <row r="10" spans="1:11">
      <c r="A10" s="191">
        <v>2</v>
      </c>
      <c r="B10" s="167" t="s">
        <v>312</v>
      </c>
      <c r="C10" s="279"/>
      <c r="D10" s="670"/>
      <c r="E10" s="670"/>
      <c r="F10" s="670"/>
      <c r="G10" s="670"/>
      <c r="H10" s="667">
        <f t="shared" ref="H10:H16" si="0">F10+G10</f>
        <v>0</v>
      </c>
      <c r="I10" s="670"/>
      <c r="J10" s="670"/>
      <c r="K10" s="667">
        <f t="shared" ref="K10:K16" si="1">I10+J10</f>
        <v>0</v>
      </c>
    </row>
    <row r="11" spans="1:11">
      <c r="A11" s="191">
        <v>3</v>
      </c>
      <c r="B11" s="167" t="s">
        <v>313</v>
      </c>
      <c r="C11" s="279">
        <v>1472699.0999999768</v>
      </c>
      <c r="D11" s="279">
        <v>13435013.078888925</v>
      </c>
      <c r="E11" s="670">
        <f>SUM(C11:D11)</f>
        <v>14907712.178888902</v>
      </c>
      <c r="F11" s="670">
        <v>855496.2047555428</v>
      </c>
      <c r="G11" s="670">
        <v>9503334.1192166898</v>
      </c>
      <c r="H11" s="667">
        <f t="shared" si="0"/>
        <v>10358830.323972233</v>
      </c>
      <c r="I11" s="670">
        <v>368174.77499999409</v>
      </c>
      <c r="J11" s="670">
        <v>3864295.0368055608</v>
      </c>
      <c r="K11" s="667">
        <f t="shared" si="1"/>
        <v>4232469.8118055547</v>
      </c>
    </row>
    <row r="12" spans="1:11">
      <c r="A12" s="191">
        <v>4</v>
      </c>
      <c r="B12" s="167" t="s">
        <v>314</v>
      </c>
      <c r="C12" s="279">
        <v>0</v>
      </c>
      <c r="D12" s="279">
        <v>0</v>
      </c>
      <c r="E12" s="670">
        <f>SUM(C12:D12)</f>
        <v>0</v>
      </c>
      <c r="F12" s="670"/>
      <c r="G12" s="670"/>
      <c r="H12" s="667">
        <f t="shared" si="0"/>
        <v>0</v>
      </c>
      <c r="I12" s="670"/>
      <c r="J12" s="670"/>
      <c r="K12" s="667">
        <f t="shared" si="1"/>
        <v>0</v>
      </c>
    </row>
    <row r="13" spans="1:11">
      <c r="A13" s="191">
        <v>5</v>
      </c>
      <c r="B13" s="167" t="s">
        <v>315</v>
      </c>
      <c r="C13" s="279">
        <v>0</v>
      </c>
      <c r="D13" s="279">
        <v>0</v>
      </c>
      <c r="E13" s="670">
        <f t="shared" ref="E13:E16" si="2">SUM(C13:D13)</f>
        <v>0</v>
      </c>
      <c r="F13" s="670"/>
      <c r="G13" s="670"/>
      <c r="H13" s="667">
        <f t="shared" si="0"/>
        <v>0</v>
      </c>
      <c r="I13" s="670"/>
      <c r="J13" s="670"/>
      <c r="K13" s="667">
        <f t="shared" si="1"/>
        <v>0</v>
      </c>
    </row>
    <row r="14" spans="1:11">
      <c r="A14" s="191">
        <v>6</v>
      </c>
      <c r="B14" s="167" t="s">
        <v>330</v>
      </c>
      <c r="C14" s="279">
        <v>0</v>
      </c>
      <c r="D14" s="670">
        <v>0</v>
      </c>
      <c r="E14" s="670">
        <f t="shared" si="2"/>
        <v>0</v>
      </c>
      <c r="F14" s="670"/>
      <c r="G14" s="670"/>
      <c r="H14" s="667">
        <f t="shared" si="0"/>
        <v>0</v>
      </c>
      <c r="I14" s="670"/>
      <c r="J14" s="670"/>
      <c r="K14" s="667">
        <f t="shared" si="1"/>
        <v>0</v>
      </c>
    </row>
    <row r="15" spans="1:11">
      <c r="A15" s="191">
        <v>7</v>
      </c>
      <c r="B15" s="167" t="s">
        <v>317</v>
      </c>
      <c r="C15" s="279">
        <v>34113.934777781993</v>
      </c>
      <c r="D15" s="279">
        <v>79901.739444445004</v>
      </c>
      <c r="E15" s="670">
        <f t="shared" si="2"/>
        <v>114015.674222227</v>
      </c>
      <c r="F15" s="670">
        <v>3582.443888897003</v>
      </c>
      <c r="G15" s="670">
        <v>14938.550222217002</v>
      </c>
      <c r="H15" s="667">
        <f t="shared" si="0"/>
        <v>18520.994111114003</v>
      </c>
      <c r="I15" s="670">
        <v>3582.443888897003</v>
      </c>
      <c r="J15" s="670">
        <v>14938.550222217002</v>
      </c>
      <c r="K15" s="667">
        <f t="shared" si="1"/>
        <v>18520.994111114003</v>
      </c>
    </row>
    <row r="16" spans="1:11">
      <c r="A16" s="191">
        <v>8</v>
      </c>
      <c r="B16" s="168" t="s">
        <v>318</v>
      </c>
      <c r="C16" s="279">
        <f>SUM(C10:C15)</f>
        <v>1506813.0347777589</v>
      </c>
      <c r="D16" s="670">
        <f t="shared" ref="D16:J16" si="3">SUM(D10:D15)</f>
        <v>13514914.818333371</v>
      </c>
      <c r="E16" s="670">
        <f t="shared" si="2"/>
        <v>15021727.853111129</v>
      </c>
      <c r="F16" s="670">
        <f t="shared" si="3"/>
        <v>859078.64864443976</v>
      </c>
      <c r="G16" s="670">
        <f t="shared" si="3"/>
        <v>9518272.669438906</v>
      </c>
      <c r="H16" s="667">
        <f t="shared" si="0"/>
        <v>10377351.318083346</v>
      </c>
      <c r="I16" s="670">
        <f t="shared" si="3"/>
        <v>371757.2188888911</v>
      </c>
      <c r="J16" s="670">
        <f t="shared" si="3"/>
        <v>3879233.5870277779</v>
      </c>
      <c r="K16" s="667">
        <f t="shared" si="1"/>
        <v>4250990.8059166688</v>
      </c>
    </row>
    <row r="17" spans="1:11">
      <c r="A17" s="189" t="s">
        <v>319</v>
      </c>
      <c r="B17" s="183"/>
      <c r="C17" s="668"/>
      <c r="D17" s="668"/>
      <c r="E17" s="668"/>
      <c r="F17" s="668"/>
      <c r="G17" s="668"/>
      <c r="H17" s="668"/>
      <c r="I17" s="668"/>
      <c r="J17" s="668"/>
      <c r="K17" s="669"/>
    </row>
    <row r="18" spans="1:11">
      <c r="A18" s="191">
        <v>9</v>
      </c>
      <c r="B18" s="167" t="s">
        <v>320</v>
      </c>
      <c r="C18" s="279"/>
      <c r="D18" s="670"/>
      <c r="E18" s="670"/>
      <c r="F18" s="670"/>
      <c r="G18" s="670"/>
      <c r="H18" s="670"/>
      <c r="I18" s="670"/>
      <c r="J18" s="670"/>
      <c r="K18" s="671"/>
    </row>
    <row r="19" spans="1:11">
      <c r="A19" s="191">
        <v>10</v>
      </c>
      <c r="B19" s="167" t="s">
        <v>321</v>
      </c>
      <c r="C19" s="279">
        <v>7391472.7594444137</v>
      </c>
      <c r="D19" s="279">
        <v>10354946.020333305</v>
      </c>
      <c r="E19" s="670">
        <f t="shared" ref="E19" si="4">SUM(C19:D19)</f>
        <v>17746418.779777721</v>
      </c>
      <c r="F19" s="670">
        <v>0</v>
      </c>
      <c r="G19" s="670">
        <v>0</v>
      </c>
      <c r="H19" s="667">
        <f t="shared" ref="H19" si="5">F19+G19</f>
        <v>0</v>
      </c>
      <c r="I19" s="670">
        <v>982903.87222223077</v>
      </c>
      <c r="J19" s="670">
        <v>10354946.020333305</v>
      </c>
      <c r="K19" s="667">
        <f t="shared" ref="K19" si="6">I19+J19</f>
        <v>11337849.892555535</v>
      </c>
    </row>
    <row r="20" spans="1:11">
      <c r="A20" s="191">
        <v>11</v>
      </c>
      <c r="B20" s="167" t="s">
        <v>322</v>
      </c>
      <c r="C20" s="279"/>
      <c r="D20" s="670"/>
      <c r="E20" s="670"/>
      <c r="F20" s="670"/>
      <c r="G20" s="670"/>
      <c r="H20" s="670"/>
      <c r="I20" s="670"/>
      <c r="J20" s="670"/>
      <c r="K20" s="671"/>
    </row>
    <row r="21" spans="1:11" ht="14.4" thickBot="1">
      <c r="A21" s="113">
        <v>12</v>
      </c>
      <c r="B21" s="192" t="s">
        <v>323</v>
      </c>
      <c r="C21" s="674">
        <f t="shared" ref="C21:E21" si="7">SUM(C18:C20)</f>
        <v>7391472.7594444137</v>
      </c>
      <c r="D21" s="672">
        <f t="shared" si="7"/>
        <v>10354946.020333305</v>
      </c>
      <c r="E21" s="674">
        <f t="shared" si="7"/>
        <v>17746418.779777721</v>
      </c>
      <c r="F21" s="672">
        <f>SUM(F18:F20)</f>
        <v>0</v>
      </c>
      <c r="G21" s="672">
        <f t="shared" ref="G21:K21" si="8">SUM(G18:G20)</f>
        <v>0</v>
      </c>
      <c r="H21" s="672">
        <f t="shared" si="8"/>
        <v>0</v>
      </c>
      <c r="I21" s="672">
        <f t="shared" si="8"/>
        <v>982903.87222223077</v>
      </c>
      <c r="J21" s="672">
        <f t="shared" si="8"/>
        <v>10354946.020333305</v>
      </c>
      <c r="K21" s="673">
        <f t="shared" si="8"/>
        <v>11337849.892555535</v>
      </c>
    </row>
    <row r="22" spans="1:11" ht="38.25" customHeight="1" thickBot="1">
      <c r="A22" s="180"/>
      <c r="B22" s="181"/>
      <c r="C22" s="181"/>
      <c r="D22" s="181"/>
      <c r="E22" s="181"/>
      <c r="F22" s="777" t="s">
        <v>324</v>
      </c>
      <c r="G22" s="778"/>
      <c r="H22" s="778"/>
      <c r="I22" s="777" t="s">
        <v>325</v>
      </c>
      <c r="J22" s="778"/>
      <c r="K22" s="779"/>
    </row>
    <row r="23" spans="1:11">
      <c r="A23" s="173">
        <v>13</v>
      </c>
      <c r="B23" s="169" t="s">
        <v>310</v>
      </c>
      <c r="C23" s="179"/>
      <c r="D23" s="179"/>
      <c r="E23" s="179"/>
      <c r="F23" s="675">
        <f>F8</f>
        <v>1678265.5260000078</v>
      </c>
      <c r="G23" s="675">
        <f t="shared" ref="G23:K23" si="9">G8</f>
        <v>12444376.365666665</v>
      </c>
      <c r="H23" s="675">
        <f t="shared" si="9"/>
        <v>14122641.891666673</v>
      </c>
      <c r="I23" s="675">
        <f t="shared" si="9"/>
        <v>695361.65377777698</v>
      </c>
      <c r="J23" s="675">
        <f t="shared" si="9"/>
        <v>2994954.5650000055</v>
      </c>
      <c r="K23" s="676">
        <f t="shared" si="9"/>
        <v>3690316.2187777823</v>
      </c>
    </row>
    <row r="24" spans="1:11" ht="14.4" thickBot="1">
      <c r="A24" s="174">
        <v>14</v>
      </c>
      <c r="B24" s="170" t="s">
        <v>326</v>
      </c>
      <c r="C24" s="193"/>
      <c r="D24" s="177"/>
      <c r="E24" s="178"/>
      <c r="F24" s="677">
        <f>F16-F21</f>
        <v>859078.64864443976</v>
      </c>
      <c r="G24" s="677">
        <f t="shared" ref="G24:K24" si="10">G16-G21</f>
        <v>9518272.669438906</v>
      </c>
      <c r="H24" s="677">
        <f t="shared" si="10"/>
        <v>10377351.318083346</v>
      </c>
      <c r="I24" s="677">
        <f t="shared" si="10"/>
        <v>-611146.65333333961</v>
      </c>
      <c r="J24" s="677">
        <f t="shared" si="10"/>
        <v>-6475712.4333055271</v>
      </c>
      <c r="K24" s="678">
        <f t="shared" si="10"/>
        <v>-7086859.086638866</v>
      </c>
    </row>
    <row r="25" spans="1:11" ht="14.4" thickBot="1">
      <c r="A25" s="175">
        <v>15</v>
      </c>
      <c r="B25" s="171" t="s">
        <v>327</v>
      </c>
      <c r="C25" s="176"/>
      <c r="D25" s="176"/>
      <c r="E25" s="176"/>
      <c r="F25" s="172">
        <f t="shared" ref="F25:H25" si="11">IF(F24&gt;0,F23/F24,"N/A")</f>
        <v>1.9535644712485662</v>
      </c>
      <c r="G25" s="172">
        <f t="shared" si="11"/>
        <v>1.3074196125545803</v>
      </c>
      <c r="H25" s="172">
        <f t="shared" si="11"/>
        <v>1.3609100683578925</v>
      </c>
      <c r="I25" s="172" t="str">
        <f>IF(I24&gt;0,I23/I24,"N/A")</f>
        <v>N/A</v>
      </c>
      <c r="J25" s="172" t="str">
        <f>IF(J24&gt;0,J23/J24,"N/A")</f>
        <v>N/A</v>
      </c>
      <c r="K25" s="172" t="str">
        <f>IF(K24&gt;0,K23/K24,"N/A")</f>
        <v>N/A</v>
      </c>
    </row>
    <row r="28" spans="1:11" ht="41.4">
      <c r="B28" s="14"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F34" sqref="F34"/>
    </sheetView>
  </sheetViews>
  <sheetFormatPr defaultColWidth="9.109375" defaultRowHeight="13.8"/>
  <cols>
    <col min="1" max="1" width="10.44140625" style="28" bestFit="1" customWidth="1"/>
    <col min="2" max="2" width="95" style="28" customWidth="1"/>
    <col min="3" max="9" width="15" style="28" customWidth="1"/>
    <col min="10" max="14" width="18.44140625" style="28" customWidth="1"/>
    <col min="15" max="17" width="18.44140625" style="5" customWidth="1"/>
    <col min="18" max="16384" width="9.109375" style="5"/>
  </cols>
  <sheetData>
    <row r="1" spans="1:17">
      <c r="A1" s="9" t="s">
        <v>97</v>
      </c>
      <c r="B1" s="28" t="str">
        <f>Info!C2</f>
        <v>სს პეივ ბანკ ჯორჯია</v>
      </c>
    </row>
    <row r="2" spans="1:17">
      <c r="A2" s="28" t="s">
        <v>98</v>
      </c>
      <c r="B2" s="260">
        <v>45747</v>
      </c>
    </row>
    <row r="3" spans="1:17">
      <c r="B3" s="5"/>
      <c r="C3" s="5"/>
      <c r="D3" s="5"/>
      <c r="E3" s="5"/>
      <c r="F3" s="5"/>
      <c r="G3" s="5"/>
      <c r="H3" s="5"/>
      <c r="I3" s="5"/>
      <c r="J3" s="5"/>
      <c r="K3" s="5"/>
      <c r="L3" s="5"/>
      <c r="M3" s="5"/>
      <c r="N3" s="5"/>
    </row>
    <row r="4" spans="1:17" ht="14.4">
      <c r="B4" s="596" t="s">
        <v>980</v>
      </c>
      <c r="C4" s="5"/>
      <c r="D4" s="5"/>
      <c r="E4" s="5"/>
      <c r="F4" s="5"/>
      <c r="G4" s="5"/>
      <c r="H4" s="5"/>
      <c r="I4" s="5"/>
      <c r="J4" s="5"/>
      <c r="K4" s="5"/>
      <c r="L4" s="5"/>
      <c r="M4" s="5"/>
      <c r="N4" s="5"/>
    </row>
    <row r="5" spans="1:17" ht="86.4">
      <c r="B5" s="597" t="s">
        <v>981</v>
      </c>
      <c r="C5" s="598" t="s">
        <v>982</v>
      </c>
      <c r="D5" s="598" t="s">
        <v>983</v>
      </c>
      <c r="E5" s="598" t="s">
        <v>984</v>
      </c>
      <c r="F5" s="598" t="s">
        <v>985</v>
      </c>
      <c r="G5" s="598" t="s">
        <v>986</v>
      </c>
      <c r="H5" s="598" t="s">
        <v>987</v>
      </c>
      <c r="I5" s="599" t="s">
        <v>988</v>
      </c>
      <c r="J5" s="600">
        <v>0.02</v>
      </c>
      <c r="K5" s="600">
        <v>0.2</v>
      </c>
      <c r="L5" s="600">
        <v>0.35</v>
      </c>
      <c r="M5" s="600">
        <v>0.5</v>
      </c>
      <c r="N5" s="600">
        <v>0.75</v>
      </c>
      <c r="O5" s="600">
        <v>1</v>
      </c>
      <c r="P5" s="600">
        <v>1.5</v>
      </c>
      <c r="Q5" s="601" t="s">
        <v>73</v>
      </c>
    </row>
    <row r="6" spans="1:17" ht="14.4">
      <c r="B6" s="602"/>
      <c r="C6" s="568" t="b">
        <f>IF(C7&gt;0,C7,IF(C8&gt;0,C8,IF(C9&gt;0,C9)))</f>
        <v>0</v>
      </c>
      <c r="D6" s="568" t="b">
        <f t="shared" ref="D6:Q6" si="0">IF(D7&gt;0,D7,IF(D8&gt;0,D8,IF(D9&gt;0,D9)))</f>
        <v>0</v>
      </c>
      <c r="E6" s="568" t="b">
        <f t="shared" si="0"/>
        <v>0</v>
      </c>
      <c r="F6" s="568" t="b">
        <f t="shared" si="0"/>
        <v>0</v>
      </c>
      <c r="G6" s="568" t="b">
        <f t="shared" si="0"/>
        <v>0</v>
      </c>
      <c r="H6" s="568"/>
      <c r="I6" s="568" t="b">
        <f t="shared" si="0"/>
        <v>0</v>
      </c>
      <c r="J6" s="568" t="b">
        <f t="shared" si="0"/>
        <v>0</v>
      </c>
      <c r="K6" s="568" t="b">
        <f t="shared" si="0"/>
        <v>0</v>
      </c>
      <c r="L6" s="568" t="b">
        <f t="shared" si="0"/>
        <v>0</v>
      </c>
      <c r="M6" s="568" t="b">
        <f t="shared" si="0"/>
        <v>0</v>
      </c>
      <c r="N6" s="568" t="b">
        <f t="shared" si="0"/>
        <v>0</v>
      </c>
      <c r="O6" s="568" t="b">
        <f t="shared" si="0"/>
        <v>0</v>
      </c>
      <c r="P6" s="568" t="b">
        <f t="shared" si="0"/>
        <v>0</v>
      </c>
      <c r="Q6" s="568" t="b">
        <f t="shared" si="0"/>
        <v>0</v>
      </c>
    </row>
    <row r="7" spans="1:17" ht="14.4">
      <c r="B7" s="603" t="s">
        <v>976</v>
      </c>
      <c r="C7" s="568">
        <f>C11+C15+C19+C23+C27+C31</f>
        <v>0</v>
      </c>
      <c r="D7" s="568"/>
      <c r="E7" s="568"/>
      <c r="F7" s="568">
        <f t="shared" ref="F7:G9" si="1">F11+F15+F19+F23+F27+F31</f>
        <v>0</v>
      </c>
      <c r="G7" s="568">
        <f t="shared" si="1"/>
        <v>0</v>
      </c>
      <c r="H7" s="604">
        <v>1.4</v>
      </c>
      <c r="I7" s="605">
        <f t="shared" ref="I7:I33" si="2">(F7+G7)*H7</f>
        <v>0</v>
      </c>
      <c r="J7" s="568">
        <f>J11+J15+J19+J23+J27+J31</f>
        <v>0</v>
      </c>
      <c r="K7" s="568">
        <f t="shared" ref="J7:Q9" si="3">K11+K15+K19+K23+K27+K31</f>
        <v>0</v>
      </c>
      <c r="L7" s="568">
        <f t="shared" si="3"/>
        <v>0</v>
      </c>
      <c r="M7" s="568">
        <f t="shared" si="3"/>
        <v>0</v>
      </c>
      <c r="N7" s="568">
        <f t="shared" si="3"/>
        <v>0</v>
      </c>
      <c r="O7" s="568">
        <f t="shared" si="3"/>
        <v>0</v>
      </c>
      <c r="P7" s="568">
        <f t="shared" si="3"/>
        <v>0</v>
      </c>
      <c r="Q7" s="568">
        <f>Q11+Q15+Q19+Q23+Q27+Q31</f>
        <v>0</v>
      </c>
    </row>
    <row r="8" spans="1:17" ht="14.4">
      <c r="B8" s="603" t="s">
        <v>977</v>
      </c>
      <c r="C8" s="568">
        <f>C12+C16+C20+C24+C28+C32</f>
        <v>0</v>
      </c>
      <c r="D8" s="568"/>
      <c r="E8" s="568"/>
      <c r="F8" s="568">
        <f t="shared" si="1"/>
        <v>0</v>
      </c>
      <c r="G8" s="568">
        <f t="shared" si="1"/>
        <v>0</v>
      </c>
      <c r="H8" s="604">
        <v>1.4</v>
      </c>
      <c r="I8" s="605">
        <f t="shared" si="2"/>
        <v>0</v>
      </c>
      <c r="J8" s="568">
        <f t="shared" si="3"/>
        <v>0</v>
      </c>
      <c r="K8" s="568">
        <f t="shared" si="3"/>
        <v>0</v>
      </c>
      <c r="L8" s="568">
        <f t="shared" si="3"/>
        <v>0</v>
      </c>
      <c r="M8" s="568">
        <f t="shared" si="3"/>
        <v>0</v>
      </c>
      <c r="N8" s="568">
        <f t="shared" si="3"/>
        <v>0</v>
      </c>
      <c r="O8" s="568">
        <f t="shared" si="3"/>
        <v>0</v>
      </c>
      <c r="P8" s="568">
        <f t="shared" si="3"/>
        <v>0</v>
      </c>
      <c r="Q8" s="568">
        <f>Q12+Q16+Q20+Q24+Q28+Q32</f>
        <v>0</v>
      </c>
    </row>
    <row r="9" spans="1:17" ht="14.4">
      <c r="B9" s="603" t="s">
        <v>978</v>
      </c>
      <c r="C9" s="568">
        <f>C13+C17+C21+C25+C29+C33</f>
        <v>0</v>
      </c>
      <c r="D9" s="568"/>
      <c r="E9" s="568"/>
      <c r="F9" s="568">
        <f t="shared" si="1"/>
        <v>0</v>
      </c>
      <c r="G9" s="568">
        <f t="shared" si="1"/>
        <v>0</v>
      </c>
      <c r="H9" s="604">
        <v>1.4</v>
      </c>
      <c r="I9" s="605">
        <f t="shared" si="2"/>
        <v>0</v>
      </c>
      <c r="J9" s="568">
        <f t="shared" si="3"/>
        <v>0</v>
      </c>
      <c r="K9" s="568">
        <f t="shared" si="3"/>
        <v>0</v>
      </c>
      <c r="L9" s="568">
        <f t="shared" si="3"/>
        <v>0</v>
      </c>
      <c r="M9" s="568">
        <f t="shared" si="3"/>
        <v>0</v>
      </c>
      <c r="N9" s="568">
        <f t="shared" si="3"/>
        <v>0</v>
      </c>
      <c r="O9" s="568">
        <f t="shared" si="3"/>
        <v>0</v>
      </c>
      <c r="P9" s="568">
        <f t="shared" si="3"/>
        <v>0</v>
      </c>
      <c r="Q9" s="568">
        <f t="shared" si="3"/>
        <v>0</v>
      </c>
    </row>
    <row r="10" spans="1:17" ht="14.4">
      <c r="B10" s="606" t="s">
        <v>989</v>
      </c>
      <c r="C10" s="607"/>
      <c r="D10" s="607"/>
      <c r="E10" s="607"/>
      <c r="F10" s="607"/>
      <c r="G10" s="607"/>
      <c r="H10" s="604">
        <v>1.4</v>
      </c>
      <c r="I10" s="605">
        <f t="shared" si="2"/>
        <v>0</v>
      </c>
      <c r="J10" s="565"/>
      <c r="K10" s="565"/>
      <c r="L10" s="565"/>
      <c r="M10" s="565"/>
      <c r="N10" s="565"/>
      <c r="O10" s="565"/>
      <c r="P10" s="565"/>
      <c r="Q10" s="568">
        <f>SUM(Q11:Q13)</f>
        <v>0</v>
      </c>
    </row>
    <row r="11" spans="1:17" ht="14.4">
      <c r="B11" s="608" t="s">
        <v>976</v>
      </c>
      <c r="C11" s="607"/>
      <c r="D11" s="607"/>
      <c r="E11" s="607"/>
      <c r="F11" s="607"/>
      <c r="G11" s="607"/>
      <c r="H11" s="604">
        <v>1.4</v>
      </c>
      <c r="I11" s="605">
        <f t="shared" si="2"/>
        <v>0</v>
      </c>
      <c r="J11" s="565"/>
      <c r="K11" s="565"/>
      <c r="L11" s="565"/>
      <c r="M11" s="565"/>
      <c r="N11" s="565"/>
      <c r="O11" s="565"/>
      <c r="P11" s="565"/>
      <c r="Q11" s="568">
        <f>SUMPRODUCT($J$5:$P$5,J11:P11)</f>
        <v>0</v>
      </c>
    </row>
    <row r="12" spans="1:17" ht="14.4">
      <c r="B12" s="608" t="s">
        <v>977</v>
      </c>
      <c r="C12" s="607"/>
      <c r="D12" s="607"/>
      <c r="E12" s="607"/>
      <c r="F12" s="607"/>
      <c r="G12" s="607"/>
      <c r="H12" s="604">
        <v>1.4</v>
      </c>
      <c r="I12" s="605">
        <f t="shared" si="2"/>
        <v>0</v>
      </c>
      <c r="J12" s="565"/>
      <c r="K12" s="565"/>
      <c r="L12" s="565"/>
      <c r="M12" s="565"/>
      <c r="N12" s="565"/>
      <c r="O12" s="565"/>
      <c r="P12" s="565"/>
      <c r="Q12" s="568">
        <f t="shared" ref="Q12:Q13" si="4">SUMPRODUCT($J$5:$P$5,J12:P12)</f>
        <v>0</v>
      </c>
    </row>
    <row r="13" spans="1:17" ht="14.4">
      <c r="B13" s="608" t="s">
        <v>978</v>
      </c>
      <c r="C13" s="607"/>
      <c r="D13" s="607"/>
      <c r="E13" s="607"/>
      <c r="F13" s="607"/>
      <c r="G13" s="607"/>
      <c r="H13" s="604">
        <v>1.4</v>
      </c>
      <c r="I13" s="605">
        <f t="shared" si="2"/>
        <v>0</v>
      </c>
      <c r="J13" s="565"/>
      <c r="K13" s="565"/>
      <c r="L13" s="565"/>
      <c r="M13" s="565"/>
      <c r="N13" s="565"/>
      <c r="O13" s="565"/>
      <c r="P13" s="565"/>
      <c r="Q13" s="568">
        <f t="shared" si="4"/>
        <v>0</v>
      </c>
    </row>
    <row r="14" spans="1:17" ht="14.4">
      <c r="B14" s="606" t="s">
        <v>990</v>
      </c>
      <c r="C14" s="607"/>
      <c r="D14" s="607"/>
      <c r="E14" s="607"/>
      <c r="F14" s="607"/>
      <c r="G14" s="607"/>
      <c r="H14" s="604">
        <v>1.4</v>
      </c>
      <c r="I14" s="605">
        <f t="shared" si="2"/>
        <v>0</v>
      </c>
      <c r="J14" s="565"/>
      <c r="K14" s="565"/>
      <c r="L14" s="565"/>
      <c r="M14" s="565"/>
      <c r="N14" s="565"/>
      <c r="O14" s="565"/>
      <c r="P14" s="565"/>
      <c r="Q14" s="568">
        <f>SUM(Q15:Q17)</f>
        <v>0</v>
      </c>
    </row>
    <row r="15" spans="1:17" ht="14.4">
      <c r="B15" s="608" t="s">
        <v>976</v>
      </c>
      <c r="C15" s="607"/>
      <c r="D15" s="607"/>
      <c r="E15" s="607"/>
      <c r="F15" s="607"/>
      <c r="G15" s="607"/>
      <c r="H15" s="604">
        <v>1.4</v>
      </c>
      <c r="I15" s="605">
        <f t="shared" si="2"/>
        <v>0</v>
      </c>
      <c r="J15" s="565"/>
      <c r="K15" s="565"/>
      <c r="L15" s="565"/>
      <c r="M15" s="565"/>
      <c r="N15" s="565"/>
      <c r="O15" s="565"/>
      <c r="P15" s="565"/>
      <c r="Q15" s="568">
        <f>SUMPRODUCT($J$5:$P$5,J15:P15)</f>
        <v>0</v>
      </c>
    </row>
    <row r="16" spans="1:17" ht="14.4">
      <c r="B16" s="608" t="s">
        <v>977</v>
      </c>
      <c r="C16" s="607"/>
      <c r="D16" s="607"/>
      <c r="E16" s="607"/>
      <c r="F16" s="607"/>
      <c r="G16" s="607"/>
      <c r="H16" s="604">
        <v>1.4</v>
      </c>
      <c r="I16" s="605">
        <f t="shared" si="2"/>
        <v>0</v>
      </c>
      <c r="J16" s="565"/>
      <c r="K16" s="565"/>
      <c r="L16" s="565"/>
      <c r="M16" s="565"/>
      <c r="N16" s="565"/>
      <c r="O16" s="565"/>
      <c r="P16" s="565"/>
      <c r="Q16" s="568">
        <f t="shared" ref="Q16:Q17" si="5">SUMPRODUCT($J$5:$P$5,J16:P16)</f>
        <v>0</v>
      </c>
    </row>
    <row r="17" spans="2:17" ht="14.4">
      <c r="B17" s="608" t="s">
        <v>978</v>
      </c>
      <c r="C17" s="607"/>
      <c r="D17" s="607"/>
      <c r="E17" s="607"/>
      <c r="F17" s="607"/>
      <c r="G17" s="607"/>
      <c r="H17" s="604">
        <v>1.4</v>
      </c>
      <c r="I17" s="605">
        <f t="shared" si="2"/>
        <v>0</v>
      </c>
      <c r="J17" s="565"/>
      <c r="K17" s="565"/>
      <c r="L17" s="565"/>
      <c r="M17" s="565"/>
      <c r="N17" s="565"/>
      <c r="O17" s="565"/>
      <c r="P17" s="565"/>
      <c r="Q17" s="568">
        <f t="shared" si="5"/>
        <v>0</v>
      </c>
    </row>
    <row r="18" spans="2:17" ht="14.4">
      <c r="B18" s="606" t="s">
        <v>991</v>
      </c>
      <c r="C18" s="607"/>
      <c r="D18" s="607"/>
      <c r="E18" s="607"/>
      <c r="F18" s="607"/>
      <c r="G18" s="607"/>
      <c r="H18" s="604">
        <v>1.4</v>
      </c>
      <c r="I18" s="605">
        <f t="shared" si="2"/>
        <v>0</v>
      </c>
      <c r="J18" s="565"/>
      <c r="K18" s="565"/>
      <c r="L18" s="565"/>
      <c r="M18" s="565"/>
      <c r="N18" s="565"/>
      <c r="O18" s="565"/>
      <c r="P18" s="565"/>
      <c r="Q18" s="568">
        <f>SUM(Q19:Q21)</f>
        <v>0</v>
      </c>
    </row>
    <row r="19" spans="2:17" ht="14.4">
      <c r="B19" s="608" t="s">
        <v>976</v>
      </c>
      <c r="C19" s="607"/>
      <c r="D19" s="607"/>
      <c r="E19" s="607"/>
      <c r="F19" s="607"/>
      <c r="G19" s="607"/>
      <c r="H19" s="604">
        <v>1.4</v>
      </c>
      <c r="I19" s="605">
        <f t="shared" si="2"/>
        <v>0</v>
      </c>
      <c r="J19" s="565"/>
      <c r="K19" s="565"/>
      <c r="L19" s="565"/>
      <c r="M19" s="565"/>
      <c r="N19" s="565"/>
      <c r="O19" s="565"/>
      <c r="P19" s="565"/>
      <c r="Q19" s="568">
        <f>SUMPRODUCT($J$5:$P$5,J19:P19)</f>
        <v>0</v>
      </c>
    </row>
    <row r="20" spans="2:17" ht="14.4">
      <c r="B20" s="608" t="s">
        <v>977</v>
      </c>
      <c r="C20" s="607"/>
      <c r="D20" s="607"/>
      <c r="E20" s="607"/>
      <c r="F20" s="607"/>
      <c r="G20" s="607"/>
      <c r="H20" s="604">
        <v>1.4</v>
      </c>
      <c r="I20" s="605">
        <f t="shared" si="2"/>
        <v>0</v>
      </c>
      <c r="J20" s="565"/>
      <c r="K20" s="565"/>
      <c r="L20" s="565"/>
      <c r="M20" s="565"/>
      <c r="N20" s="565"/>
      <c r="O20" s="565"/>
      <c r="P20" s="565"/>
      <c r="Q20" s="568">
        <f t="shared" ref="Q20:Q21" si="6">SUMPRODUCT($J$5:$P$5,J20:P20)</f>
        <v>0</v>
      </c>
    </row>
    <row r="21" spans="2:17" ht="14.4">
      <c r="B21" s="608" t="s">
        <v>978</v>
      </c>
      <c r="C21" s="607"/>
      <c r="D21" s="607"/>
      <c r="E21" s="607"/>
      <c r="F21" s="607"/>
      <c r="G21" s="607"/>
      <c r="H21" s="604">
        <v>1.4</v>
      </c>
      <c r="I21" s="605">
        <f t="shared" si="2"/>
        <v>0</v>
      </c>
      <c r="J21" s="565"/>
      <c r="K21" s="565"/>
      <c r="L21" s="565"/>
      <c r="M21" s="565"/>
      <c r="N21" s="565"/>
      <c r="O21" s="565"/>
      <c r="P21" s="565"/>
      <c r="Q21" s="568">
        <f t="shared" si="6"/>
        <v>0</v>
      </c>
    </row>
    <row r="22" spans="2:17" ht="14.4">
      <c r="B22" s="606" t="s">
        <v>992</v>
      </c>
      <c r="C22" s="607"/>
      <c r="D22" s="607"/>
      <c r="E22" s="607"/>
      <c r="F22" s="607"/>
      <c r="G22" s="607"/>
      <c r="H22" s="604">
        <v>1.4</v>
      </c>
      <c r="I22" s="605">
        <f t="shared" si="2"/>
        <v>0</v>
      </c>
      <c r="J22" s="565"/>
      <c r="K22" s="565"/>
      <c r="L22" s="565"/>
      <c r="M22" s="565"/>
      <c r="N22" s="565"/>
      <c r="O22" s="565"/>
      <c r="P22" s="565"/>
      <c r="Q22" s="568">
        <f>SUM(Q23:Q25)</f>
        <v>0</v>
      </c>
    </row>
    <row r="23" spans="2:17" ht="14.4">
      <c r="B23" s="608" t="s">
        <v>976</v>
      </c>
      <c r="C23" s="607"/>
      <c r="D23" s="607"/>
      <c r="E23" s="607"/>
      <c r="F23" s="607"/>
      <c r="G23" s="607"/>
      <c r="H23" s="604">
        <v>1.4</v>
      </c>
      <c r="I23" s="605">
        <f t="shared" si="2"/>
        <v>0</v>
      </c>
      <c r="J23" s="565"/>
      <c r="K23" s="565"/>
      <c r="L23" s="565"/>
      <c r="M23" s="565"/>
      <c r="N23" s="565"/>
      <c r="O23" s="565"/>
      <c r="P23" s="565"/>
      <c r="Q23" s="568">
        <f>SUMPRODUCT($J$5:$P$5,J23:P23)</f>
        <v>0</v>
      </c>
    </row>
    <row r="24" spans="2:17" ht="14.4">
      <c r="B24" s="608" t="s">
        <v>977</v>
      </c>
      <c r="C24" s="607"/>
      <c r="D24" s="607"/>
      <c r="E24" s="607"/>
      <c r="F24" s="607"/>
      <c r="G24" s="607"/>
      <c r="H24" s="604">
        <v>1.4</v>
      </c>
      <c r="I24" s="605">
        <f t="shared" si="2"/>
        <v>0</v>
      </c>
      <c r="J24" s="565"/>
      <c r="K24" s="565"/>
      <c r="L24" s="565"/>
      <c r="M24" s="565"/>
      <c r="N24" s="565"/>
      <c r="O24" s="565"/>
      <c r="P24" s="565"/>
      <c r="Q24" s="568">
        <f t="shared" ref="Q24:Q25" si="7">SUMPRODUCT($J$5:$P$5,J24:P24)</f>
        <v>0</v>
      </c>
    </row>
    <row r="25" spans="2:17" ht="14.4">
      <c r="B25" s="608" t="s">
        <v>978</v>
      </c>
      <c r="C25" s="607"/>
      <c r="D25" s="607"/>
      <c r="E25" s="607"/>
      <c r="F25" s="607"/>
      <c r="G25" s="607"/>
      <c r="H25" s="604">
        <v>1.4</v>
      </c>
      <c r="I25" s="605">
        <f t="shared" si="2"/>
        <v>0</v>
      </c>
      <c r="J25" s="565"/>
      <c r="K25" s="565"/>
      <c r="L25" s="565"/>
      <c r="M25" s="565"/>
      <c r="N25" s="565"/>
      <c r="O25" s="565"/>
      <c r="P25" s="565"/>
      <c r="Q25" s="568">
        <f t="shared" si="7"/>
        <v>0</v>
      </c>
    </row>
    <row r="26" spans="2:17" ht="14.4">
      <c r="B26" s="606" t="s">
        <v>993</v>
      </c>
      <c r="C26" s="607"/>
      <c r="D26" s="607"/>
      <c r="E26" s="607"/>
      <c r="F26" s="607"/>
      <c r="G26" s="607"/>
      <c r="H26" s="604">
        <v>1.4</v>
      </c>
      <c r="I26" s="605">
        <f t="shared" si="2"/>
        <v>0</v>
      </c>
      <c r="J26" s="565"/>
      <c r="K26" s="565"/>
      <c r="L26" s="565"/>
      <c r="M26" s="565"/>
      <c r="N26" s="565"/>
      <c r="O26" s="565"/>
      <c r="P26" s="565"/>
      <c r="Q26" s="568">
        <f>SUM(Q27:Q29)</f>
        <v>0</v>
      </c>
    </row>
    <row r="27" spans="2:17" ht="14.4">
      <c r="B27" s="608" t="s">
        <v>976</v>
      </c>
      <c r="C27" s="607"/>
      <c r="D27" s="607"/>
      <c r="E27" s="607"/>
      <c r="F27" s="607"/>
      <c r="G27" s="607"/>
      <c r="H27" s="604">
        <v>1.4</v>
      </c>
      <c r="I27" s="605">
        <f t="shared" si="2"/>
        <v>0</v>
      </c>
      <c r="J27" s="565"/>
      <c r="K27" s="565"/>
      <c r="L27" s="565"/>
      <c r="M27" s="565"/>
      <c r="N27" s="565"/>
      <c r="O27" s="565"/>
      <c r="P27" s="565"/>
      <c r="Q27" s="568">
        <f>SUMPRODUCT($J$5:$P$5,J27:P27)</f>
        <v>0</v>
      </c>
    </row>
    <row r="28" spans="2:17" ht="14.4">
      <c r="B28" s="608" t="s">
        <v>977</v>
      </c>
      <c r="C28" s="607"/>
      <c r="D28" s="607"/>
      <c r="E28" s="607"/>
      <c r="F28" s="607"/>
      <c r="G28" s="607"/>
      <c r="H28" s="604">
        <v>1.4</v>
      </c>
      <c r="I28" s="605">
        <f t="shared" si="2"/>
        <v>0</v>
      </c>
      <c r="J28" s="565"/>
      <c r="K28" s="565"/>
      <c r="L28" s="565"/>
      <c r="M28" s="565"/>
      <c r="N28" s="565"/>
      <c r="O28" s="565"/>
      <c r="P28" s="565"/>
      <c r="Q28" s="568">
        <f t="shared" ref="Q28:Q29" si="8">SUMPRODUCT($J$5:$P$5,J28:P28)</f>
        <v>0</v>
      </c>
    </row>
    <row r="29" spans="2:17" ht="14.4">
      <c r="B29" s="608" t="s">
        <v>978</v>
      </c>
      <c r="C29" s="607"/>
      <c r="D29" s="607"/>
      <c r="E29" s="607"/>
      <c r="F29" s="607"/>
      <c r="G29" s="607"/>
      <c r="H29" s="604">
        <v>1.4</v>
      </c>
      <c r="I29" s="605">
        <f t="shared" si="2"/>
        <v>0</v>
      </c>
      <c r="J29" s="565"/>
      <c r="K29" s="565"/>
      <c r="L29" s="565"/>
      <c r="M29" s="565"/>
      <c r="N29" s="565"/>
      <c r="O29" s="565"/>
      <c r="P29" s="565"/>
      <c r="Q29" s="568">
        <f t="shared" si="8"/>
        <v>0</v>
      </c>
    </row>
    <row r="30" spans="2:17" ht="14.4">
      <c r="B30" s="609" t="s">
        <v>994</v>
      </c>
      <c r="C30" s="607"/>
      <c r="D30" s="607"/>
      <c r="E30" s="607"/>
      <c r="F30" s="607"/>
      <c r="G30" s="607"/>
      <c r="H30" s="604">
        <v>1.4</v>
      </c>
      <c r="I30" s="605">
        <f t="shared" si="2"/>
        <v>0</v>
      </c>
      <c r="J30" s="565"/>
      <c r="K30" s="565"/>
      <c r="L30" s="565"/>
      <c r="M30" s="565"/>
      <c r="N30" s="565"/>
      <c r="O30" s="565"/>
      <c r="P30" s="565"/>
      <c r="Q30" s="568">
        <f>SUM(Q31:Q33)</f>
        <v>0</v>
      </c>
    </row>
    <row r="31" spans="2:17" ht="14.4">
      <c r="B31" s="608" t="s">
        <v>976</v>
      </c>
      <c r="C31" s="607"/>
      <c r="D31" s="607"/>
      <c r="E31" s="607"/>
      <c r="F31" s="607"/>
      <c r="G31" s="607"/>
      <c r="H31" s="604">
        <v>1.4</v>
      </c>
      <c r="I31" s="605">
        <f t="shared" si="2"/>
        <v>0</v>
      </c>
      <c r="J31" s="565"/>
      <c r="K31" s="565"/>
      <c r="L31" s="565"/>
      <c r="M31" s="565"/>
      <c r="N31" s="565"/>
      <c r="O31" s="565"/>
      <c r="P31" s="565"/>
      <c r="Q31" s="568">
        <f>SUMPRODUCT($J$5:$P$5,J31:P31)</f>
        <v>0</v>
      </c>
    </row>
    <row r="32" spans="2:17" ht="14.4">
      <c r="B32" s="608" t="s">
        <v>977</v>
      </c>
      <c r="C32" s="607"/>
      <c r="D32" s="607"/>
      <c r="E32" s="607"/>
      <c r="F32" s="607"/>
      <c r="G32" s="607"/>
      <c r="H32" s="604">
        <v>1.4</v>
      </c>
      <c r="I32" s="605">
        <f t="shared" si="2"/>
        <v>0</v>
      </c>
      <c r="J32" s="565"/>
      <c r="K32" s="565"/>
      <c r="L32" s="565"/>
      <c r="M32" s="565"/>
      <c r="N32" s="565"/>
      <c r="O32" s="565"/>
      <c r="P32" s="565"/>
      <c r="Q32" s="568">
        <f t="shared" ref="Q32:Q33" si="9">SUMPRODUCT($J$5:$P$5,J32:P32)</f>
        <v>0</v>
      </c>
    </row>
    <row r="33" spans="2:17" ht="14.4">
      <c r="B33" s="608" t="s">
        <v>978</v>
      </c>
      <c r="C33" s="607"/>
      <c r="D33" s="607"/>
      <c r="E33" s="607"/>
      <c r="F33" s="607"/>
      <c r="G33" s="607"/>
      <c r="H33" s="604">
        <v>1.4</v>
      </c>
      <c r="I33" s="605">
        <f t="shared" si="2"/>
        <v>0</v>
      </c>
      <c r="J33" s="565"/>
      <c r="K33" s="565"/>
      <c r="L33" s="565"/>
      <c r="M33" s="565"/>
      <c r="N33" s="565"/>
      <c r="O33" s="565"/>
      <c r="P33" s="565"/>
      <c r="Q33" s="568">
        <f t="shared" si="9"/>
        <v>0</v>
      </c>
    </row>
    <row r="34" spans="2:17" ht="14.4">
      <c r="B34" s="610" t="s">
        <v>66</v>
      </c>
      <c r="C34" s="611" t="b">
        <f>C6</f>
        <v>0</v>
      </c>
      <c r="D34" s="611" t="b">
        <f t="shared" ref="D34:G34" si="10">D6</f>
        <v>0</v>
      </c>
      <c r="E34" s="611" t="b">
        <f t="shared" si="10"/>
        <v>0</v>
      </c>
      <c r="F34" s="611" t="b">
        <f t="shared" si="10"/>
        <v>0</v>
      </c>
      <c r="G34" s="611" t="b">
        <f t="shared" si="10"/>
        <v>0</v>
      </c>
      <c r="H34" s="604">
        <v>1.4</v>
      </c>
      <c r="I34" s="605">
        <f>(F34+G34)*H34</f>
        <v>0</v>
      </c>
      <c r="J34" s="611" t="b">
        <f t="shared" ref="J34:Q34" si="11">J6</f>
        <v>0</v>
      </c>
      <c r="K34" s="611" t="b">
        <f t="shared" si="11"/>
        <v>0</v>
      </c>
      <c r="L34" s="611" t="b">
        <f t="shared" si="11"/>
        <v>0</v>
      </c>
      <c r="M34" s="611" t="b">
        <f t="shared" si="11"/>
        <v>0</v>
      </c>
      <c r="N34" s="611" t="b">
        <f t="shared" si="11"/>
        <v>0</v>
      </c>
      <c r="O34" s="611" t="b">
        <f t="shared" si="11"/>
        <v>0</v>
      </c>
      <c r="P34" s="611" t="b">
        <f t="shared" si="11"/>
        <v>0</v>
      </c>
      <c r="Q34" s="611"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zoomScale="80" zoomScaleNormal="80" workbookViewId="0">
      <pane xSplit="1" ySplit="5" topLeftCell="B6" activePane="bottomRight" state="frozen"/>
      <selection pane="topRight" activeCell="B1" sqref="B1"/>
      <selection pane="bottomLeft" activeCell="A6" sqref="A6"/>
      <selection pane="bottomRight" activeCell="M21" sqref="M21"/>
    </sheetView>
  </sheetViews>
  <sheetFormatPr defaultRowHeight="14.4"/>
  <cols>
    <col min="1" max="1" width="9.44140625" style="11" bestFit="1" customWidth="1"/>
    <col min="2" max="2" width="88.33203125" style="9" customWidth="1"/>
    <col min="3" max="3" width="12.88671875" style="9" customWidth="1"/>
    <col min="4" max="7" width="12.88671875" style="1" customWidth="1"/>
  </cols>
  <sheetData>
    <row r="1" spans="1:7">
      <c r="A1" s="10" t="s">
        <v>97</v>
      </c>
      <c r="B1" s="232" t="str">
        <f>Info!C2</f>
        <v>სს პეივ ბანკ ჯორჯია</v>
      </c>
    </row>
    <row r="2" spans="1:7">
      <c r="A2" s="10" t="s">
        <v>98</v>
      </c>
      <c r="B2" s="260">
        <v>45747</v>
      </c>
    </row>
    <row r="3" spans="1:7" ht="15" thickBot="1">
      <c r="A3" s="10"/>
    </row>
    <row r="4" spans="1:7" ht="15" customHeight="1" thickBot="1">
      <c r="A4" s="29" t="s">
        <v>241</v>
      </c>
      <c r="B4" s="111" t="s">
        <v>128</v>
      </c>
      <c r="C4" s="112"/>
      <c r="D4" s="721" t="s">
        <v>904</v>
      </c>
      <c r="E4" s="722"/>
      <c r="F4" s="722"/>
      <c r="G4" s="723"/>
    </row>
    <row r="5" spans="1:7">
      <c r="A5" s="162" t="s">
        <v>25</v>
      </c>
      <c r="B5" s="163"/>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c r="A6" s="246"/>
      <c r="B6" s="247" t="s">
        <v>95</v>
      </c>
      <c r="C6" s="164"/>
      <c r="D6" s="164"/>
      <c r="E6" s="164"/>
      <c r="F6" s="164"/>
      <c r="G6" s="165"/>
    </row>
    <row r="7" spans="1:7">
      <c r="A7" s="246"/>
      <c r="B7" s="248" t="s">
        <v>99</v>
      </c>
      <c r="C7" s="164"/>
      <c r="D7" s="164"/>
      <c r="E7" s="164"/>
      <c r="F7" s="164"/>
      <c r="G7" s="165"/>
    </row>
    <row r="8" spans="1:7">
      <c r="A8" s="236">
        <v>1</v>
      </c>
      <c r="B8" s="237" t="s">
        <v>22</v>
      </c>
      <c r="C8" s="249">
        <v>6989690.96</v>
      </c>
      <c r="D8" s="250">
        <v>7160433.9499999993</v>
      </c>
      <c r="E8" s="250">
        <v>7354346.4798980001</v>
      </c>
      <c r="F8" s="250">
        <v>7524779.0183999995</v>
      </c>
      <c r="G8" s="251">
        <v>5074825.1100000003</v>
      </c>
    </row>
    <row r="9" spans="1:7">
      <c r="A9" s="236">
        <v>2</v>
      </c>
      <c r="B9" s="237" t="s">
        <v>75</v>
      </c>
      <c r="C9" s="249">
        <v>6989690.96</v>
      </c>
      <c r="D9" s="250">
        <v>7160433.9499999993</v>
      </c>
      <c r="E9" s="250">
        <v>7354346.4798980001</v>
      </c>
      <c r="F9" s="250">
        <v>7524779.0183999995</v>
      </c>
      <c r="G9" s="251">
        <v>5074825.1100000003</v>
      </c>
    </row>
    <row r="10" spans="1:7">
      <c r="A10" s="236">
        <v>3</v>
      </c>
      <c r="B10" s="237" t="s">
        <v>74</v>
      </c>
      <c r="C10" s="249">
        <v>6989690.96</v>
      </c>
      <c r="D10" s="250">
        <v>7160433.9499999993</v>
      </c>
      <c r="E10" s="250">
        <v>7354346.4798980001</v>
      </c>
      <c r="F10" s="250">
        <v>7524779.0183999995</v>
      </c>
      <c r="G10" s="251">
        <v>5074825.1100000003</v>
      </c>
    </row>
    <row r="11" spans="1:7">
      <c r="A11" s="236">
        <v>4</v>
      </c>
      <c r="B11" s="237" t="s">
        <v>414</v>
      </c>
      <c r="C11" s="249">
        <v>1641422.3575679979</v>
      </c>
      <c r="D11" s="250">
        <v>245827.35145959997</v>
      </c>
      <c r="E11" s="250">
        <v>868093.87419494521</v>
      </c>
      <c r="F11" s="250">
        <v>904075.097259945</v>
      </c>
      <c r="G11" s="251">
        <v>534965.63542499999</v>
      </c>
    </row>
    <row r="12" spans="1:7">
      <c r="A12" s="236">
        <v>5</v>
      </c>
      <c r="B12" s="237" t="s">
        <v>415</v>
      </c>
      <c r="C12" s="249">
        <v>1970274.5119583975</v>
      </c>
      <c r="D12" s="250">
        <v>299227.50325399998</v>
      </c>
      <c r="E12" s="250">
        <v>1002100.4958864752</v>
      </c>
      <c r="F12" s="250">
        <v>1043163.573761475</v>
      </c>
      <c r="G12" s="251">
        <v>617268.04087500006</v>
      </c>
    </row>
    <row r="13" spans="1:7">
      <c r="A13" s="236">
        <v>6</v>
      </c>
      <c r="B13" s="237" t="s">
        <v>416</v>
      </c>
      <c r="C13" s="249">
        <v>2408719.791193597</v>
      </c>
      <c r="D13" s="250">
        <v>370313.53464919992</v>
      </c>
      <c r="E13" s="250">
        <v>1180761.4276885153</v>
      </c>
      <c r="F13" s="250">
        <v>1228614.875763515</v>
      </c>
      <c r="G13" s="251">
        <v>727004.58147500001</v>
      </c>
    </row>
    <row r="14" spans="1:7">
      <c r="A14" s="246"/>
      <c r="B14" s="247" t="s">
        <v>418</v>
      </c>
      <c r="C14" s="164"/>
      <c r="D14" s="164"/>
      <c r="E14" s="164"/>
      <c r="F14" s="164"/>
      <c r="G14" s="165"/>
    </row>
    <row r="15" spans="1:7" ht="22.05" customHeight="1">
      <c r="A15" s="236">
        <v>7</v>
      </c>
      <c r="B15" s="237" t="s">
        <v>417</v>
      </c>
      <c r="C15" s="252">
        <v>21831289.141759973</v>
      </c>
      <c r="D15" s="250">
        <v>3126160.3297599996</v>
      </c>
      <c r="E15" s="250">
        <v>8878432.3901020009</v>
      </c>
      <c r="F15" s="250">
        <v>9272565.1001019999</v>
      </c>
      <c r="G15" s="251">
        <v>5486827.0300000003</v>
      </c>
    </row>
    <row r="16" spans="1:7">
      <c r="A16" s="246"/>
      <c r="B16" s="247" t="s">
        <v>421</v>
      </c>
      <c r="C16" s="164"/>
      <c r="D16" s="164"/>
      <c r="E16" s="164"/>
      <c r="F16" s="164"/>
      <c r="G16" s="165"/>
    </row>
    <row r="17" spans="1:7">
      <c r="A17" s="236"/>
      <c r="B17" s="248" t="s">
        <v>967</v>
      </c>
      <c r="C17" s="164"/>
      <c r="D17" s="164"/>
      <c r="E17" s="164"/>
      <c r="F17" s="164"/>
      <c r="G17" s="165"/>
    </row>
    <row r="18" spans="1:7">
      <c r="A18" s="236">
        <v>8</v>
      </c>
      <c r="B18" s="237" t="s">
        <v>412</v>
      </c>
      <c r="C18" s="261">
        <v>0.32016849369787204</v>
      </c>
      <c r="D18" s="262">
        <v>2.2904883930088502</v>
      </c>
      <c r="E18" s="262">
        <v>0.82833839992934932</v>
      </c>
      <c r="F18" s="262">
        <v>0.81150996915807316</v>
      </c>
      <c r="G18" s="263">
        <v>0.92491071474509379</v>
      </c>
    </row>
    <row r="19" spans="1:7" ht="15" customHeight="1">
      <c r="A19" s="236">
        <v>9</v>
      </c>
      <c r="B19" s="237" t="s">
        <v>411</v>
      </c>
      <c r="C19" s="261">
        <v>0.32016849369787204</v>
      </c>
      <c r="D19" s="262">
        <v>2.2904883930088502</v>
      </c>
      <c r="E19" s="262">
        <v>0.82833839992934932</v>
      </c>
      <c r="F19" s="262">
        <v>0.81150996915807316</v>
      </c>
      <c r="G19" s="263">
        <v>0.92491071474509379</v>
      </c>
    </row>
    <row r="20" spans="1:7">
      <c r="A20" s="236">
        <v>10</v>
      </c>
      <c r="B20" s="237" t="s">
        <v>413</v>
      </c>
      <c r="C20" s="261">
        <v>0.32016849369787204</v>
      </c>
      <c r="D20" s="262">
        <v>2.2904883930088502</v>
      </c>
      <c r="E20" s="262">
        <v>0.82833839992934932</v>
      </c>
      <c r="F20" s="262">
        <v>0.81150996915807316</v>
      </c>
      <c r="G20" s="263">
        <v>0.92491071474509379</v>
      </c>
    </row>
    <row r="21" spans="1:7">
      <c r="A21" s="236">
        <v>11</v>
      </c>
      <c r="B21" s="237" t="s">
        <v>414</v>
      </c>
      <c r="C21" s="261">
        <v>7.5186689476262017E-2</v>
      </c>
      <c r="D21" s="262">
        <v>7.8635554651310072E-2</v>
      </c>
      <c r="E21" s="262">
        <v>9.777557974792124E-2</v>
      </c>
      <c r="F21" s="262">
        <v>9.7500000000000003E-2</v>
      </c>
      <c r="G21" s="263">
        <v>9.7500000000000003E-2</v>
      </c>
    </row>
    <row r="22" spans="1:7">
      <c r="A22" s="236">
        <v>12</v>
      </c>
      <c r="B22" s="237" t="s">
        <v>415</v>
      </c>
      <c r="C22" s="261">
        <v>9.0250030548565202E-2</v>
      </c>
      <c r="D22" s="262">
        <v>9.5717260693718845E-2</v>
      </c>
      <c r="E22" s="262">
        <v>0.11286908001953737</v>
      </c>
      <c r="F22" s="262">
        <v>0.1125</v>
      </c>
      <c r="G22" s="263">
        <v>0.1125</v>
      </c>
    </row>
    <row r="23" spans="1:7">
      <c r="A23" s="236">
        <v>13</v>
      </c>
      <c r="B23" s="237" t="s">
        <v>416</v>
      </c>
      <c r="C23" s="261">
        <v>0.11033337406475362</v>
      </c>
      <c r="D23" s="262">
        <v>0.11845634759162513</v>
      </c>
      <c r="E23" s="262">
        <v>0.13299210669271649</v>
      </c>
      <c r="F23" s="262">
        <v>0.13250000000000001</v>
      </c>
      <c r="G23" s="263">
        <v>0.13250000000000001</v>
      </c>
    </row>
    <row r="24" spans="1:7">
      <c r="A24" s="246"/>
      <c r="B24" s="247" t="s">
        <v>952</v>
      </c>
      <c r="C24" s="164"/>
      <c r="D24" s="164"/>
      <c r="E24" s="164"/>
      <c r="F24" s="164"/>
      <c r="G24" s="165"/>
    </row>
    <row r="25" spans="1:7" ht="27.6">
      <c r="A25" s="236">
        <v>14</v>
      </c>
      <c r="B25" s="237" t="s">
        <v>953</v>
      </c>
      <c r="C25" s="261">
        <f>'9.2. MREL1'!B23</f>
        <v>0</v>
      </c>
      <c r="D25" s="262"/>
      <c r="E25" s="262"/>
      <c r="F25" s="262"/>
      <c r="G25" s="263"/>
    </row>
    <row r="26" spans="1:7">
      <c r="A26" s="246"/>
      <c r="B26" s="247" t="s">
        <v>6</v>
      </c>
      <c r="C26" s="164"/>
      <c r="D26" s="164"/>
      <c r="E26" s="164"/>
      <c r="F26" s="164"/>
      <c r="G26" s="165"/>
    </row>
    <row r="27" spans="1:7" ht="15" customHeight="1">
      <c r="A27" s="253">
        <v>15</v>
      </c>
      <c r="B27" s="254" t="s">
        <v>7</v>
      </c>
      <c r="C27" s="612">
        <v>3.9426109350534477E-2</v>
      </c>
      <c r="D27" s="628">
        <v>6.7858347769004401E-2</v>
      </c>
      <c r="E27" s="628">
        <v>6.6197990778702365E-2</v>
      </c>
      <c r="F27" s="628">
        <v>6.204372539781966E-2</v>
      </c>
      <c r="G27" s="629">
        <v>6.5872647048621377E-2</v>
      </c>
    </row>
    <row r="28" spans="1:7">
      <c r="A28" s="253">
        <v>16</v>
      </c>
      <c r="B28" s="254" t="s">
        <v>8</v>
      </c>
      <c r="C28" s="612">
        <v>-2.2029359931625644E-3</v>
      </c>
      <c r="D28" s="628">
        <v>0</v>
      </c>
      <c r="E28" s="628">
        <v>0</v>
      </c>
      <c r="F28" s="628">
        <v>0</v>
      </c>
      <c r="G28" s="629">
        <v>0</v>
      </c>
    </row>
    <row r="29" spans="1:7">
      <c r="A29" s="253">
        <v>17</v>
      </c>
      <c r="B29" s="254" t="s">
        <v>9</v>
      </c>
      <c r="C29" s="612">
        <v>-3.0312867553151223E-2</v>
      </c>
      <c r="D29" s="628">
        <v>-0.1411580828955431</v>
      </c>
      <c r="E29" s="628">
        <v>-7.4045213076350452E-2</v>
      </c>
      <c r="F29" s="628">
        <v>-6.5558704529591769E-2</v>
      </c>
      <c r="G29" s="629">
        <v>-3.3001725079338782E-3</v>
      </c>
    </row>
    <row r="30" spans="1:7">
      <c r="A30" s="253">
        <v>18</v>
      </c>
      <c r="B30" s="254" t="s">
        <v>129</v>
      </c>
      <c r="C30" s="612">
        <v>3.7223173357371915E-2</v>
      </c>
      <c r="D30" s="628">
        <v>6.7858347769004401E-2</v>
      </c>
      <c r="E30" s="628">
        <v>6.6197990778702365E-2</v>
      </c>
      <c r="F30" s="628">
        <v>6.204372539781966E-2</v>
      </c>
      <c r="G30" s="629">
        <v>6.5872647048621377E-2</v>
      </c>
    </row>
    <row r="31" spans="1:7">
      <c r="A31" s="253">
        <v>19</v>
      </c>
      <c r="B31" s="254" t="s">
        <v>10</v>
      </c>
      <c r="C31" s="612">
        <v>-8.5324391157459809E-2</v>
      </c>
      <c r="D31" s="628">
        <v>-0.1334865588347669</v>
      </c>
      <c r="E31" s="628">
        <v>-2.3705041155177686E-2</v>
      </c>
      <c r="F31" s="628">
        <v>-6.8220173460858985E-2</v>
      </c>
      <c r="G31" s="629">
        <v>-3.3001725079338782E-3</v>
      </c>
    </row>
    <row r="32" spans="1:7">
      <c r="A32" s="253">
        <v>20</v>
      </c>
      <c r="B32" s="254" t="s">
        <v>11</v>
      </c>
      <c r="C32" s="612">
        <v>-9.4668587918606537E-2</v>
      </c>
      <c r="D32" s="628">
        <v>-0.15516494467684588</v>
      </c>
      <c r="E32" s="628">
        <v>-7.9571960876634262E-2</v>
      </c>
      <c r="F32" s="628">
        <v>-7.1864996405404294E-2</v>
      </c>
      <c r="G32" s="629">
        <v>-3.3968389138793955E-3</v>
      </c>
    </row>
    <row r="33" spans="1:7">
      <c r="A33" s="246"/>
      <c r="B33" s="247" t="s">
        <v>12</v>
      </c>
      <c r="C33" s="630"/>
      <c r="D33" s="630"/>
      <c r="E33" s="630"/>
      <c r="F33" s="630"/>
      <c r="G33" s="631"/>
    </row>
    <row r="34" spans="1:7">
      <c r="A34" s="253">
        <v>21</v>
      </c>
      <c r="B34" s="254" t="s">
        <v>13</v>
      </c>
      <c r="C34" s="612">
        <v>0</v>
      </c>
      <c r="D34" s="628">
        <v>0</v>
      </c>
      <c r="E34" s="628">
        <v>0</v>
      </c>
      <c r="F34" s="628">
        <v>0</v>
      </c>
      <c r="G34" s="629">
        <v>0</v>
      </c>
    </row>
    <row r="35" spans="1:7" ht="15" customHeight="1">
      <c r="A35" s="253">
        <v>22</v>
      </c>
      <c r="B35" s="254" t="s">
        <v>917</v>
      </c>
      <c r="C35" s="612">
        <v>0</v>
      </c>
      <c r="D35" s="628">
        <v>0</v>
      </c>
      <c r="E35" s="628">
        <v>0</v>
      </c>
      <c r="F35" s="628">
        <v>0</v>
      </c>
      <c r="G35" s="629">
        <v>0</v>
      </c>
    </row>
    <row r="36" spans="1:7">
      <c r="A36" s="253">
        <v>23</v>
      </c>
      <c r="B36" s="254" t="s">
        <v>14</v>
      </c>
      <c r="C36" s="612">
        <v>0</v>
      </c>
      <c r="D36" s="628">
        <v>0</v>
      </c>
      <c r="E36" s="628">
        <v>0</v>
      </c>
      <c r="F36" s="628">
        <v>0</v>
      </c>
      <c r="G36" s="629">
        <v>0</v>
      </c>
    </row>
    <row r="37" spans="1:7" ht="15" customHeight="1">
      <c r="A37" s="253">
        <v>24</v>
      </c>
      <c r="B37" s="254" t="s">
        <v>15</v>
      </c>
      <c r="C37" s="612">
        <v>0</v>
      </c>
      <c r="D37" s="628">
        <v>0</v>
      </c>
      <c r="E37" s="628">
        <v>0</v>
      </c>
      <c r="F37" s="628">
        <v>0</v>
      </c>
      <c r="G37" s="629">
        <v>0</v>
      </c>
    </row>
    <row r="38" spans="1:7">
      <c r="A38" s="253">
        <v>25</v>
      </c>
      <c r="B38" s="254" t="s">
        <v>16</v>
      </c>
      <c r="C38" s="612">
        <v>0</v>
      </c>
      <c r="D38" s="628">
        <v>0</v>
      </c>
      <c r="E38" s="628">
        <v>0</v>
      </c>
      <c r="F38" s="628">
        <v>0</v>
      </c>
      <c r="G38" s="629">
        <v>0</v>
      </c>
    </row>
    <row r="39" spans="1:7" ht="15" customHeight="1">
      <c r="A39" s="246"/>
      <c r="B39" s="247" t="s">
        <v>17</v>
      </c>
      <c r="C39" s="164"/>
      <c r="D39" s="164"/>
      <c r="E39" s="164"/>
      <c r="F39" s="164"/>
      <c r="G39" s="165"/>
    </row>
    <row r="40" spans="1:7" ht="15" customHeight="1">
      <c r="A40" s="253">
        <v>26</v>
      </c>
      <c r="B40" s="254" t="s">
        <v>18</v>
      </c>
      <c r="C40" s="612">
        <v>1.0004729249427069</v>
      </c>
      <c r="D40" s="612">
        <v>0.9074778163511128</v>
      </c>
      <c r="E40" s="612">
        <v>0.94954649786269707</v>
      </c>
      <c r="F40" s="612">
        <v>0.97413296793697524</v>
      </c>
      <c r="G40" s="614">
        <v>0.94534114373501699</v>
      </c>
    </row>
    <row r="41" spans="1:7" ht="15" customHeight="1">
      <c r="A41" s="253">
        <v>27</v>
      </c>
      <c r="B41" s="254" t="s">
        <v>19</v>
      </c>
      <c r="C41" s="612">
        <v>0.9219849053143333</v>
      </c>
      <c r="D41" s="612">
        <v>0.35670614966880487</v>
      </c>
      <c r="E41" s="612">
        <v>0.99307669473340854</v>
      </c>
      <c r="F41" s="612">
        <v>0.89842776605166197</v>
      </c>
      <c r="G41" s="614">
        <v>0.54605842613548983</v>
      </c>
    </row>
    <row r="42" spans="1:7" ht="15" customHeight="1">
      <c r="A42" s="253">
        <v>28</v>
      </c>
      <c r="B42" s="255" t="s">
        <v>20</v>
      </c>
      <c r="C42" s="613">
        <v>0.72732388463905229</v>
      </c>
      <c r="D42" s="613">
        <v>0.14441667991948853</v>
      </c>
      <c r="E42" s="613">
        <v>0</v>
      </c>
      <c r="F42" s="613">
        <v>0</v>
      </c>
      <c r="G42" s="615">
        <v>0</v>
      </c>
    </row>
    <row r="43" spans="1:7" ht="15" customHeight="1">
      <c r="A43" s="259"/>
      <c r="B43" s="247" t="s">
        <v>344</v>
      </c>
      <c r="C43" s="164"/>
      <c r="D43" s="164"/>
      <c r="E43" s="164"/>
      <c r="F43" s="164"/>
      <c r="G43" s="165"/>
    </row>
    <row r="44" spans="1:7" ht="15" customHeight="1">
      <c r="A44" s="253">
        <v>29</v>
      </c>
      <c r="B44" s="302" t="s">
        <v>328</v>
      </c>
      <c r="C44" s="255">
        <f>'14. LCR'!H23</f>
        <v>14122641.891666673</v>
      </c>
      <c r="D44" s="255">
        <v>452655.96401639312</v>
      </c>
      <c r="E44" s="255">
        <v>3268.8172043010754</v>
      </c>
      <c r="F44" s="255">
        <v>0</v>
      </c>
      <c r="G44" s="258">
        <v>0</v>
      </c>
    </row>
    <row r="45" spans="1:7">
      <c r="A45" s="253">
        <v>30</v>
      </c>
      <c r="B45" s="254" t="s">
        <v>329</v>
      </c>
      <c r="C45" s="255">
        <f>'14. LCR'!H24</f>
        <v>10377351.318083346</v>
      </c>
      <c r="D45" s="256">
        <v>-7279430.0585573772</v>
      </c>
      <c r="E45" s="256">
        <v>-7487783.5431182776</v>
      </c>
      <c r="F45" s="256">
        <v>0</v>
      </c>
      <c r="G45" s="257">
        <v>0</v>
      </c>
    </row>
    <row r="46" spans="1:7">
      <c r="A46" s="297">
        <v>31</v>
      </c>
      <c r="B46" s="298" t="s">
        <v>327</v>
      </c>
      <c r="C46" s="612">
        <f>'14. LCR'!H25</f>
        <v>1.3609100683578925</v>
      </c>
      <c r="D46" s="255" t="s">
        <v>1012</v>
      </c>
      <c r="E46" s="255" t="s">
        <v>1012</v>
      </c>
      <c r="F46" s="255" t="s">
        <v>1012</v>
      </c>
      <c r="G46" s="258" t="s">
        <v>1012</v>
      </c>
    </row>
    <row r="47" spans="1:7">
      <c r="A47" s="297"/>
      <c r="B47" s="247" t="s">
        <v>422</v>
      </c>
      <c r="C47" s="164"/>
      <c r="D47" s="164"/>
      <c r="E47" s="164"/>
      <c r="F47" s="164"/>
      <c r="G47" s="165"/>
    </row>
    <row r="48" spans="1:7">
      <c r="A48" s="297">
        <v>32</v>
      </c>
      <c r="B48" s="298" t="s">
        <v>429</v>
      </c>
      <c r="C48" s="299">
        <v>18928741.454999998</v>
      </c>
      <c r="D48" s="300">
        <v>7796839.9099999992</v>
      </c>
      <c r="E48" s="300">
        <v>7354346.4798980001</v>
      </c>
      <c r="F48" s="300">
        <v>7524779.0183999995</v>
      </c>
      <c r="G48" s="301">
        <v>5074825.1100000003</v>
      </c>
    </row>
    <row r="49" spans="1:7">
      <c r="A49" s="297">
        <v>33</v>
      </c>
      <c r="B49" s="298" t="s">
        <v>442</v>
      </c>
      <c r="C49" s="299">
        <v>3021815.1269999989</v>
      </c>
      <c r="D49" s="300">
        <v>1729785.8715000001</v>
      </c>
      <c r="E49" s="300">
        <v>1417466.1060000027</v>
      </c>
      <c r="F49" s="300">
        <v>1286901.0734999999</v>
      </c>
      <c r="G49" s="301">
        <v>796409.24499999988</v>
      </c>
    </row>
    <row r="50" spans="1:7" ht="15" thickBot="1">
      <c r="A50" s="58">
        <v>34</v>
      </c>
      <c r="B50" s="129" t="s">
        <v>456</v>
      </c>
      <c r="C50" s="616">
        <v>6.2640302796392762</v>
      </c>
      <c r="D50" s="632">
        <v>4.5074017764053629</v>
      </c>
      <c r="E50" s="632">
        <v>5.1883755447609881</v>
      </c>
      <c r="F50" s="632">
        <v>5.8472085954010202</v>
      </c>
      <c r="G50" s="633">
        <v>6.3721323450985317</v>
      </c>
    </row>
    <row r="51" spans="1:7">
      <c r="A51" s="12"/>
    </row>
    <row r="52" spans="1:7">
      <c r="B52" s="14"/>
    </row>
    <row r="53" spans="1:7" ht="69">
      <c r="B53" s="200"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C14" sqref="C14"/>
    </sheetView>
  </sheetViews>
  <sheetFormatPr defaultRowHeight="14.4"/>
  <cols>
    <col min="1" max="1" width="11.44140625" customWidth="1"/>
    <col min="2" max="2" width="76.88671875" style="2" customWidth="1"/>
    <col min="3" max="3" width="22.88671875" customWidth="1"/>
  </cols>
  <sheetData>
    <row r="1" spans="1:3">
      <c r="A1" s="1" t="s">
        <v>97</v>
      </c>
      <c r="B1" t="str">
        <f>Info!C2</f>
        <v>სს პეივ ბანკ ჯორჯია</v>
      </c>
    </row>
    <row r="2" spans="1:3">
      <c r="A2" s="1" t="s">
        <v>98</v>
      </c>
      <c r="B2" s="260">
        <f>'1. key ratios'!B2</f>
        <v>45747</v>
      </c>
    </row>
    <row r="3" spans="1:3">
      <c r="A3" s="1"/>
      <c r="B3"/>
    </row>
    <row r="4" spans="1:3">
      <c r="A4" s="1" t="s">
        <v>406</v>
      </c>
      <c r="B4" t="s">
        <v>375</v>
      </c>
    </row>
    <row r="5" spans="1:3">
      <c r="A5" s="572"/>
      <c r="B5" s="572" t="s">
        <v>376</v>
      </c>
      <c r="C5" s="573"/>
    </row>
    <row r="6" spans="1:3">
      <c r="A6" s="574">
        <v>1</v>
      </c>
      <c r="B6" s="575" t="s">
        <v>376</v>
      </c>
      <c r="C6" s="576">
        <v>30506172.75</v>
      </c>
    </row>
    <row r="7" spans="1:3">
      <c r="A7" s="574">
        <v>2</v>
      </c>
      <c r="B7" s="575" t="s">
        <v>377</v>
      </c>
      <c r="C7" s="576">
        <v>-259105.8</v>
      </c>
    </row>
    <row r="8" spans="1:3">
      <c r="A8" s="577">
        <v>3</v>
      </c>
      <c r="B8" s="578" t="s">
        <v>378</v>
      </c>
      <c r="C8" s="579">
        <f>C6+C7</f>
        <v>30247066.949999999</v>
      </c>
    </row>
    <row r="9" spans="1:3">
      <c r="A9" s="580"/>
      <c r="B9" s="580" t="s">
        <v>379</v>
      </c>
      <c r="C9" s="581"/>
    </row>
    <row r="10" spans="1:3">
      <c r="A10" s="582">
        <v>4</v>
      </c>
      <c r="B10" s="583" t="s">
        <v>380</v>
      </c>
      <c r="C10" s="576">
        <f>IF('15. CCR'!F34=FALSE,0,'15. CCR'!F34)</f>
        <v>0</v>
      </c>
    </row>
    <row r="11" spans="1:3">
      <c r="A11" s="582">
        <v>5</v>
      </c>
      <c r="B11" s="584" t="s">
        <v>381</v>
      </c>
      <c r="C11" s="576">
        <f>IF('15. CCR'!G34=FALSE,0,'15. CCR'!G34)</f>
        <v>0</v>
      </c>
    </row>
    <row r="12" spans="1:3">
      <c r="A12" s="582">
        <v>6</v>
      </c>
      <c r="B12" s="585" t="s">
        <v>979</v>
      </c>
      <c r="C12" s="579">
        <f>'15. CCR'!I34</f>
        <v>0</v>
      </c>
    </row>
    <row r="13" spans="1:3">
      <c r="A13" s="586">
        <v>7</v>
      </c>
      <c r="B13" s="587" t="s">
        <v>382</v>
      </c>
      <c r="C13" s="576">
        <f>IF('15. CCR'!E34=FALSE,0,'15. CCR'!E34)</f>
        <v>0</v>
      </c>
    </row>
    <row r="14" spans="1:3">
      <c r="A14" s="588">
        <v>8</v>
      </c>
      <c r="B14" s="589" t="s">
        <v>383</v>
      </c>
      <c r="C14" s="579">
        <f>C12</f>
        <v>0</v>
      </c>
    </row>
    <row r="15" spans="1:3">
      <c r="A15" s="580"/>
      <c r="B15" s="580" t="s">
        <v>384</v>
      </c>
      <c r="C15" s="590"/>
    </row>
    <row r="16" spans="1:3">
      <c r="A16" s="586">
        <v>9</v>
      </c>
      <c r="B16" s="591" t="s">
        <v>385</v>
      </c>
      <c r="C16" s="576"/>
    </row>
    <row r="17" spans="1:3">
      <c r="A17" s="582">
        <v>10</v>
      </c>
      <c r="B17" s="575" t="s">
        <v>386</v>
      </c>
      <c r="C17" s="576"/>
    </row>
    <row r="18" spans="1:3">
      <c r="A18" s="582">
        <v>11</v>
      </c>
      <c r="B18" s="575" t="s">
        <v>387</v>
      </c>
      <c r="C18" s="576"/>
    </row>
    <row r="19" spans="1:3" ht="22.8">
      <c r="A19" s="586">
        <v>12</v>
      </c>
      <c r="B19" s="591" t="s">
        <v>388</v>
      </c>
      <c r="C19" s="576"/>
    </row>
    <row r="20" spans="1:3">
      <c r="A20" s="586">
        <v>13</v>
      </c>
      <c r="B20" s="591" t="s">
        <v>389</v>
      </c>
      <c r="C20" s="576"/>
    </row>
    <row r="21" spans="1:3">
      <c r="A21" s="586">
        <v>14</v>
      </c>
      <c r="B21" s="575" t="s">
        <v>390</v>
      </c>
      <c r="C21" s="576"/>
    </row>
    <row r="22" spans="1:3">
      <c r="A22" s="588">
        <v>15</v>
      </c>
      <c r="B22" s="589" t="s">
        <v>391</v>
      </c>
      <c r="C22" s="579">
        <f>SUM(C16:C21)</f>
        <v>0</v>
      </c>
    </row>
    <row r="23" spans="1:3">
      <c r="A23" s="580"/>
      <c r="B23" s="580" t="s">
        <v>392</v>
      </c>
      <c r="C23" s="581"/>
    </row>
    <row r="24" spans="1:3">
      <c r="A24" s="582">
        <v>16</v>
      </c>
      <c r="B24" s="575" t="s">
        <v>393</v>
      </c>
      <c r="C24" s="576"/>
    </row>
    <row r="25" spans="1:3">
      <c r="A25" s="582">
        <v>17</v>
      </c>
      <c r="B25" s="575" t="s">
        <v>394</v>
      </c>
      <c r="C25" s="576"/>
    </row>
    <row r="26" spans="1:3">
      <c r="A26" s="588">
        <v>18</v>
      </c>
      <c r="B26" s="589" t="s">
        <v>395</v>
      </c>
      <c r="C26" s="579">
        <f>C24+C25</f>
        <v>0</v>
      </c>
    </row>
    <row r="27" spans="1:3">
      <c r="A27" s="580"/>
      <c r="B27" s="580" t="s">
        <v>396</v>
      </c>
      <c r="C27" s="590"/>
    </row>
    <row r="28" spans="1:3">
      <c r="A28" s="582">
        <v>19</v>
      </c>
      <c r="B28" s="575" t="s">
        <v>397</v>
      </c>
      <c r="C28" s="576"/>
    </row>
    <row r="29" spans="1:3">
      <c r="A29" s="582">
        <v>20</v>
      </c>
      <c r="B29" s="575" t="s">
        <v>398</v>
      </c>
      <c r="C29" s="576"/>
    </row>
    <row r="30" spans="1:3">
      <c r="A30" s="580"/>
      <c r="B30" s="580" t="s">
        <v>399</v>
      </c>
      <c r="C30" s="581"/>
    </row>
    <row r="31" spans="1:3">
      <c r="A31" s="588">
        <v>21</v>
      </c>
      <c r="B31" s="589" t="s">
        <v>75</v>
      </c>
      <c r="C31" s="579">
        <f>'1. key ratios'!C9</f>
        <v>6989690.96</v>
      </c>
    </row>
    <row r="32" spans="1:3">
      <c r="A32" s="588">
        <v>22</v>
      </c>
      <c r="B32" s="589" t="s">
        <v>400</v>
      </c>
      <c r="C32" s="579">
        <f>C8+C14+C22+C26</f>
        <v>30247066.949999999</v>
      </c>
    </row>
    <row r="33" spans="1:3">
      <c r="A33" s="592"/>
      <c r="B33" s="592" t="s">
        <v>375</v>
      </c>
      <c r="C33" s="581"/>
    </row>
    <row r="34" spans="1:3">
      <c r="A34" s="588">
        <v>23</v>
      </c>
      <c r="B34" s="589" t="s">
        <v>375</v>
      </c>
      <c r="C34" s="625">
        <f>IFERROR(C31/C32,0)</f>
        <v>0.23108657019718074</v>
      </c>
    </row>
    <row r="35" spans="1:3">
      <c r="A35" s="592"/>
      <c r="B35" s="592" t="s">
        <v>401</v>
      </c>
      <c r="C35" s="581"/>
    </row>
    <row r="36" spans="1:3">
      <c r="A36" s="586" t="s">
        <v>402</v>
      </c>
      <c r="B36" s="591" t="s">
        <v>403</v>
      </c>
      <c r="C36" s="593"/>
    </row>
    <row r="37" spans="1:3">
      <c r="A37" s="594" t="s">
        <v>404</v>
      </c>
      <c r="B37" s="595" t="s">
        <v>405</v>
      </c>
      <c r="C37" s="593"/>
    </row>
    <row r="39" spans="1:3">
      <c r="B39" s="233"/>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D18" sqref="D18"/>
    </sheetView>
  </sheetViews>
  <sheetFormatPr defaultRowHeight="14.4"/>
  <cols>
    <col min="1" max="1" width="11.44140625" customWidth="1"/>
    <col min="2" max="2" width="76.88671875" style="2" customWidth="1"/>
    <col min="3" max="6" width="24.44140625" customWidth="1"/>
  </cols>
  <sheetData>
    <row r="1" spans="1:6">
      <c r="A1" s="9" t="s">
        <v>97</v>
      </c>
      <c r="B1" t="str">
        <f>Info!C2</f>
        <v>სს პეივ ბანკ ჯორჯია</v>
      </c>
    </row>
    <row r="2" spans="1:6">
      <c r="A2" s="1" t="s">
        <v>98</v>
      </c>
      <c r="B2" s="260">
        <v>45747</v>
      </c>
    </row>
    <row r="3" spans="1:6">
      <c r="A3" s="1"/>
      <c r="B3"/>
    </row>
    <row r="4" spans="1:6">
      <c r="A4" s="571" t="s">
        <v>971</v>
      </c>
    </row>
    <row r="5" spans="1:6" ht="86.4">
      <c r="B5" s="565"/>
      <c r="C5" s="566" t="s">
        <v>972</v>
      </c>
      <c r="D5" s="566" t="s">
        <v>973</v>
      </c>
      <c r="E5" s="566" t="s">
        <v>974</v>
      </c>
      <c r="F5" s="566" t="s">
        <v>975</v>
      </c>
    </row>
    <row r="6" spans="1:6">
      <c r="B6" s="567" t="s">
        <v>970</v>
      </c>
      <c r="C6" s="568" t="b">
        <f>IF(C7&gt;0,C7,IF(C8&gt;0,C8,IF(C9&gt;0,C9)))</f>
        <v>0</v>
      </c>
      <c r="D6" s="568" t="b">
        <f>IF(D7&gt;0,D7,IF(D8&gt;0,D8,IF(D9&gt;0,D9)))</f>
        <v>0</v>
      </c>
      <c r="E6" s="568" t="b">
        <f>IF(E7&gt;0,E7,IF(E8&gt;0,E8,IF(E9&gt;0,E9)))</f>
        <v>0</v>
      </c>
      <c r="F6" s="568" t="b">
        <f>IF(F7&gt;0,F7,IF(F8&gt;0,F8,IF(F9&gt;0,F9)))</f>
        <v>0</v>
      </c>
    </row>
    <row r="7" spans="1:6">
      <c r="B7" s="569" t="s">
        <v>976</v>
      </c>
      <c r="C7" s="570"/>
      <c r="D7" s="570"/>
      <c r="E7" s="570"/>
      <c r="F7" s="570"/>
    </row>
    <row r="8" spans="1:6">
      <c r="B8" s="569" t="s">
        <v>977</v>
      </c>
      <c r="C8" s="570"/>
      <c r="D8" s="570"/>
      <c r="E8" s="570"/>
      <c r="F8" s="570"/>
    </row>
    <row r="9" spans="1:6">
      <c r="B9" s="569" t="s">
        <v>978</v>
      </c>
      <c r="C9" s="570"/>
      <c r="D9" s="570"/>
      <c r="E9" s="570"/>
      <c r="F9" s="57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K11" sqref="K11"/>
    </sheetView>
  </sheetViews>
  <sheetFormatPr defaultRowHeight="14.4"/>
  <cols>
    <col min="1" max="1" width="9.88671875" style="1" bestFit="1" customWidth="1"/>
    <col min="2" max="2" width="82.6640625" style="14" customWidth="1"/>
    <col min="3" max="7" width="17.44140625" style="1" customWidth="1"/>
  </cols>
  <sheetData>
    <row r="1" spans="1:7">
      <c r="A1" s="1" t="s">
        <v>97</v>
      </c>
      <c r="B1" s="1" t="str">
        <f>Info!C2</f>
        <v>სს პეივ ბანკ ჯორჯია</v>
      </c>
    </row>
    <row r="2" spans="1:7">
      <c r="A2" s="1" t="s">
        <v>98</v>
      </c>
      <c r="B2" s="260">
        <f>'1. key ratios'!B2</f>
        <v>45747</v>
      </c>
    </row>
    <row r="3" spans="1:7">
      <c r="B3" s="260"/>
    </row>
    <row r="4" spans="1:7" ht="15" thickBot="1">
      <c r="A4" s="1" t="s">
        <v>457</v>
      </c>
      <c r="B4" s="157" t="s">
        <v>422</v>
      </c>
    </row>
    <row r="5" spans="1:7">
      <c r="A5" s="264"/>
      <c r="B5" s="265"/>
      <c r="C5" s="782" t="s">
        <v>423</v>
      </c>
      <c r="D5" s="782"/>
      <c r="E5" s="782"/>
      <c r="F5" s="782"/>
      <c r="G5" s="783" t="s">
        <v>424</v>
      </c>
    </row>
    <row r="6" spans="1:7">
      <c r="A6" s="266"/>
      <c r="B6" s="267"/>
      <c r="C6" s="268" t="s">
        <v>425</v>
      </c>
      <c r="D6" s="268" t="s">
        <v>426</v>
      </c>
      <c r="E6" s="268" t="s">
        <v>427</v>
      </c>
      <c r="F6" s="268" t="s">
        <v>428</v>
      </c>
      <c r="G6" s="784"/>
    </row>
    <row r="7" spans="1:7">
      <c r="A7" s="269"/>
      <c r="B7" s="270" t="s">
        <v>429</v>
      </c>
      <c r="C7" s="271"/>
      <c r="D7" s="271"/>
      <c r="E7" s="271"/>
      <c r="F7" s="271"/>
      <c r="G7" s="272"/>
    </row>
    <row r="8" spans="1:7">
      <c r="A8" s="273">
        <v>1</v>
      </c>
      <c r="B8" s="274" t="s">
        <v>430</v>
      </c>
      <c r="C8" s="275">
        <f>SUM(C9:C10)</f>
        <v>6989690.96</v>
      </c>
      <c r="D8" s="275">
        <f>SUM(D9:D10)</f>
        <v>0</v>
      </c>
      <c r="E8" s="275">
        <f>SUM(E9:E10)</f>
        <v>0</v>
      </c>
      <c r="F8" s="275">
        <f>SUM(F9:F10)</f>
        <v>845116.46000000008</v>
      </c>
      <c r="G8" s="276">
        <f>SUM(G9:G10)</f>
        <v>7834807.4199999999</v>
      </c>
    </row>
    <row r="9" spans="1:7">
      <c r="A9" s="273">
        <v>2</v>
      </c>
      <c r="B9" s="277" t="s">
        <v>74</v>
      </c>
      <c r="C9" s="275">
        <v>6989690.96</v>
      </c>
      <c r="D9" s="275"/>
      <c r="E9" s="275"/>
      <c r="F9" s="275"/>
      <c r="G9" s="626">
        <f>C9</f>
        <v>6989690.96</v>
      </c>
    </row>
    <row r="10" spans="1:7">
      <c r="A10" s="273">
        <v>3</v>
      </c>
      <c r="B10" s="277" t="s">
        <v>431</v>
      </c>
      <c r="C10" s="278"/>
      <c r="D10" s="278"/>
      <c r="E10" s="278"/>
      <c r="F10" s="275">
        <v>845116.46000000008</v>
      </c>
      <c r="G10" s="626">
        <f>F10</f>
        <v>845116.46000000008</v>
      </c>
    </row>
    <row r="11" spans="1:7" ht="27.6">
      <c r="A11" s="273">
        <v>4</v>
      </c>
      <c r="B11" s="274" t="s">
        <v>432</v>
      </c>
      <c r="C11" s="275">
        <f t="shared" ref="C11:F11" si="0">SUM(C12:C13)</f>
        <v>0</v>
      </c>
      <c r="D11" s="275">
        <f t="shared" si="0"/>
        <v>0</v>
      </c>
      <c r="E11" s="275">
        <f t="shared" si="0"/>
        <v>0</v>
      </c>
      <c r="F11" s="275">
        <f t="shared" si="0"/>
        <v>0</v>
      </c>
      <c r="G11" s="276">
        <f>SUM(G12:G13)</f>
        <v>0</v>
      </c>
    </row>
    <row r="12" spans="1:7">
      <c r="A12" s="273">
        <v>5</v>
      </c>
      <c r="B12" s="277" t="s">
        <v>433</v>
      </c>
      <c r="C12" s="275"/>
      <c r="D12" s="279"/>
      <c r="E12" s="275"/>
      <c r="F12" s="275"/>
      <c r="G12" s="276"/>
    </row>
    <row r="13" spans="1:7">
      <c r="A13" s="273">
        <v>6</v>
      </c>
      <c r="B13" s="277" t="s">
        <v>434</v>
      </c>
      <c r="C13" s="275"/>
      <c r="D13" s="279"/>
      <c r="E13" s="275"/>
      <c r="F13" s="275"/>
      <c r="G13" s="276"/>
    </row>
    <row r="14" spans="1:7">
      <c r="A14" s="273">
        <v>7</v>
      </c>
      <c r="B14" s="274" t="s">
        <v>435</v>
      </c>
      <c r="C14" s="275">
        <f t="shared" ref="C14:F14" si="1">SUM(C15:C16)</f>
        <v>0</v>
      </c>
      <c r="D14" s="275">
        <f t="shared" si="1"/>
        <v>22187868.07</v>
      </c>
      <c r="E14" s="275">
        <f t="shared" si="1"/>
        <v>0</v>
      </c>
      <c r="F14" s="275">
        <f t="shared" si="1"/>
        <v>0</v>
      </c>
      <c r="G14" s="276">
        <f>SUM(G15:G16)</f>
        <v>11093934.035</v>
      </c>
    </row>
    <row r="15" spans="1:7" ht="55.2">
      <c r="A15" s="273">
        <v>8</v>
      </c>
      <c r="B15" s="277" t="s">
        <v>436</v>
      </c>
      <c r="C15" s="275"/>
      <c r="D15" s="279">
        <v>22187868.07</v>
      </c>
      <c r="E15" s="275"/>
      <c r="F15" s="275"/>
      <c r="G15" s="626">
        <f>D15*0.5</f>
        <v>11093934.035</v>
      </c>
    </row>
    <row r="16" spans="1:7" ht="27.6">
      <c r="A16" s="273">
        <v>9</v>
      </c>
      <c r="B16" s="277" t="s">
        <v>437</v>
      </c>
      <c r="C16" s="275"/>
      <c r="D16" s="279"/>
      <c r="E16" s="275"/>
      <c r="F16" s="275"/>
      <c r="G16" s="276"/>
    </row>
    <row r="17" spans="1:7">
      <c r="A17" s="273">
        <v>10</v>
      </c>
      <c r="B17" s="274" t="s">
        <v>438</v>
      </c>
      <c r="C17" s="275"/>
      <c r="D17" s="279"/>
      <c r="E17" s="275"/>
      <c r="F17" s="275"/>
      <c r="G17" s="276"/>
    </row>
    <row r="18" spans="1:7">
      <c r="A18" s="273">
        <v>11</v>
      </c>
      <c r="B18" s="274" t="s">
        <v>78</v>
      </c>
      <c r="C18" s="275">
        <f>SUM(C19:C20)</f>
        <v>0</v>
      </c>
      <c r="D18" s="279">
        <f t="shared" ref="D18:G18" si="2">SUM(D19:D20)</f>
        <v>224391.46000000171</v>
      </c>
      <c r="E18" s="275">
        <f t="shared" si="2"/>
        <v>0</v>
      </c>
      <c r="F18" s="275">
        <f t="shared" si="2"/>
        <v>0</v>
      </c>
      <c r="G18" s="276">
        <f t="shared" si="2"/>
        <v>0</v>
      </c>
    </row>
    <row r="19" spans="1:7">
      <c r="A19" s="273">
        <v>12</v>
      </c>
      <c r="B19" s="277" t="s">
        <v>439</v>
      </c>
      <c r="C19" s="278"/>
      <c r="D19" s="279"/>
      <c r="E19" s="275"/>
      <c r="F19" s="275"/>
      <c r="G19" s="276"/>
    </row>
    <row r="20" spans="1:7" ht="27.6">
      <c r="A20" s="273">
        <v>13</v>
      </c>
      <c r="B20" s="277" t="s">
        <v>440</v>
      </c>
      <c r="C20" s="275"/>
      <c r="D20" s="275">
        <v>224391.46000000171</v>
      </c>
      <c r="E20" s="275"/>
      <c r="F20" s="275"/>
      <c r="G20" s="626">
        <f>D20*0</f>
        <v>0</v>
      </c>
    </row>
    <row r="21" spans="1:7">
      <c r="A21" s="280">
        <v>14</v>
      </c>
      <c r="B21" s="281" t="s">
        <v>441</v>
      </c>
      <c r="C21" s="278"/>
      <c r="D21" s="278"/>
      <c r="E21" s="278"/>
      <c r="F21" s="278"/>
      <c r="G21" s="282">
        <f>SUM(G8,G11,G14,G17,G18)</f>
        <v>18928741.454999998</v>
      </c>
    </row>
    <row r="22" spans="1:7">
      <c r="A22" s="283"/>
      <c r="B22" s="303" t="s">
        <v>442</v>
      </c>
      <c r="C22" s="284"/>
      <c r="D22" s="285"/>
      <c r="E22" s="284"/>
      <c r="F22" s="284"/>
      <c r="G22" s="286"/>
    </row>
    <row r="23" spans="1:7">
      <c r="A23" s="273">
        <v>15</v>
      </c>
      <c r="B23" s="274" t="s">
        <v>310</v>
      </c>
      <c r="C23" s="287"/>
      <c r="D23" s="288">
        <v>17024432.120000001</v>
      </c>
      <c r="E23" s="287"/>
      <c r="F23" s="287"/>
      <c r="G23" s="626">
        <f>D23*0.05</f>
        <v>851221.60600000015</v>
      </c>
    </row>
    <row r="24" spans="1:7">
      <c r="A24" s="273">
        <v>16</v>
      </c>
      <c r="B24" s="274" t="s">
        <v>443</v>
      </c>
      <c r="C24" s="275">
        <f>SUM(C25:C27,C29,C31)</f>
        <v>0</v>
      </c>
      <c r="D24" s="279">
        <f t="shared" ref="D24:G24" si="3">SUM(D25:D27,D29,D31)</f>
        <v>13002401.539999999</v>
      </c>
      <c r="E24" s="275">
        <f t="shared" si="3"/>
        <v>0</v>
      </c>
      <c r="F24" s="275">
        <f t="shared" si="3"/>
        <v>0</v>
      </c>
      <c r="G24" s="276">
        <f t="shared" si="3"/>
        <v>1950360.2309999997</v>
      </c>
    </row>
    <row r="25" spans="1:7" ht="27.6">
      <c r="A25" s="273">
        <v>17</v>
      </c>
      <c r="B25" s="277" t="s">
        <v>444</v>
      </c>
      <c r="C25" s="275"/>
      <c r="D25" s="279"/>
      <c r="E25" s="275"/>
      <c r="F25" s="275"/>
      <c r="G25" s="276"/>
    </row>
    <row r="26" spans="1:7" ht="27.6">
      <c r="A26" s="273">
        <v>18</v>
      </c>
      <c r="B26" s="277" t="s">
        <v>445</v>
      </c>
      <c r="C26" s="275"/>
      <c r="D26" s="279">
        <v>13002401.539999999</v>
      </c>
      <c r="E26" s="275"/>
      <c r="F26" s="275"/>
      <c r="G26" s="626">
        <f>D26*0.15</f>
        <v>1950360.2309999997</v>
      </c>
    </row>
    <row r="27" spans="1:7">
      <c r="A27" s="273">
        <v>19</v>
      </c>
      <c r="B27" s="277" t="s">
        <v>446</v>
      </c>
      <c r="C27" s="275"/>
      <c r="D27" s="279"/>
      <c r="E27" s="275"/>
      <c r="F27" s="275"/>
      <c r="G27" s="276"/>
    </row>
    <row r="28" spans="1:7">
      <c r="A28" s="273">
        <v>20</v>
      </c>
      <c r="B28" s="289" t="s">
        <v>447</v>
      </c>
      <c r="C28" s="275"/>
      <c r="D28" s="279"/>
      <c r="E28" s="275"/>
      <c r="F28" s="275"/>
      <c r="G28" s="276"/>
    </row>
    <row r="29" spans="1:7">
      <c r="A29" s="273">
        <v>21</v>
      </c>
      <c r="B29" s="277" t="s">
        <v>448</v>
      </c>
      <c r="C29" s="275"/>
      <c r="D29" s="279"/>
      <c r="E29" s="275"/>
      <c r="F29" s="275"/>
      <c r="G29" s="276"/>
    </row>
    <row r="30" spans="1:7">
      <c r="A30" s="273">
        <v>22</v>
      </c>
      <c r="B30" s="289" t="s">
        <v>447</v>
      </c>
      <c r="C30" s="275"/>
      <c r="D30" s="279"/>
      <c r="E30" s="275"/>
      <c r="F30" s="275"/>
      <c r="G30" s="276"/>
    </row>
    <row r="31" spans="1:7" ht="27.6">
      <c r="A31" s="273">
        <v>23</v>
      </c>
      <c r="B31" s="277" t="s">
        <v>449</v>
      </c>
      <c r="C31" s="275"/>
      <c r="D31" s="279"/>
      <c r="E31" s="275"/>
      <c r="F31" s="275"/>
      <c r="G31" s="276"/>
    </row>
    <row r="32" spans="1:7">
      <c r="A32" s="273">
        <v>24</v>
      </c>
      <c r="B32" s="274" t="s">
        <v>450</v>
      </c>
      <c r="C32" s="275"/>
      <c r="D32" s="279"/>
      <c r="E32" s="275"/>
      <c r="F32" s="275"/>
      <c r="G32" s="276"/>
    </row>
    <row r="33" spans="1:7">
      <c r="A33" s="273">
        <v>25</v>
      </c>
      <c r="B33" s="274" t="s">
        <v>88</v>
      </c>
      <c r="C33" s="275">
        <f>SUM(C34:C35)</f>
        <v>0</v>
      </c>
      <c r="D33" s="275">
        <f>SUM(D34:D35)</f>
        <v>0</v>
      </c>
      <c r="E33" s="275">
        <f>SUM(E34:E35)</f>
        <v>0</v>
      </c>
      <c r="F33" s="275">
        <f>SUM(F34:F35)</f>
        <v>220233.28999999911</v>
      </c>
      <c r="G33" s="276">
        <f>SUM(G34:G35)</f>
        <v>220233.28999999911</v>
      </c>
    </row>
    <row r="34" spans="1:7">
      <c r="A34" s="273">
        <v>26</v>
      </c>
      <c r="B34" s="277" t="s">
        <v>451</v>
      </c>
      <c r="C34" s="278"/>
      <c r="D34" s="279"/>
      <c r="E34" s="275"/>
      <c r="F34" s="275"/>
      <c r="G34" s="276"/>
    </row>
    <row r="35" spans="1:7">
      <c r="A35" s="273">
        <v>27</v>
      </c>
      <c r="B35" s="277" t="s">
        <v>452</v>
      </c>
      <c r="C35" s="275"/>
      <c r="D35" s="279"/>
      <c r="E35" s="275"/>
      <c r="F35" s="627">
        <v>220233.28999999911</v>
      </c>
      <c r="G35" s="626">
        <f>F35</f>
        <v>220233.28999999911</v>
      </c>
    </row>
    <row r="36" spans="1:7">
      <c r="A36" s="273">
        <v>28</v>
      </c>
      <c r="B36" s="274" t="s">
        <v>453</v>
      </c>
      <c r="C36" s="275"/>
      <c r="D36" s="279"/>
      <c r="E36" s="275"/>
      <c r="F36" s="275"/>
      <c r="G36" s="276"/>
    </row>
    <row r="37" spans="1:7">
      <c r="A37" s="280">
        <v>29</v>
      </c>
      <c r="B37" s="281" t="s">
        <v>454</v>
      </c>
      <c r="C37" s="278"/>
      <c r="D37" s="278"/>
      <c r="E37" s="278"/>
      <c r="F37" s="278"/>
      <c r="G37" s="282">
        <f>SUM(G23:G24,G32:G33,G36)</f>
        <v>3021815.1269999989</v>
      </c>
    </row>
    <row r="38" spans="1:7">
      <c r="A38" s="269"/>
      <c r="B38" s="290"/>
      <c r="C38" s="291"/>
      <c r="D38" s="291"/>
      <c r="E38" s="291"/>
      <c r="F38" s="291"/>
      <c r="G38" s="292"/>
    </row>
    <row r="39" spans="1:7" ht="15" thickBot="1">
      <c r="A39" s="293">
        <v>30</v>
      </c>
      <c r="B39" s="294" t="s">
        <v>422</v>
      </c>
      <c r="C39" s="193"/>
      <c r="D39" s="177"/>
      <c r="E39" s="177"/>
      <c r="F39" s="295"/>
      <c r="G39" s="296">
        <f>IFERROR(G21/G37,0)</f>
        <v>6.2640302796392762</v>
      </c>
    </row>
    <row r="42" spans="1:7" ht="41.4">
      <c r="B42" s="14"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J32" sqref="J32"/>
    </sheetView>
  </sheetViews>
  <sheetFormatPr defaultColWidth="9.109375" defaultRowHeight="12"/>
  <cols>
    <col min="1" max="1" width="11.88671875" style="308" bestFit="1" customWidth="1"/>
    <col min="2" max="2" width="105.109375" style="308" bestFit="1" customWidth="1"/>
    <col min="3" max="3" width="14.109375" style="308" bestFit="1" customWidth="1"/>
    <col min="4" max="4" width="9" style="308" bestFit="1" customWidth="1"/>
    <col min="5" max="5" width="17.44140625" style="308" bestFit="1" customWidth="1"/>
    <col min="6" max="6" width="10.44140625" style="308" bestFit="1" customWidth="1"/>
    <col min="7" max="7" width="30.44140625" style="308" customWidth="1"/>
    <col min="8" max="8" width="14.109375" style="308" bestFit="1" customWidth="1"/>
    <col min="9" max="16384" width="9.109375" style="308"/>
  </cols>
  <sheetData>
    <row r="1" spans="1:8" ht="13.8">
      <c r="A1" s="307" t="s">
        <v>97</v>
      </c>
      <c r="B1" s="232" t="str">
        <f>Info!C2</f>
        <v>სს პეივ ბანკ ჯორჯია</v>
      </c>
    </row>
    <row r="2" spans="1:8">
      <c r="A2" s="307" t="s">
        <v>98</v>
      </c>
      <c r="B2" s="310">
        <f>'1. key ratios'!B2</f>
        <v>45747</v>
      </c>
    </row>
    <row r="3" spans="1:8">
      <c r="A3" s="309" t="s">
        <v>462</v>
      </c>
    </row>
    <row r="5" spans="1:8">
      <c r="A5" s="785" t="s">
        <v>463</v>
      </c>
      <c r="B5" s="786"/>
      <c r="C5" s="791" t="s">
        <v>464</v>
      </c>
      <c r="D5" s="792"/>
      <c r="E5" s="792"/>
      <c r="F5" s="792"/>
      <c r="G5" s="792"/>
      <c r="H5" s="793"/>
    </row>
    <row r="6" spans="1:8">
      <c r="A6" s="787"/>
      <c r="B6" s="788"/>
      <c r="C6" s="794"/>
      <c r="D6" s="795"/>
      <c r="E6" s="795"/>
      <c r="F6" s="795"/>
      <c r="G6" s="795"/>
      <c r="H6" s="796"/>
    </row>
    <row r="7" spans="1:8" ht="24">
      <c r="A7" s="789"/>
      <c r="B7" s="790"/>
      <c r="C7" s="389" t="s">
        <v>465</v>
      </c>
      <c r="D7" s="389" t="s">
        <v>466</v>
      </c>
      <c r="E7" s="389" t="s">
        <v>467</v>
      </c>
      <c r="F7" s="389" t="s">
        <v>468</v>
      </c>
      <c r="G7" s="389" t="s">
        <v>648</v>
      </c>
      <c r="H7" s="389" t="s">
        <v>66</v>
      </c>
    </row>
    <row r="8" spans="1:8">
      <c r="A8" s="385">
        <v>1</v>
      </c>
      <c r="B8" s="384" t="s">
        <v>123</v>
      </c>
      <c r="C8" s="679">
        <v>17024432.120000001</v>
      </c>
      <c r="D8" s="679"/>
      <c r="E8" s="679"/>
      <c r="F8" s="679"/>
      <c r="G8" s="679"/>
      <c r="H8" s="679">
        <f t="shared" ref="H8:H20" si="0">SUM(C8:G8)</f>
        <v>17024432.120000001</v>
      </c>
    </row>
    <row r="9" spans="1:8">
      <c r="A9" s="385">
        <v>2</v>
      </c>
      <c r="B9" s="384" t="s">
        <v>124</v>
      </c>
      <c r="C9" s="679"/>
      <c r="D9" s="679"/>
      <c r="E9" s="679"/>
      <c r="F9" s="679"/>
      <c r="G9" s="679"/>
      <c r="H9" s="679">
        <f t="shared" si="0"/>
        <v>0</v>
      </c>
    </row>
    <row r="10" spans="1:8">
      <c r="A10" s="385">
        <v>3</v>
      </c>
      <c r="B10" s="384" t="s">
        <v>125</v>
      </c>
      <c r="C10" s="679"/>
      <c r="D10" s="679"/>
      <c r="E10" s="679"/>
      <c r="F10" s="679"/>
      <c r="G10" s="679"/>
      <c r="H10" s="679">
        <f t="shared" si="0"/>
        <v>0</v>
      </c>
    </row>
    <row r="11" spans="1:8">
      <c r="A11" s="385">
        <v>4</v>
      </c>
      <c r="B11" s="384" t="s">
        <v>126</v>
      </c>
      <c r="C11" s="679"/>
      <c r="D11" s="679"/>
      <c r="E11" s="679"/>
      <c r="F11" s="679"/>
      <c r="G11" s="679"/>
      <c r="H11" s="679">
        <f t="shared" si="0"/>
        <v>0</v>
      </c>
    </row>
    <row r="12" spans="1:8">
      <c r="A12" s="385">
        <v>5</v>
      </c>
      <c r="B12" s="384" t="s">
        <v>912</v>
      </c>
      <c r="C12" s="679"/>
      <c r="D12" s="679"/>
      <c r="E12" s="679"/>
      <c r="F12" s="679"/>
      <c r="G12" s="679"/>
      <c r="H12" s="679">
        <f t="shared" si="0"/>
        <v>0</v>
      </c>
    </row>
    <row r="13" spans="1:8">
      <c r="A13" s="385">
        <v>6</v>
      </c>
      <c r="B13" s="384" t="s">
        <v>127</v>
      </c>
      <c r="C13" s="679">
        <v>13002401.539999997</v>
      </c>
      <c r="D13" s="679"/>
      <c r="E13" s="679"/>
      <c r="F13" s="679"/>
      <c r="G13" s="679"/>
      <c r="H13" s="679">
        <f t="shared" si="0"/>
        <v>13002401.539999997</v>
      </c>
    </row>
    <row r="14" spans="1:8">
      <c r="A14" s="385">
        <v>7</v>
      </c>
      <c r="B14" s="384" t="s">
        <v>71</v>
      </c>
      <c r="C14" s="679"/>
      <c r="D14" s="679"/>
      <c r="E14" s="679"/>
      <c r="F14" s="679"/>
      <c r="G14" s="679"/>
      <c r="H14" s="679">
        <f t="shared" si="0"/>
        <v>0</v>
      </c>
    </row>
    <row r="15" spans="1:8">
      <c r="A15" s="385">
        <v>8</v>
      </c>
      <c r="B15" s="386" t="s">
        <v>72</v>
      </c>
      <c r="C15" s="679"/>
      <c r="D15" s="679"/>
      <c r="E15" s="679"/>
      <c r="F15" s="679"/>
      <c r="G15" s="679"/>
      <c r="H15" s="679">
        <f t="shared" si="0"/>
        <v>0</v>
      </c>
    </row>
    <row r="16" spans="1:8">
      <c r="A16" s="385">
        <v>9</v>
      </c>
      <c r="B16" s="384" t="s">
        <v>913</v>
      </c>
      <c r="C16" s="679"/>
      <c r="D16" s="679"/>
      <c r="E16" s="679"/>
      <c r="F16" s="679"/>
      <c r="G16" s="679"/>
      <c r="H16" s="679">
        <f t="shared" si="0"/>
        <v>0</v>
      </c>
    </row>
    <row r="17" spans="1:8">
      <c r="A17" s="385">
        <v>10</v>
      </c>
      <c r="B17" s="388" t="s">
        <v>483</v>
      </c>
      <c r="C17" s="679"/>
      <c r="D17" s="679"/>
      <c r="E17" s="679"/>
      <c r="F17" s="679"/>
      <c r="G17" s="679"/>
      <c r="H17" s="679">
        <f t="shared" si="0"/>
        <v>0</v>
      </c>
    </row>
    <row r="18" spans="1:8">
      <c r="A18" s="385">
        <v>11</v>
      </c>
      <c r="B18" s="384" t="s">
        <v>68</v>
      </c>
      <c r="C18" s="679"/>
      <c r="D18" s="679"/>
      <c r="E18" s="679"/>
      <c r="F18" s="679"/>
      <c r="G18" s="679"/>
      <c r="H18" s="679">
        <f t="shared" si="0"/>
        <v>0</v>
      </c>
    </row>
    <row r="19" spans="1:8">
      <c r="A19" s="385">
        <v>12</v>
      </c>
      <c r="B19" s="384" t="s">
        <v>69</v>
      </c>
      <c r="C19" s="679"/>
      <c r="D19" s="679"/>
      <c r="E19" s="679"/>
      <c r="F19" s="679"/>
      <c r="G19" s="679"/>
      <c r="H19" s="679">
        <f t="shared" si="0"/>
        <v>0</v>
      </c>
    </row>
    <row r="20" spans="1:8">
      <c r="A20" s="387">
        <v>13</v>
      </c>
      <c r="B20" s="386" t="s">
        <v>70</v>
      </c>
      <c r="C20" s="679"/>
      <c r="D20" s="679"/>
      <c r="E20" s="679"/>
      <c r="F20" s="679"/>
      <c r="G20" s="679"/>
      <c r="H20" s="679">
        <f t="shared" si="0"/>
        <v>0</v>
      </c>
    </row>
    <row r="21" spans="1:8">
      <c r="A21" s="385">
        <v>14</v>
      </c>
      <c r="B21" s="384" t="s">
        <v>469</v>
      </c>
      <c r="C21" s="679"/>
      <c r="D21" s="679">
        <v>0</v>
      </c>
      <c r="E21" s="679">
        <v>94887.16</v>
      </c>
      <c r="F21" s="679">
        <v>34371.31</v>
      </c>
      <c r="G21" s="679">
        <v>90974.82</v>
      </c>
      <c r="H21" s="679">
        <f>SUM(C21:G21)</f>
        <v>220233.29</v>
      </c>
    </row>
    <row r="22" spans="1:8">
      <c r="A22" s="383">
        <v>15</v>
      </c>
      <c r="B22" s="382" t="s">
        <v>66</v>
      </c>
      <c r="C22" s="679">
        <f>SUM(C18:C21)+SUM(C8:C16)</f>
        <v>30026833.659999996</v>
      </c>
      <c r="D22" s="679">
        <f t="shared" ref="D22:H22" si="1">SUM(D18:D21)+SUM(D8:D16)</f>
        <v>0</v>
      </c>
      <c r="E22" s="679">
        <f t="shared" si="1"/>
        <v>94887.16</v>
      </c>
      <c r="F22" s="679">
        <f t="shared" si="1"/>
        <v>34371.31</v>
      </c>
      <c r="G22" s="679">
        <f t="shared" si="1"/>
        <v>90974.82</v>
      </c>
      <c r="H22" s="679">
        <f t="shared" si="1"/>
        <v>30247066.949999996</v>
      </c>
    </row>
    <row r="26" spans="1:8" ht="36">
      <c r="B26" s="325"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E32" sqref="E32"/>
    </sheetView>
  </sheetViews>
  <sheetFormatPr defaultColWidth="9.109375" defaultRowHeight="12"/>
  <cols>
    <col min="1" max="1" width="11.88671875" style="311" bestFit="1" customWidth="1"/>
    <col min="2" max="2" width="86.88671875" style="308" customWidth="1"/>
    <col min="3" max="4" width="31.44140625" style="308" customWidth="1"/>
    <col min="5" max="5" width="16.44140625" style="308" bestFit="1" customWidth="1"/>
    <col min="6" max="6" width="14.109375" style="308" bestFit="1" customWidth="1"/>
    <col min="7" max="7" width="20" style="308" bestFit="1" customWidth="1"/>
    <col min="8" max="8" width="25.109375" style="308" bestFit="1" customWidth="1"/>
    <col min="9" max="16384" width="9.109375" style="308"/>
  </cols>
  <sheetData>
    <row r="1" spans="1:8" ht="13.8">
      <c r="A1" s="307" t="s">
        <v>97</v>
      </c>
      <c r="B1" s="232" t="str">
        <f>Info!C2</f>
        <v>სს პეივ ბანკ ჯორჯია</v>
      </c>
      <c r="C1" s="400"/>
      <c r="D1" s="400"/>
      <c r="E1" s="400"/>
      <c r="F1" s="400"/>
      <c r="G1" s="400"/>
      <c r="H1" s="400"/>
    </row>
    <row r="2" spans="1:8">
      <c r="A2" s="307" t="s">
        <v>98</v>
      </c>
      <c r="B2" s="310">
        <f>'1. key ratios'!B2</f>
        <v>45747</v>
      </c>
      <c r="C2" s="400"/>
      <c r="D2" s="400"/>
      <c r="E2" s="400"/>
      <c r="F2" s="400"/>
      <c r="G2" s="400"/>
      <c r="H2" s="400"/>
    </row>
    <row r="3" spans="1:8">
      <c r="A3" s="309" t="s">
        <v>470</v>
      </c>
      <c r="B3" s="400"/>
      <c r="C3" s="400"/>
      <c r="D3" s="400"/>
      <c r="E3" s="400"/>
      <c r="F3" s="400"/>
      <c r="G3" s="400"/>
      <c r="H3" s="400"/>
    </row>
    <row r="4" spans="1:8">
      <c r="A4" s="401"/>
      <c r="B4" s="400"/>
      <c r="C4" s="399" t="s">
        <v>471</v>
      </c>
      <c r="D4" s="399" t="s">
        <v>472</v>
      </c>
      <c r="E4" s="399" t="s">
        <v>473</v>
      </c>
      <c r="F4" s="399" t="s">
        <v>474</v>
      </c>
      <c r="G4" s="399" t="s">
        <v>475</v>
      </c>
      <c r="H4" s="399" t="s">
        <v>476</v>
      </c>
    </row>
    <row r="5" spans="1:8" ht="34.049999999999997" customHeight="1">
      <c r="A5" s="785" t="s">
        <v>835</v>
      </c>
      <c r="B5" s="786"/>
      <c r="C5" s="799" t="s">
        <v>565</v>
      </c>
      <c r="D5" s="799"/>
      <c r="E5" s="799" t="s">
        <v>834</v>
      </c>
      <c r="F5" s="797" t="s">
        <v>833</v>
      </c>
      <c r="G5" s="797" t="s">
        <v>480</v>
      </c>
      <c r="H5" s="397" t="s">
        <v>832</v>
      </c>
    </row>
    <row r="6" spans="1:8" ht="24">
      <c r="A6" s="789"/>
      <c r="B6" s="790"/>
      <c r="C6" s="398" t="s">
        <v>481</v>
      </c>
      <c r="D6" s="398" t="s">
        <v>482</v>
      </c>
      <c r="E6" s="799"/>
      <c r="F6" s="798"/>
      <c r="G6" s="798"/>
      <c r="H6" s="397" t="s">
        <v>831</v>
      </c>
    </row>
    <row r="7" spans="1:8">
      <c r="A7" s="395">
        <v>1</v>
      </c>
      <c r="B7" s="384" t="s">
        <v>123</v>
      </c>
      <c r="C7" s="680"/>
      <c r="D7" s="680">
        <v>17024432.120000001</v>
      </c>
      <c r="E7" s="680"/>
      <c r="F7" s="680"/>
      <c r="G7" s="680"/>
      <c r="H7" s="681">
        <f t="shared" ref="H7:H20" si="0">C7+D7-E7-F7</f>
        <v>17024432.120000001</v>
      </c>
    </row>
    <row r="8" spans="1:8" ht="14.55" customHeight="1">
      <c r="A8" s="395">
        <v>2</v>
      </c>
      <c r="B8" s="384" t="s">
        <v>124</v>
      </c>
      <c r="C8" s="680"/>
      <c r="D8" s="680"/>
      <c r="E8" s="680"/>
      <c r="F8" s="680"/>
      <c r="G8" s="680"/>
      <c r="H8" s="681">
        <f t="shared" si="0"/>
        <v>0</v>
      </c>
    </row>
    <row r="9" spans="1:8">
      <c r="A9" s="395">
        <v>3</v>
      </c>
      <c r="B9" s="384" t="s">
        <v>125</v>
      </c>
      <c r="C9" s="680"/>
      <c r="D9" s="680"/>
      <c r="E9" s="680"/>
      <c r="F9" s="680"/>
      <c r="G9" s="680"/>
      <c r="H9" s="681">
        <f t="shared" si="0"/>
        <v>0</v>
      </c>
    </row>
    <row r="10" spans="1:8">
      <c r="A10" s="395">
        <v>4</v>
      </c>
      <c r="B10" s="384" t="s">
        <v>126</v>
      </c>
      <c r="C10" s="680"/>
      <c r="D10" s="680"/>
      <c r="E10" s="680"/>
      <c r="F10" s="680"/>
      <c r="G10" s="680"/>
      <c r="H10" s="681">
        <f t="shared" si="0"/>
        <v>0</v>
      </c>
    </row>
    <row r="11" spans="1:8">
      <c r="A11" s="395">
        <v>5</v>
      </c>
      <c r="B11" s="384" t="s">
        <v>912</v>
      </c>
      <c r="C11" s="680"/>
      <c r="D11" s="680"/>
      <c r="E11" s="680"/>
      <c r="F11" s="680"/>
      <c r="G11" s="680"/>
      <c r="H11" s="681">
        <f t="shared" si="0"/>
        <v>0</v>
      </c>
    </row>
    <row r="12" spans="1:8">
      <c r="A12" s="395">
        <v>6</v>
      </c>
      <c r="B12" s="384" t="s">
        <v>127</v>
      </c>
      <c r="C12" s="680"/>
      <c r="D12" s="680">
        <v>13002401.539999999</v>
      </c>
      <c r="E12" s="680"/>
      <c r="F12" s="680"/>
      <c r="G12" s="680"/>
      <c r="H12" s="681">
        <f t="shared" si="0"/>
        <v>13002401.539999999</v>
      </c>
    </row>
    <row r="13" spans="1:8">
      <c r="A13" s="395">
        <v>7</v>
      </c>
      <c r="B13" s="384" t="s">
        <v>71</v>
      </c>
      <c r="C13" s="680"/>
      <c r="D13" s="680"/>
      <c r="E13" s="680"/>
      <c r="F13" s="680"/>
      <c r="G13" s="680"/>
      <c r="H13" s="681">
        <f t="shared" si="0"/>
        <v>0</v>
      </c>
    </row>
    <row r="14" spans="1:8">
      <c r="A14" s="395">
        <v>8</v>
      </c>
      <c r="B14" s="386" t="s">
        <v>72</v>
      </c>
      <c r="C14" s="680"/>
      <c r="D14" s="680"/>
      <c r="E14" s="680"/>
      <c r="F14" s="680"/>
      <c r="G14" s="680"/>
      <c r="H14" s="681">
        <f t="shared" si="0"/>
        <v>0</v>
      </c>
    </row>
    <row r="15" spans="1:8">
      <c r="A15" s="395">
        <v>9</v>
      </c>
      <c r="B15" s="384" t="s">
        <v>913</v>
      </c>
      <c r="C15" s="680"/>
      <c r="D15" s="680"/>
      <c r="E15" s="680"/>
      <c r="F15" s="680"/>
      <c r="G15" s="680"/>
      <c r="H15" s="681">
        <f t="shared" si="0"/>
        <v>0</v>
      </c>
    </row>
    <row r="16" spans="1:8">
      <c r="A16" s="395">
        <v>10</v>
      </c>
      <c r="B16" s="388" t="s">
        <v>483</v>
      </c>
      <c r="C16" s="680"/>
      <c r="D16" s="680"/>
      <c r="E16" s="680"/>
      <c r="F16" s="680"/>
      <c r="G16" s="680"/>
      <c r="H16" s="681">
        <f t="shared" si="0"/>
        <v>0</v>
      </c>
    </row>
    <row r="17" spans="1:8">
      <c r="A17" s="395">
        <v>11</v>
      </c>
      <c r="B17" s="384" t="s">
        <v>68</v>
      </c>
      <c r="C17" s="680"/>
      <c r="D17" s="680"/>
      <c r="E17" s="680"/>
      <c r="F17" s="680"/>
      <c r="G17" s="680"/>
      <c r="H17" s="681">
        <f t="shared" si="0"/>
        <v>0</v>
      </c>
    </row>
    <row r="18" spans="1:8">
      <c r="A18" s="395">
        <v>12</v>
      </c>
      <c r="B18" s="384" t="s">
        <v>69</v>
      </c>
      <c r="C18" s="680"/>
      <c r="D18" s="680"/>
      <c r="E18" s="680"/>
      <c r="F18" s="680"/>
      <c r="G18" s="680"/>
      <c r="H18" s="681">
        <f t="shared" si="0"/>
        <v>0</v>
      </c>
    </row>
    <row r="19" spans="1:8">
      <c r="A19" s="396">
        <v>13</v>
      </c>
      <c r="B19" s="386" t="s">
        <v>70</v>
      </c>
      <c r="C19" s="680"/>
      <c r="D19" s="680"/>
      <c r="E19" s="680"/>
      <c r="F19" s="680"/>
      <c r="G19" s="680"/>
      <c r="H19" s="681">
        <f t="shared" si="0"/>
        <v>0</v>
      </c>
    </row>
    <row r="20" spans="1:8">
      <c r="A20" s="395">
        <v>14</v>
      </c>
      <c r="B20" s="384" t="s">
        <v>469</v>
      </c>
      <c r="C20" s="680"/>
      <c r="D20" s="680">
        <v>479339.09</v>
      </c>
      <c r="E20" s="680"/>
      <c r="F20" s="680"/>
      <c r="G20" s="680"/>
      <c r="H20" s="681">
        <f t="shared" si="0"/>
        <v>479339.09</v>
      </c>
    </row>
    <row r="21" spans="1:8" s="312" customFormat="1">
      <c r="A21" s="394">
        <v>15</v>
      </c>
      <c r="B21" s="393" t="s">
        <v>66</v>
      </c>
      <c r="C21" s="682">
        <f t="shared" ref="C21:H21" si="1">SUM(C7:C15)+SUM(C17:C20)</f>
        <v>0</v>
      </c>
      <c r="D21" s="682">
        <f t="shared" si="1"/>
        <v>30506172.75</v>
      </c>
      <c r="E21" s="682">
        <f t="shared" si="1"/>
        <v>0</v>
      </c>
      <c r="F21" s="682">
        <f t="shared" si="1"/>
        <v>0</v>
      </c>
      <c r="G21" s="682">
        <f t="shared" si="1"/>
        <v>0</v>
      </c>
      <c r="H21" s="681">
        <f t="shared" si="1"/>
        <v>30506172.75</v>
      </c>
    </row>
    <row r="22" spans="1:8">
      <c r="A22" s="392">
        <v>16</v>
      </c>
      <c r="B22" s="391" t="s">
        <v>484</v>
      </c>
      <c r="C22" s="680"/>
      <c r="D22" s="680"/>
      <c r="E22" s="680"/>
      <c r="F22" s="680"/>
      <c r="G22" s="680"/>
      <c r="H22" s="681">
        <f>C22+D22-E22-F22</f>
        <v>0</v>
      </c>
    </row>
    <row r="23" spans="1:8">
      <c r="A23" s="392">
        <v>17</v>
      </c>
      <c r="B23" s="391" t="s">
        <v>485</v>
      </c>
      <c r="C23" s="680"/>
      <c r="D23" s="680"/>
      <c r="E23" s="680"/>
      <c r="F23" s="680"/>
      <c r="G23" s="680"/>
      <c r="H23" s="681">
        <f>C23+D23-E23-F23</f>
        <v>0</v>
      </c>
    </row>
    <row r="26" spans="1:8" ht="42.6" customHeight="1">
      <c r="B26" s="325"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F42" sqref="F42"/>
    </sheetView>
  </sheetViews>
  <sheetFormatPr defaultColWidth="9.109375" defaultRowHeight="12"/>
  <cols>
    <col min="1" max="1" width="11" style="308" bestFit="1" customWidth="1"/>
    <col min="2" max="2" width="80.109375" style="308" customWidth="1"/>
    <col min="3" max="4" width="32.77734375" style="308" customWidth="1"/>
    <col min="5" max="5" width="17.21875" style="308" bestFit="1" customWidth="1"/>
    <col min="6" max="6" width="15.109375" style="308" bestFit="1" customWidth="1"/>
    <col min="7" max="7" width="22" style="308" customWidth="1"/>
    <col min="8" max="8" width="26.109375" style="308" bestFit="1" customWidth="1"/>
    <col min="9" max="16384" width="9.109375" style="308"/>
  </cols>
  <sheetData>
    <row r="1" spans="1:8" ht="13.8">
      <c r="A1" s="307" t="s">
        <v>97</v>
      </c>
      <c r="B1" s="232" t="str">
        <f>Info!C2</f>
        <v>სს პეივ ბანკ ჯორჯია</v>
      </c>
      <c r="C1" s="400"/>
      <c r="D1" s="400"/>
      <c r="E1" s="400"/>
      <c r="F1" s="400"/>
      <c r="G1" s="400"/>
      <c r="H1" s="400"/>
    </row>
    <row r="2" spans="1:8">
      <c r="A2" s="307" t="s">
        <v>98</v>
      </c>
      <c r="B2" s="310">
        <f>'1. key ratios'!B2</f>
        <v>45747</v>
      </c>
      <c r="C2" s="400"/>
      <c r="D2" s="400"/>
      <c r="E2" s="400"/>
      <c r="F2" s="400"/>
      <c r="G2" s="400"/>
      <c r="H2" s="400"/>
    </row>
    <row r="3" spans="1:8">
      <c r="A3" s="309" t="s">
        <v>486</v>
      </c>
      <c r="B3" s="400"/>
      <c r="C3" s="400"/>
      <c r="D3" s="400"/>
      <c r="E3" s="400"/>
      <c r="F3" s="400"/>
      <c r="G3" s="400"/>
      <c r="H3" s="400"/>
    </row>
    <row r="4" spans="1:8">
      <c r="A4" s="400"/>
      <c r="B4" s="400"/>
      <c r="C4" s="399" t="s">
        <v>471</v>
      </c>
      <c r="D4" s="399" t="s">
        <v>472</v>
      </c>
      <c r="E4" s="399" t="s">
        <v>473</v>
      </c>
      <c r="F4" s="399" t="s">
        <v>474</v>
      </c>
      <c r="G4" s="399" t="s">
        <v>475</v>
      </c>
      <c r="H4" s="399" t="s">
        <v>476</v>
      </c>
    </row>
    <row r="5" spans="1:8" ht="41.55" customHeight="1">
      <c r="A5" s="785" t="s">
        <v>837</v>
      </c>
      <c r="B5" s="786"/>
      <c r="C5" s="800" t="s">
        <v>565</v>
      </c>
      <c r="D5" s="801"/>
      <c r="E5" s="797" t="s">
        <v>834</v>
      </c>
      <c r="F5" s="797" t="s">
        <v>833</v>
      </c>
      <c r="G5" s="797" t="s">
        <v>480</v>
      </c>
      <c r="H5" s="397" t="s">
        <v>832</v>
      </c>
    </row>
    <row r="6" spans="1:8" ht="24">
      <c r="A6" s="789"/>
      <c r="B6" s="790"/>
      <c r="C6" s="398" t="s">
        <v>481</v>
      </c>
      <c r="D6" s="398" t="s">
        <v>482</v>
      </c>
      <c r="E6" s="798"/>
      <c r="F6" s="798"/>
      <c r="G6" s="798"/>
      <c r="H6" s="397" t="s">
        <v>831</v>
      </c>
    </row>
    <row r="7" spans="1:8">
      <c r="A7" s="390">
        <v>1</v>
      </c>
      <c r="B7" s="403" t="s">
        <v>487</v>
      </c>
      <c r="C7" s="680"/>
      <c r="D7" s="680">
        <f>'18. Assets by Exposure classes'!D7</f>
        <v>17024432.120000001</v>
      </c>
      <c r="E7" s="680"/>
      <c r="F7" s="680"/>
      <c r="G7" s="680"/>
      <c r="H7" s="681">
        <f t="shared" ref="H7:H34" si="0">C7+D7-E7-F7</f>
        <v>17024432.120000001</v>
      </c>
    </row>
    <row r="8" spans="1:8">
      <c r="A8" s="390">
        <v>2</v>
      </c>
      <c r="B8" s="403" t="s">
        <v>488</v>
      </c>
      <c r="C8" s="680"/>
      <c r="D8" s="680">
        <f>'18. Assets by Exposure classes'!D12</f>
        <v>13002401.539999999</v>
      </c>
      <c r="E8" s="680"/>
      <c r="F8" s="680"/>
      <c r="G8" s="680"/>
      <c r="H8" s="681">
        <f t="shared" si="0"/>
        <v>13002401.539999999</v>
      </c>
    </row>
    <row r="9" spans="1:8">
      <c r="A9" s="390">
        <v>3</v>
      </c>
      <c r="B9" s="403" t="s">
        <v>836</v>
      </c>
      <c r="C9" s="680"/>
      <c r="D9" s="680"/>
      <c r="E9" s="680"/>
      <c r="F9" s="680"/>
      <c r="G9" s="680"/>
      <c r="H9" s="681">
        <f t="shared" si="0"/>
        <v>0</v>
      </c>
    </row>
    <row r="10" spans="1:8">
      <c r="A10" s="390">
        <v>4</v>
      </c>
      <c r="B10" s="403" t="s">
        <v>489</v>
      </c>
      <c r="C10" s="680"/>
      <c r="D10" s="680"/>
      <c r="E10" s="680"/>
      <c r="F10" s="680"/>
      <c r="G10" s="680"/>
      <c r="H10" s="681">
        <f t="shared" si="0"/>
        <v>0</v>
      </c>
    </row>
    <row r="11" spans="1:8">
      <c r="A11" s="390">
        <v>5</v>
      </c>
      <c r="B11" s="403" t="s">
        <v>490</v>
      </c>
      <c r="C11" s="680"/>
      <c r="D11" s="680"/>
      <c r="E11" s="680"/>
      <c r="F11" s="680"/>
      <c r="G11" s="680"/>
      <c r="H11" s="681">
        <f t="shared" si="0"/>
        <v>0</v>
      </c>
    </row>
    <row r="12" spans="1:8">
      <c r="A12" s="390">
        <v>6</v>
      </c>
      <c r="B12" s="403" t="s">
        <v>491</v>
      </c>
      <c r="C12" s="680"/>
      <c r="D12" s="680"/>
      <c r="E12" s="680"/>
      <c r="F12" s="680"/>
      <c r="G12" s="680"/>
      <c r="H12" s="681">
        <f t="shared" si="0"/>
        <v>0</v>
      </c>
    </row>
    <row r="13" spans="1:8">
      <c r="A13" s="390">
        <v>7</v>
      </c>
      <c r="B13" s="403" t="s">
        <v>492</v>
      </c>
      <c r="C13" s="680"/>
      <c r="D13" s="680"/>
      <c r="E13" s="680"/>
      <c r="F13" s="680"/>
      <c r="G13" s="680"/>
      <c r="H13" s="681">
        <f t="shared" si="0"/>
        <v>0</v>
      </c>
    </row>
    <row r="14" spans="1:8">
      <c r="A14" s="390">
        <v>8</v>
      </c>
      <c r="B14" s="403" t="s">
        <v>493</v>
      </c>
      <c r="C14" s="680"/>
      <c r="D14" s="680"/>
      <c r="E14" s="680"/>
      <c r="F14" s="680"/>
      <c r="G14" s="680"/>
      <c r="H14" s="681">
        <f t="shared" si="0"/>
        <v>0</v>
      </c>
    </row>
    <row r="15" spans="1:8">
      <c r="A15" s="390">
        <v>9</v>
      </c>
      <c r="B15" s="403" t="s">
        <v>494</v>
      </c>
      <c r="C15" s="680"/>
      <c r="D15" s="680"/>
      <c r="E15" s="680"/>
      <c r="F15" s="680"/>
      <c r="G15" s="680"/>
      <c r="H15" s="681">
        <f t="shared" si="0"/>
        <v>0</v>
      </c>
    </row>
    <row r="16" spans="1:8">
      <c r="A16" s="390">
        <v>10</v>
      </c>
      <c r="B16" s="403" t="s">
        <v>495</v>
      </c>
      <c r="C16" s="680"/>
      <c r="D16" s="680"/>
      <c r="E16" s="680"/>
      <c r="F16" s="680"/>
      <c r="G16" s="680"/>
      <c r="H16" s="681">
        <f t="shared" si="0"/>
        <v>0</v>
      </c>
    </row>
    <row r="17" spans="1:8">
      <c r="A17" s="390">
        <v>11</v>
      </c>
      <c r="B17" s="403" t="s">
        <v>496</v>
      </c>
      <c r="C17" s="680"/>
      <c r="D17" s="680"/>
      <c r="E17" s="680"/>
      <c r="F17" s="680"/>
      <c r="G17" s="680"/>
      <c r="H17" s="681">
        <f t="shared" si="0"/>
        <v>0</v>
      </c>
    </row>
    <row r="18" spans="1:8">
      <c r="A18" s="390">
        <v>12</v>
      </c>
      <c r="B18" s="403" t="s">
        <v>497</v>
      </c>
      <c r="C18" s="680"/>
      <c r="D18" s="680"/>
      <c r="E18" s="680"/>
      <c r="F18" s="680"/>
      <c r="G18" s="680"/>
      <c r="H18" s="681">
        <f t="shared" si="0"/>
        <v>0</v>
      </c>
    </row>
    <row r="19" spans="1:8">
      <c r="A19" s="390">
        <v>13</v>
      </c>
      <c r="B19" s="403" t="s">
        <v>498</v>
      </c>
      <c r="C19" s="680"/>
      <c r="D19" s="680"/>
      <c r="E19" s="680"/>
      <c r="F19" s="680"/>
      <c r="G19" s="680"/>
      <c r="H19" s="681">
        <f t="shared" si="0"/>
        <v>0</v>
      </c>
    </row>
    <row r="20" spans="1:8">
      <c r="A20" s="390">
        <v>14</v>
      </c>
      <c r="B20" s="403" t="s">
        <v>499</v>
      </c>
      <c r="C20" s="680"/>
      <c r="D20" s="680"/>
      <c r="E20" s="680"/>
      <c r="F20" s="680"/>
      <c r="G20" s="680"/>
      <c r="H20" s="681">
        <f t="shared" si="0"/>
        <v>0</v>
      </c>
    </row>
    <row r="21" spans="1:8">
      <c r="A21" s="390">
        <v>15</v>
      </c>
      <c r="B21" s="403" t="s">
        <v>500</v>
      </c>
      <c r="C21" s="680"/>
      <c r="D21" s="680"/>
      <c r="E21" s="680"/>
      <c r="F21" s="680"/>
      <c r="G21" s="680"/>
      <c r="H21" s="681">
        <f t="shared" si="0"/>
        <v>0</v>
      </c>
    </row>
    <row r="22" spans="1:8">
      <c r="A22" s="390">
        <v>16</v>
      </c>
      <c r="B22" s="403" t="s">
        <v>501</v>
      </c>
      <c r="C22" s="680"/>
      <c r="D22" s="680"/>
      <c r="E22" s="680"/>
      <c r="F22" s="680"/>
      <c r="G22" s="680"/>
      <c r="H22" s="681">
        <f t="shared" si="0"/>
        <v>0</v>
      </c>
    </row>
    <row r="23" spans="1:8">
      <c r="A23" s="390">
        <v>17</v>
      </c>
      <c r="B23" s="403" t="s">
        <v>502</v>
      </c>
      <c r="C23" s="680"/>
      <c r="D23" s="680"/>
      <c r="E23" s="680"/>
      <c r="F23" s="680"/>
      <c r="G23" s="680"/>
      <c r="H23" s="681">
        <f t="shared" si="0"/>
        <v>0</v>
      </c>
    </row>
    <row r="24" spans="1:8">
      <c r="A24" s="390">
        <v>18</v>
      </c>
      <c r="B24" s="403" t="s">
        <v>503</v>
      </c>
      <c r="C24" s="680"/>
      <c r="D24" s="680"/>
      <c r="E24" s="680"/>
      <c r="F24" s="680"/>
      <c r="G24" s="680"/>
      <c r="H24" s="681">
        <f t="shared" si="0"/>
        <v>0</v>
      </c>
    </row>
    <row r="25" spans="1:8">
      <c r="A25" s="390">
        <v>19</v>
      </c>
      <c r="B25" s="403" t="s">
        <v>504</v>
      </c>
      <c r="C25" s="680"/>
      <c r="D25" s="680"/>
      <c r="E25" s="680"/>
      <c r="F25" s="680"/>
      <c r="G25" s="680"/>
      <c r="H25" s="681">
        <f t="shared" si="0"/>
        <v>0</v>
      </c>
    </row>
    <row r="26" spans="1:8">
      <c r="A26" s="390">
        <v>20</v>
      </c>
      <c r="B26" s="403" t="s">
        <v>505</v>
      </c>
      <c r="C26" s="680"/>
      <c r="D26" s="680"/>
      <c r="E26" s="680"/>
      <c r="F26" s="680"/>
      <c r="G26" s="680"/>
      <c r="H26" s="681">
        <f t="shared" si="0"/>
        <v>0</v>
      </c>
    </row>
    <row r="27" spans="1:8">
      <c r="A27" s="390">
        <v>21</v>
      </c>
      <c r="B27" s="403" t="s">
        <v>506</v>
      </c>
      <c r="C27" s="680"/>
      <c r="D27" s="680"/>
      <c r="E27" s="680"/>
      <c r="F27" s="680"/>
      <c r="G27" s="680"/>
      <c r="H27" s="681">
        <f t="shared" si="0"/>
        <v>0</v>
      </c>
    </row>
    <row r="28" spans="1:8">
      <c r="A28" s="390">
        <v>22</v>
      </c>
      <c r="B28" s="403" t="s">
        <v>507</v>
      </c>
      <c r="C28" s="680"/>
      <c r="D28" s="680"/>
      <c r="E28" s="680"/>
      <c r="F28" s="680"/>
      <c r="G28" s="680"/>
      <c r="H28" s="681">
        <f t="shared" si="0"/>
        <v>0</v>
      </c>
    </row>
    <row r="29" spans="1:8">
      <c r="A29" s="390">
        <v>23</v>
      </c>
      <c r="B29" s="403" t="s">
        <v>508</v>
      </c>
      <c r="C29" s="680"/>
      <c r="D29" s="680"/>
      <c r="E29" s="680"/>
      <c r="F29" s="680"/>
      <c r="G29" s="680"/>
      <c r="H29" s="681">
        <f t="shared" si="0"/>
        <v>0</v>
      </c>
    </row>
    <row r="30" spans="1:8">
      <c r="A30" s="390">
        <v>24</v>
      </c>
      <c r="B30" s="403" t="s">
        <v>509</v>
      </c>
      <c r="C30" s="680"/>
      <c r="D30" s="680"/>
      <c r="E30" s="680"/>
      <c r="F30" s="680"/>
      <c r="G30" s="680"/>
      <c r="H30" s="681">
        <f t="shared" si="0"/>
        <v>0</v>
      </c>
    </row>
    <row r="31" spans="1:8">
      <c r="A31" s="390">
        <v>25</v>
      </c>
      <c r="B31" s="403" t="s">
        <v>510</v>
      </c>
      <c r="C31" s="680"/>
      <c r="D31" s="680"/>
      <c r="E31" s="680"/>
      <c r="F31" s="680"/>
      <c r="G31" s="680"/>
      <c r="H31" s="681">
        <f t="shared" si="0"/>
        <v>0</v>
      </c>
    </row>
    <row r="32" spans="1:8">
      <c r="A32" s="390">
        <v>26</v>
      </c>
      <c r="B32" s="403" t="s">
        <v>511</v>
      </c>
      <c r="C32" s="680"/>
      <c r="D32" s="680"/>
      <c r="E32" s="680"/>
      <c r="F32" s="680"/>
      <c r="G32" s="680"/>
      <c r="H32" s="681">
        <f t="shared" si="0"/>
        <v>0</v>
      </c>
    </row>
    <row r="33" spans="1:8">
      <c r="A33" s="390">
        <v>27</v>
      </c>
      <c r="B33" s="390" t="s">
        <v>88</v>
      </c>
      <c r="C33" s="680"/>
      <c r="D33" s="680">
        <f>'18. Assets by Exposure classes'!D20</f>
        <v>479339.09</v>
      </c>
      <c r="E33" s="680"/>
      <c r="F33" s="680"/>
      <c r="G33" s="680"/>
      <c r="H33" s="681">
        <f t="shared" si="0"/>
        <v>479339.09</v>
      </c>
    </row>
    <row r="34" spans="1:8">
      <c r="A34" s="390">
        <v>28</v>
      </c>
      <c r="B34" s="393" t="s">
        <v>66</v>
      </c>
      <c r="C34" s="682">
        <f>SUM(C7:C33)</f>
        <v>0</v>
      </c>
      <c r="D34" s="682">
        <f>SUM(D7:D33)</f>
        <v>30506172.75</v>
      </c>
      <c r="E34" s="682">
        <f>SUM(E7:E33)</f>
        <v>0</v>
      </c>
      <c r="F34" s="682">
        <f>SUM(F7:F33)</f>
        <v>0</v>
      </c>
      <c r="G34" s="682">
        <f>SUM(G7:G33)</f>
        <v>0</v>
      </c>
      <c r="H34" s="681">
        <f t="shared" si="0"/>
        <v>30506172.75</v>
      </c>
    </row>
    <row r="36" spans="1:8">
      <c r="B36" s="313"/>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B33" sqref="B33"/>
    </sheetView>
  </sheetViews>
  <sheetFormatPr defaultColWidth="9.109375" defaultRowHeight="12"/>
  <cols>
    <col min="1" max="1" width="11.88671875" style="308" bestFit="1" customWidth="1"/>
    <col min="2" max="2" width="108" style="308" bestFit="1" customWidth="1"/>
    <col min="3" max="3" width="35.44140625" style="308" customWidth="1"/>
    <col min="4" max="4" width="38.44140625" style="308" customWidth="1"/>
    <col min="5" max="16384" width="9.109375" style="308"/>
  </cols>
  <sheetData>
    <row r="1" spans="1:4" ht="13.8">
      <c r="A1" s="307" t="s">
        <v>97</v>
      </c>
      <c r="B1" s="232" t="str">
        <f>Info!C2</f>
        <v>სს პეივ ბანკ ჯორჯია</v>
      </c>
    </row>
    <row r="2" spans="1:4">
      <c r="A2" s="307" t="s">
        <v>98</v>
      </c>
      <c r="B2" s="310">
        <f>'1. key ratios'!B2</f>
        <v>45747</v>
      </c>
    </row>
    <row r="3" spans="1:4">
      <c r="A3" s="309" t="s">
        <v>512</v>
      </c>
    </row>
    <row r="5" spans="1:4">
      <c r="A5" s="802" t="s">
        <v>848</v>
      </c>
      <c r="B5" s="802"/>
      <c r="C5" s="413" t="s">
        <v>531</v>
      </c>
      <c r="D5" s="413" t="s">
        <v>847</v>
      </c>
    </row>
    <row r="6" spans="1:4">
      <c r="A6" s="412">
        <v>1</v>
      </c>
      <c r="B6" s="405" t="s">
        <v>846</v>
      </c>
      <c r="C6" s="407"/>
      <c r="D6" s="407"/>
    </row>
    <row r="7" spans="1:4">
      <c r="A7" s="409">
        <v>2</v>
      </c>
      <c r="B7" s="405" t="s">
        <v>845</v>
      </c>
      <c r="C7" s="407">
        <f>SUM(C8:C9)</f>
        <v>0</v>
      </c>
      <c r="D7" s="407">
        <f>SUM(D8:D9)</f>
        <v>0</v>
      </c>
    </row>
    <row r="8" spans="1:4">
      <c r="A8" s="411">
        <v>2.1</v>
      </c>
      <c r="B8" s="410" t="s">
        <v>844</v>
      </c>
      <c r="C8" s="407"/>
      <c r="D8" s="407"/>
    </row>
    <row r="9" spans="1:4">
      <c r="A9" s="411">
        <v>2.2000000000000002</v>
      </c>
      <c r="B9" s="410" t="s">
        <v>843</v>
      </c>
      <c r="C9" s="407"/>
      <c r="D9" s="407"/>
    </row>
    <row r="10" spans="1:4">
      <c r="A10" s="412">
        <v>3</v>
      </c>
      <c r="B10" s="405" t="s">
        <v>842</v>
      </c>
      <c r="C10" s="407">
        <f>SUM(C11:C13)</f>
        <v>0</v>
      </c>
      <c r="D10" s="407">
        <f>SUM(D11:D13)</f>
        <v>0</v>
      </c>
    </row>
    <row r="11" spans="1:4">
      <c r="A11" s="411">
        <v>3.1</v>
      </c>
      <c r="B11" s="410" t="s">
        <v>513</v>
      </c>
      <c r="C11" s="407"/>
      <c r="D11" s="407"/>
    </row>
    <row r="12" spans="1:4">
      <c r="A12" s="411">
        <v>3.2</v>
      </c>
      <c r="B12" s="410" t="s">
        <v>841</v>
      </c>
      <c r="C12" s="407"/>
      <c r="D12" s="407"/>
    </row>
    <row r="13" spans="1:4">
      <c r="A13" s="411">
        <v>3.3</v>
      </c>
      <c r="B13" s="410" t="s">
        <v>840</v>
      </c>
      <c r="C13" s="407"/>
      <c r="D13" s="407"/>
    </row>
    <row r="14" spans="1:4">
      <c r="A14" s="409">
        <v>4</v>
      </c>
      <c r="B14" s="408" t="s">
        <v>839</v>
      </c>
      <c r="C14" s="407"/>
      <c r="D14" s="407"/>
    </row>
    <row r="15" spans="1:4">
      <c r="A15" s="406">
        <v>5</v>
      </c>
      <c r="B15" s="405" t="s">
        <v>838</v>
      </c>
      <c r="C15" s="404">
        <f>C6+C7-C10+C14</f>
        <v>0</v>
      </c>
      <c r="D15" s="404">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26" sqref="C26"/>
    </sheetView>
  </sheetViews>
  <sheetFormatPr defaultColWidth="9.109375" defaultRowHeight="12"/>
  <cols>
    <col min="1" max="1" width="11.88671875" style="400" bestFit="1" customWidth="1"/>
    <col min="2" max="2" width="125" style="400" customWidth="1"/>
    <col min="3" max="3" width="37" style="400" customWidth="1"/>
    <col min="4" max="4" width="50.44140625" style="400" customWidth="1"/>
    <col min="5" max="16384" width="9.109375" style="400"/>
  </cols>
  <sheetData>
    <row r="1" spans="1:4" ht="13.8">
      <c r="A1" s="307" t="s">
        <v>97</v>
      </c>
      <c r="B1" s="232" t="str">
        <f>Info!C2</f>
        <v>სს პეივ ბანკ ჯორჯია</v>
      </c>
    </row>
    <row r="2" spans="1:4">
      <c r="A2" s="307" t="s">
        <v>98</v>
      </c>
      <c r="B2" s="310">
        <f>'1. key ratios'!B2</f>
        <v>45747</v>
      </c>
    </row>
    <row r="3" spans="1:4">
      <c r="A3" s="309" t="s">
        <v>514</v>
      </c>
    </row>
    <row r="4" spans="1:4">
      <c r="A4" s="309"/>
    </row>
    <row r="5" spans="1:4" ht="15" customHeight="1">
      <c r="A5" s="803" t="s">
        <v>515</v>
      </c>
      <c r="B5" s="804"/>
      <c r="C5" s="807" t="s">
        <v>516</v>
      </c>
      <c r="D5" s="807" t="s">
        <v>517</v>
      </c>
    </row>
    <row r="6" spans="1:4">
      <c r="A6" s="805"/>
      <c r="B6" s="806"/>
      <c r="C6" s="807"/>
      <c r="D6" s="807"/>
    </row>
    <row r="7" spans="1:4">
      <c r="A7" s="393">
        <v>1</v>
      </c>
      <c r="B7" s="393" t="s">
        <v>518</v>
      </c>
      <c r="C7" s="390"/>
      <c r="D7" s="414"/>
    </row>
    <row r="8" spans="1:4">
      <c r="A8" s="390">
        <v>2</v>
      </c>
      <c r="B8" s="390" t="s">
        <v>519</v>
      </c>
      <c r="C8" s="390"/>
      <c r="D8" s="414"/>
    </row>
    <row r="9" spans="1:4">
      <c r="A9" s="390">
        <v>3</v>
      </c>
      <c r="B9" s="417" t="s">
        <v>520</v>
      </c>
      <c r="C9" s="390"/>
      <c r="D9" s="414"/>
    </row>
    <row r="10" spans="1:4">
      <c r="A10" s="390">
        <v>4</v>
      </c>
      <c r="B10" s="390" t="s">
        <v>521</v>
      </c>
      <c r="C10" s="390">
        <f>SUM(C11:C17)</f>
        <v>0</v>
      </c>
      <c r="D10" s="414"/>
    </row>
    <row r="11" spans="1:4">
      <c r="A11" s="390">
        <v>5</v>
      </c>
      <c r="B11" s="416" t="s">
        <v>849</v>
      </c>
      <c r="C11" s="390"/>
      <c r="D11" s="414"/>
    </row>
    <row r="12" spans="1:4">
      <c r="A12" s="390">
        <v>6</v>
      </c>
      <c r="B12" s="416" t="s">
        <v>522</v>
      </c>
      <c r="C12" s="390"/>
      <c r="D12" s="414"/>
    </row>
    <row r="13" spans="1:4">
      <c r="A13" s="390">
        <v>7</v>
      </c>
      <c r="B13" s="416" t="s">
        <v>525</v>
      </c>
      <c r="C13" s="390"/>
      <c r="D13" s="414"/>
    </row>
    <row r="14" spans="1:4">
      <c r="A14" s="390">
        <v>8</v>
      </c>
      <c r="B14" s="416" t="s">
        <v>523</v>
      </c>
      <c r="C14" s="390"/>
      <c r="D14" s="390"/>
    </row>
    <row r="15" spans="1:4">
      <c r="A15" s="390">
        <v>9</v>
      </c>
      <c r="B15" s="416" t="s">
        <v>524</v>
      </c>
      <c r="C15" s="390"/>
      <c r="D15" s="390"/>
    </row>
    <row r="16" spans="1:4">
      <c r="A16" s="390">
        <v>10</v>
      </c>
      <c r="B16" s="416" t="s">
        <v>526</v>
      </c>
      <c r="C16" s="390"/>
      <c r="D16" s="390"/>
    </row>
    <row r="17" spans="1:4">
      <c r="A17" s="390">
        <v>11</v>
      </c>
      <c r="B17" s="416" t="s">
        <v>527</v>
      </c>
      <c r="C17" s="390"/>
      <c r="D17" s="414"/>
    </row>
    <row r="18" spans="1:4">
      <c r="A18" s="393">
        <v>12</v>
      </c>
      <c r="B18" s="415" t="s">
        <v>528</v>
      </c>
      <c r="C18" s="393">
        <f>C7+C8+C9-C10</f>
        <v>0</v>
      </c>
      <c r="D18" s="414"/>
    </row>
    <row r="21" spans="1:4">
      <c r="B21" s="307"/>
    </row>
    <row r="22" spans="1:4">
      <c r="B22" s="307"/>
    </row>
    <row r="23" spans="1:4">
      <c r="B23" s="309"/>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09375" defaultRowHeight="12"/>
  <cols>
    <col min="1" max="1" width="11.88671875" style="400" bestFit="1" customWidth="1"/>
    <col min="2" max="2" width="63.88671875" style="400" customWidth="1"/>
    <col min="3" max="3" width="5" style="400" bestFit="1" customWidth="1"/>
    <col min="4" max="4" width="3.21875" style="400" customWidth="1"/>
    <col min="5" max="7" width="22.109375" style="400" customWidth="1"/>
    <col min="8" max="8" width="4" style="400" customWidth="1"/>
    <col min="9" max="11" width="22.109375" style="400" customWidth="1"/>
    <col min="12" max="12" width="3.77734375" style="400" customWidth="1"/>
    <col min="13" max="18" width="22.109375" style="400" customWidth="1"/>
    <col min="19" max="19" width="23.109375" style="400" bestFit="1" customWidth="1"/>
    <col min="20" max="26" width="22.109375" style="400" customWidth="1"/>
    <col min="27" max="27" width="23.109375" style="400" bestFit="1" customWidth="1"/>
    <col min="28" max="28" width="20" style="400" customWidth="1"/>
    <col min="29" max="16384" width="9.109375" style="400"/>
  </cols>
  <sheetData>
    <row r="1" spans="1:28" ht="13.8">
      <c r="A1" s="307" t="s">
        <v>97</v>
      </c>
      <c r="B1" s="232" t="str">
        <f>Info!C2</f>
        <v>სს პეივ ბანკ ჯორჯია</v>
      </c>
    </row>
    <row r="2" spans="1:28">
      <c r="A2" s="307" t="s">
        <v>98</v>
      </c>
      <c r="B2" s="310">
        <f>'1. key ratios'!B2</f>
        <v>45747</v>
      </c>
      <c r="C2" s="401"/>
    </row>
    <row r="3" spans="1:28">
      <c r="A3" s="309" t="s">
        <v>529</v>
      </c>
    </row>
    <row r="5" spans="1:28" ht="15" customHeight="1">
      <c r="A5" s="808" t="s">
        <v>862</v>
      </c>
      <c r="B5" s="809"/>
      <c r="C5" s="800" t="s">
        <v>861</v>
      </c>
      <c r="D5" s="814"/>
      <c r="E5" s="814"/>
      <c r="F5" s="814"/>
      <c r="G5" s="814"/>
      <c r="H5" s="814"/>
      <c r="I5" s="814"/>
      <c r="J5" s="814"/>
      <c r="K5" s="814"/>
      <c r="L5" s="814"/>
      <c r="M5" s="814"/>
      <c r="N5" s="814"/>
      <c r="O5" s="814"/>
      <c r="P5" s="814"/>
      <c r="Q5" s="814"/>
      <c r="R5" s="814"/>
      <c r="S5" s="814"/>
      <c r="T5" s="428"/>
      <c r="U5" s="428"/>
      <c r="V5" s="428"/>
      <c r="W5" s="428"/>
      <c r="X5" s="428"/>
      <c r="Y5" s="428"/>
      <c r="Z5" s="428"/>
      <c r="AA5" s="427"/>
      <c r="AB5" s="420"/>
    </row>
    <row r="6" spans="1:28">
      <c r="A6" s="810"/>
      <c r="B6" s="811"/>
      <c r="C6" s="815" t="s">
        <v>66</v>
      </c>
      <c r="D6" s="817" t="s">
        <v>860</v>
      </c>
      <c r="E6" s="817"/>
      <c r="F6" s="817"/>
      <c r="G6" s="817"/>
      <c r="H6" s="818" t="s">
        <v>859</v>
      </c>
      <c r="I6" s="819"/>
      <c r="J6" s="819"/>
      <c r="K6" s="820"/>
      <c r="L6" s="425"/>
      <c r="M6" s="821" t="s">
        <v>858</v>
      </c>
      <c r="N6" s="821"/>
      <c r="O6" s="821"/>
      <c r="P6" s="821"/>
      <c r="Q6" s="821"/>
      <c r="R6" s="821"/>
      <c r="S6" s="798"/>
      <c r="T6" s="426"/>
      <c r="U6" s="801" t="s">
        <v>857</v>
      </c>
      <c r="V6" s="801"/>
      <c r="W6" s="801"/>
      <c r="X6" s="801"/>
      <c r="Y6" s="801"/>
      <c r="Z6" s="801"/>
      <c r="AA6" s="799"/>
      <c r="AB6" s="425"/>
    </row>
    <row r="7" spans="1:28" ht="24">
      <c r="A7" s="812"/>
      <c r="B7" s="813"/>
      <c r="C7" s="816"/>
      <c r="D7" s="424"/>
      <c r="E7" s="397" t="s">
        <v>530</v>
      </c>
      <c r="F7" s="397" t="s">
        <v>855</v>
      </c>
      <c r="G7" s="397" t="s">
        <v>856</v>
      </c>
      <c r="H7" s="423"/>
      <c r="I7" s="397" t="s">
        <v>530</v>
      </c>
      <c r="J7" s="397" t="s">
        <v>855</v>
      </c>
      <c r="K7" s="397" t="s">
        <v>856</v>
      </c>
      <c r="L7" s="422"/>
      <c r="M7" s="397" t="s">
        <v>530</v>
      </c>
      <c r="N7" s="397" t="s">
        <v>855</v>
      </c>
      <c r="O7" s="397" t="s">
        <v>854</v>
      </c>
      <c r="P7" s="397" t="s">
        <v>853</v>
      </c>
      <c r="Q7" s="397" t="s">
        <v>852</v>
      </c>
      <c r="R7" s="397" t="s">
        <v>851</v>
      </c>
      <c r="S7" s="397" t="s">
        <v>850</v>
      </c>
      <c r="T7" s="421"/>
      <c r="U7" s="397" t="s">
        <v>530</v>
      </c>
      <c r="V7" s="397" t="s">
        <v>855</v>
      </c>
      <c r="W7" s="397" t="s">
        <v>854</v>
      </c>
      <c r="X7" s="397" t="s">
        <v>853</v>
      </c>
      <c r="Y7" s="397" t="s">
        <v>852</v>
      </c>
      <c r="Z7" s="397" t="s">
        <v>851</v>
      </c>
      <c r="AA7" s="397" t="s">
        <v>850</v>
      </c>
      <c r="AB7" s="420"/>
    </row>
    <row r="8" spans="1:28">
      <c r="A8" s="419">
        <v>1</v>
      </c>
      <c r="B8" s="393" t="s">
        <v>531</v>
      </c>
      <c r="C8" s="393"/>
      <c r="D8" s="390"/>
      <c r="E8" s="390"/>
      <c r="F8" s="390"/>
      <c r="G8" s="390"/>
      <c r="H8" s="390"/>
      <c r="I8" s="390"/>
      <c r="J8" s="390"/>
      <c r="K8" s="390"/>
      <c r="L8" s="390"/>
      <c r="M8" s="390"/>
      <c r="N8" s="390"/>
      <c r="O8" s="390"/>
      <c r="P8" s="390"/>
      <c r="Q8" s="390"/>
      <c r="R8" s="390"/>
      <c r="S8" s="390"/>
      <c r="T8" s="390"/>
      <c r="U8" s="390"/>
      <c r="V8" s="390"/>
      <c r="W8" s="390"/>
      <c r="X8" s="390"/>
      <c r="Y8" s="390"/>
      <c r="Z8" s="390"/>
      <c r="AA8" s="390"/>
    </row>
    <row r="9" spans="1:28">
      <c r="A9" s="390">
        <v>1.1000000000000001</v>
      </c>
      <c r="B9" s="409" t="s">
        <v>532</v>
      </c>
      <c r="C9" s="409"/>
      <c r="D9" s="390"/>
      <c r="E9" s="390"/>
      <c r="F9" s="390"/>
      <c r="G9" s="390"/>
      <c r="H9" s="390"/>
      <c r="I9" s="390"/>
      <c r="J9" s="390"/>
      <c r="K9" s="390"/>
      <c r="L9" s="390"/>
      <c r="M9" s="390"/>
      <c r="N9" s="390"/>
      <c r="O9" s="390"/>
      <c r="P9" s="390"/>
      <c r="Q9" s="390"/>
      <c r="R9" s="390"/>
      <c r="S9" s="390"/>
      <c r="T9" s="390"/>
      <c r="U9" s="390"/>
      <c r="V9" s="390"/>
      <c r="W9" s="390"/>
      <c r="X9" s="390"/>
      <c r="Y9" s="390"/>
      <c r="Z9" s="390"/>
      <c r="AA9" s="390"/>
    </row>
    <row r="10" spans="1:28">
      <c r="A10" s="390">
        <v>1.2</v>
      </c>
      <c r="B10" s="409" t="s">
        <v>533</v>
      </c>
      <c r="C10" s="409"/>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row>
    <row r="11" spans="1:28">
      <c r="A11" s="390">
        <v>1.3</v>
      </c>
      <c r="B11" s="409" t="s">
        <v>534</v>
      </c>
      <c r="C11" s="409"/>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row>
    <row r="12" spans="1:28">
      <c r="A12" s="390">
        <v>1.4</v>
      </c>
      <c r="B12" s="409" t="s">
        <v>535</v>
      </c>
      <c r="C12" s="40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row>
    <row r="13" spans="1:28">
      <c r="A13" s="390">
        <v>1.5</v>
      </c>
      <c r="B13" s="409" t="s">
        <v>536</v>
      </c>
      <c r="C13" s="409"/>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row>
    <row r="14" spans="1:28">
      <c r="A14" s="390">
        <v>1.6</v>
      </c>
      <c r="B14" s="409" t="s">
        <v>537</v>
      </c>
      <c r="C14" s="409"/>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row>
    <row r="15" spans="1:28">
      <c r="A15" s="419">
        <v>2</v>
      </c>
      <c r="B15" s="393" t="s">
        <v>538</v>
      </c>
      <c r="C15" s="393"/>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row>
    <row r="16" spans="1:28">
      <c r="A16" s="390">
        <v>2.1</v>
      </c>
      <c r="B16" s="409" t="s">
        <v>532</v>
      </c>
      <c r="C16" s="409"/>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row>
    <row r="17" spans="1:27">
      <c r="A17" s="390">
        <v>2.2000000000000002</v>
      </c>
      <c r="B17" s="409" t="s">
        <v>533</v>
      </c>
      <c r="C17" s="409"/>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row>
    <row r="18" spans="1:27">
      <c r="A18" s="390">
        <v>2.2999999999999998</v>
      </c>
      <c r="B18" s="409" t="s">
        <v>534</v>
      </c>
      <c r="C18" s="409"/>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row>
    <row r="19" spans="1:27">
      <c r="A19" s="390">
        <v>2.4</v>
      </c>
      <c r="B19" s="409" t="s">
        <v>535</v>
      </c>
      <c r="C19" s="409"/>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row>
    <row r="20" spans="1:27">
      <c r="A20" s="390">
        <v>2.5</v>
      </c>
      <c r="B20" s="409" t="s">
        <v>536</v>
      </c>
      <c r="C20" s="409"/>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row>
    <row r="21" spans="1:27">
      <c r="A21" s="390">
        <v>2.6</v>
      </c>
      <c r="B21" s="409" t="s">
        <v>537</v>
      </c>
      <c r="C21" s="409"/>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390"/>
    </row>
    <row r="22" spans="1:27">
      <c r="A22" s="419">
        <v>3</v>
      </c>
      <c r="B22" s="393" t="s">
        <v>539</v>
      </c>
      <c r="C22" s="393"/>
      <c r="D22" s="393"/>
      <c r="E22" s="418"/>
      <c r="F22" s="418"/>
      <c r="G22" s="418"/>
      <c r="H22" s="393"/>
      <c r="I22" s="418"/>
      <c r="J22" s="418"/>
      <c r="K22" s="418"/>
      <c r="L22" s="393"/>
      <c r="M22" s="418"/>
      <c r="N22" s="418"/>
      <c r="O22" s="418"/>
      <c r="P22" s="418"/>
      <c r="Q22" s="418"/>
      <c r="R22" s="418"/>
      <c r="S22" s="418"/>
      <c r="T22" s="393"/>
      <c r="U22" s="418"/>
      <c r="V22" s="418"/>
      <c r="W22" s="418"/>
      <c r="X22" s="418"/>
      <c r="Y22" s="418"/>
      <c r="Z22" s="418"/>
      <c r="AA22" s="418"/>
    </row>
    <row r="23" spans="1:27">
      <c r="A23" s="390">
        <v>3.1</v>
      </c>
      <c r="B23" s="409" t="s">
        <v>532</v>
      </c>
      <c r="C23" s="409"/>
      <c r="D23" s="393"/>
      <c r="E23" s="418"/>
      <c r="F23" s="418"/>
      <c r="G23" s="418"/>
      <c r="H23" s="393"/>
      <c r="I23" s="418"/>
      <c r="J23" s="418"/>
      <c r="K23" s="418"/>
      <c r="L23" s="393"/>
      <c r="M23" s="418"/>
      <c r="N23" s="418"/>
      <c r="O23" s="418"/>
      <c r="P23" s="418"/>
      <c r="Q23" s="418"/>
      <c r="R23" s="418"/>
      <c r="S23" s="418"/>
      <c r="T23" s="393"/>
      <c r="U23" s="418"/>
      <c r="V23" s="418"/>
      <c r="W23" s="418"/>
      <c r="X23" s="418"/>
      <c r="Y23" s="418"/>
      <c r="Z23" s="418"/>
      <c r="AA23" s="418"/>
    </row>
    <row r="24" spans="1:27">
      <c r="A24" s="390">
        <v>3.2</v>
      </c>
      <c r="B24" s="409" t="s">
        <v>533</v>
      </c>
      <c r="C24" s="409"/>
      <c r="D24" s="393"/>
      <c r="E24" s="418"/>
      <c r="F24" s="418"/>
      <c r="G24" s="418"/>
      <c r="H24" s="393"/>
      <c r="I24" s="418"/>
      <c r="J24" s="418"/>
      <c r="K24" s="418"/>
      <c r="L24" s="393"/>
      <c r="M24" s="418"/>
      <c r="N24" s="418"/>
      <c r="O24" s="418"/>
      <c r="P24" s="418"/>
      <c r="Q24" s="418"/>
      <c r="R24" s="418"/>
      <c r="S24" s="418"/>
      <c r="T24" s="393"/>
      <c r="U24" s="418"/>
      <c r="V24" s="418"/>
      <c r="W24" s="418"/>
      <c r="X24" s="418"/>
      <c r="Y24" s="418"/>
      <c r="Z24" s="418"/>
      <c r="AA24" s="418"/>
    </row>
    <row r="25" spans="1:27">
      <c r="A25" s="390">
        <v>3.3</v>
      </c>
      <c r="B25" s="409" t="s">
        <v>534</v>
      </c>
      <c r="C25" s="409"/>
      <c r="D25" s="393"/>
      <c r="E25" s="418"/>
      <c r="F25" s="418"/>
      <c r="G25" s="418"/>
      <c r="H25" s="393"/>
      <c r="I25" s="418"/>
      <c r="J25" s="418"/>
      <c r="K25" s="418"/>
      <c r="L25" s="393"/>
      <c r="M25" s="418"/>
      <c r="N25" s="418"/>
      <c r="O25" s="418"/>
      <c r="P25" s="418"/>
      <c r="Q25" s="418"/>
      <c r="R25" s="418"/>
      <c r="S25" s="418"/>
      <c r="T25" s="393"/>
      <c r="U25" s="418"/>
      <c r="V25" s="418"/>
      <c r="W25" s="418"/>
      <c r="X25" s="418"/>
      <c r="Y25" s="418"/>
      <c r="Z25" s="418"/>
      <c r="AA25" s="418"/>
    </row>
    <row r="26" spans="1:27">
      <c r="A26" s="390">
        <v>3.4</v>
      </c>
      <c r="B26" s="409" t="s">
        <v>535</v>
      </c>
      <c r="C26" s="409"/>
      <c r="D26" s="393"/>
      <c r="E26" s="418"/>
      <c r="F26" s="418"/>
      <c r="G26" s="418"/>
      <c r="H26" s="393"/>
      <c r="I26" s="418"/>
      <c r="J26" s="418"/>
      <c r="K26" s="418"/>
      <c r="L26" s="393"/>
      <c r="M26" s="418"/>
      <c r="N26" s="418"/>
      <c r="O26" s="418"/>
      <c r="P26" s="418"/>
      <c r="Q26" s="418"/>
      <c r="R26" s="418"/>
      <c r="S26" s="418"/>
      <c r="T26" s="393"/>
      <c r="U26" s="418"/>
      <c r="V26" s="418"/>
      <c r="W26" s="418"/>
      <c r="X26" s="418"/>
      <c r="Y26" s="418"/>
      <c r="Z26" s="418"/>
      <c r="AA26" s="418"/>
    </row>
    <row r="27" spans="1:27">
      <c r="A27" s="390">
        <v>3.5</v>
      </c>
      <c r="B27" s="409" t="s">
        <v>536</v>
      </c>
      <c r="C27" s="409"/>
      <c r="D27" s="393"/>
      <c r="E27" s="418"/>
      <c r="F27" s="418"/>
      <c r="G27" s="418"/>
      <c r="H27" s="393"/>
      <c r="I27" s="418"/>
      <c r="J27" s="418"/>
      <c r="K27" s="418"/>
      <c r="L27" s="393"/>
      <c r="M27" s="418"/>
      <c r="N27" s="418"/>
      <c r="O27" s="418"/>
      <c r="P27" s="418"/>
      <c r="Q27" s="418"/>
      <c r="R27" s="418"/>
      <c r="S27" s="418"/>
      <c r="T27" s="393"/>
      <c r="U27" s="418"/>
      <c r="V27" s="418"/>
      <c r="W27" s="418"/>
      <c r="X27" s="418"/>
      <c r="Y27" s="418"/>
      <c r="Z27" s="418"/>
      <c r="AA27" s="418"/>
    </row>
    <row r="28" spans="1:27">
      <c r="A28" s="390">
        <v>3.6</v>
      </c>
      <c r="B28" s="409" t="s">
        <v>537</v>
      </c>
      <c r="C28" s="409"/>
      <c r="D28" s="393"/>
      <c r="E28" s="418"/>
      <c r="F28" s="418"/>
      <c r="G28" s="418"/>
      <c r="H28" s="393"/>
      <c r="I28" s="418"/>
      <c r="J28" s="418"/>
      <c r="K28" s="418"/>
      <c r="L28" s="393"/>
      <c r="M28" s="418"/>
      <c r="N28" s="418"/>
      <c r="O28" s="418"/>
      <c r="P28" s="418"/>
      <c r="Q28" s="418"/>
      <c r="R28" s="418"/>
      <c r="S28" s="418"/>
      <c r="T28" s="393"/>
      <c r="U28" s="418"/>
      <c r="V28" s="418"/>
      <c r="W28" s="418"/>
      <c r="X28" s="418"/>
      <c r="Y28" s="418"/>
      <c r="Z28" s="418"/>
      <c r="AA28" s="41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09375" defaultRowHeight="12"/>
  <cols>
    <col min="1" max="1" width="11.88671875" style="400" bestFit="1" customWidth="1"/>
    <col min="2" max="2" width="90.109375" style="400" bestFit="1" customWidth="1"/>
    <col min="3" max="3" width="20.109375" style="400" customWidth="1"/>
    <col min="4" max="4" width="22.109375" style="400" customWidth="1"/>
    <col min="5" max="7" width="17.109375" style="400" customWidth="1"/>
    <col min="8" max="8" width="22.109375" style="400" customWidth="1"/>
    <col min="9" max="10" width="17.109375" style="400" customWidth="1"/>
    <col min="11" max="27" width="22.109375" style="400" customWidth="1"/>
    <col min="28" max="16384" width="9.109375" style="400"/>
  </cols>
  <sheetData>
    <row r="1" spans="1:27" ht="13.8">
      <c r="A1" s="307" t="s">
        <v>97</v>
      </c>
      <c r="B1" s="232" t="str">
        <f>Info!C2</f>
        <v>სს პეივ ბანკ ჯორჯია</v>
      </c>
    </row>
    <row r="2" spans="1:27">
      <c r="A2" s="307" t="s">
        <v>98</v>
      </c>
      <c r="B2" s="310">
        <f>'1. key ratios'!B2</f>
        <v>45747</v>
      </c>
    </row>
    <row r="3" spans="1:27">
      <c r="A3" s="309" t="s">
        <v>540</v>
      </c>
      <c r="C3" s="402"/>
    </row>
    <row r="4" spans="1:27" ht="12.6" thickBot="1">
      <c r="A4" s="309"/>
      <c r="B4" s="402"/>
      <c r="C4" s="402"/>
    </row>
    <row r="5" spans="1:27" ht="13.5" customHeight="1">
      <c r="A5" s="826" t="s">
        <v>869</v>
      </c>
      <c r="B5" s="827"/>
      <c r="C5" s="823" t="s">
        <v>541</v>
      </c>
      <c r="D5" s="824"/>
      <c r="E5" s="824"/>
      <c r="F5" s="824"/>
      <c r="G5" s="824"/>
      <c r="H5" s="824"/>
      <c r="I5" s="824"/>
      <c r="J5" s="824"/>
      <c r="K5" s="824"/>
      <c r="L5" s="824"/>
      <c r="M5" s="824"/>
      <c r="N5" s="824"/>
      <c r="O5" s="824"/>
      <c r="P5" s="824"/>
      <c r="Q5" s="824"/>
      <c r="R5" s="824"/>
      <c r="S5" s="824"/>
      <c r="T5" s="824"/>
      <c r="U5" s="824"/>
      <c r="V5" s="824"/>
      <c r="W5" s="824"/>
      <c r="X5" s="824"/>
      <c r="Y5" s="824"/>
      <c r="Z5" s="824"/>
      <c r="AA5" s="825"/>
    </row>
    <row r="6" spans="1:27" ht="12" customHeight="1">
      <c r="A6" s="828"/>
      <c r="B6" s="829"/>
      <c r="C6" s="832" t="s">
        <v>66</v>
      </c>
      <c r="D6" s="797" t="s">
        <v>860</v>
      </c>
      <c r="E6" s="797"/>
      <c r="F6" s="797"/>
      <c r="G6" s="797"/>
      <c r="H6" s="818" t="s">
        <v>859</v>
      </c>
      <c r="I6" s="819"/>
      <c r="J6" s="819"/>
      <c r="K6" s="819"/>
      <c r="L6" s="426"/>
      <c r="M6" s="801" t="s">
        <v>858</v>
      </c>
      <c r="N6" s="801"/>
      <c r="O6" s="801"/>
      <c r="P6" s="801"/>
      <c r="Q6" s="801"/>
      <c r="R6" s="801"/>
      <c r="S6" s="799"/>
      <c r="T6" s="426"/>
      <c r="U6" s="801" t="s">
        <v>857</v>
      </c>
      <c r="V6" s="801"/>
      <c r="W6" s="801"/>
      <c r="X6" s="801"/>
      <c r="Y6" s="801"/>
      <c r="Z6" s="801"/>
      <c r="AA6" s="822"/>
    </row>
    <row r="7" spans="1:27" ht="36">
      <c r="A7" s="830"/>
      <c r="B7" s="831"/>
      <c r="C7" s="833"/>
      <c r="D7" s="424"/>
      <c r="E7" s="397" t="s">
        <v>530</v>
      </c>
      <c r="F7" s="397" t="s">
        <v>855</v>
      </c>
      <c r="G7" s="397" t="s">
        <v>856</v>
      </c>
      <c r="H7" s="401"/>
      <c r="I7" s="397" t="s">
        <v>530</v>
      </c>
      <c r="J7" s="397" t="s">
        <v>855</v>
      </c>
      <c r="K7" s="397" t="s">
        <v>856</v>
      </c>
      <c r="L7" s="421"/>
      <c r="M7" s="397" t="s">
        <v>530</v>
      </c>
      <c r="N7" s="397" t="s">
        <v>868</v>
      </c>
      <c r="O7" s="397" t="s">
        <v>867</v>
      </c>
      <c r="P7" s="397" t="s">
        <v>866</v>
      </c>
      <c r="Q7" s="397" t="s">
        <v>865</v>
      </c>
      <c r="R7" s="397" t="s">
        <v>864</v>
      </c>
      <c r="S7" s="397" t="s">
        <v>850</v>
      </c>
      <c r="T7" s="421"/>
      <c r="U7" s="397" t="s">
        <v>530</v>
      </c>
      <c r="V7" s="397" t="s">
        <v>868</v>
      </c>
      <c r="W7" s="397" t="s">
        <v>867</v>
      </c>
      <c r="X7" s="397" t="s">
        <v>866</v>
      </c>
      <c r="Y7" s="397" t="s">
        <v>865</v>
      </c>
      <c r="Z7" s="397" t="s">
        <v>864</v>
      </c>
      <c r="AA7" s="397" t="s">
        <v>850</v>
      </c>
    </row>
    <row r="8" spans="1:27">
      <c r="A8" s="457">
        <v>1</v>
      </c>
      <c r="B8" s="456" t="s">
        <v>531</v>
      </c>
      <c r="C8" s="455"/>
      <c r="D8" s="390"/>
      <c r="E8" s="390"/>
      <c r="F8" s="390"/>
      <c r="G8" s="390"/>
      <c r="H8" s="390"/>
      <c r="I8" s="390"/>
      <c r="J8" s="390"/>
      <c r="K8" s="390"/>
      <c r="L8" s="390"/>
      <c r="M8" s="390"/>
      <c r="N8" s="390"/>
      <c r="O8" s="390"/>
      <c r="P8" s="390"/>
      <c r="Q8" s="390"/>
      <c r="R8" s="390"/>
      <c r="S8" s="390"/>
      <c r="T8" s="390"/>
      <c r="U8" s="390"/>
      <c r="V8" s="390"/>
      <c r="W8" s="390"/>
      <c r="X8" s="390"/>
      <c r="Y8" s="390"/>
      <c r="Z8" s="390"/>
      <c r="AA8" s="434"/>
    </row>
    <row r="9" spans="1:27">
      <c r="A9" s="448">
        <v>1.1000000000000001</v>
      </c>
      <c r="B9" s="454" t="s">
        <v>542</v>
      </c>
      <c r="C9" s="448"/>
      <c r="D9" s="390"/>
      <c r="E9" s="390"/>
      <c r="F9" s="390"/>
      <c r="G9" s="390"/>
      <c r="H9" s="390"/>
      <c r="I9" s="390"/>
      <c r="J9" s="390"/>
      <c r="K9" s="390"/>
      <c r="L9" s="390"/>
      <c r="M9" s="390"/>
      <c r="N9" s="390"/>
      <c r="O9" s="390"/>
      <c r="P9" s="390"/>
      <c r="Q9" s="390"/>
      <c r="R9" s="390"/>
      <c r="S9" s="390"/>
      <c r="T9" s="390"/>
      <c r="U9" s="390"/>
      <c r="V9" s="390"/>
      <c r="W9" s="390"/>
      <c r="X9" s="390"/>
      <c r="Y9" s="390"/>
      <c r="Z9" s="390"/>
      <c r="AA9" s="434"/>
    </row>
    <row r="10" spans="1:27">
      <c r="A10" s="452" t="s">
        <v>146</v>
      </c>
      <c r="B10" s="453" t="s">
        <v>543</v>
      </c>
      <c r="C10" s="452"/>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434"/>
    </row>
    <row r="11" spans="1:27">
      <c r="A11" s="450" t="s">
        <v>544</v>
      </c>
      <c r="B11" s="451" t="s">
        <v>545</v>
      </c>
      <c r="C11" s="450"/>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434"/>
    </row>
    <row r="12" spans="1:27">
      <c r="A12" s="450" t="s">
        <v>546</v>
      </c>
      <c r="B12" s="451" t="s">
        <v>547</v>
      </c>
      <c r="C12" s="45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434"/>
    </row>
    <row r="13" spans="1:27">
      <c r="A13" s="450" t="s">
        <v>548</v>
      </c>
      <c r="B13" s="451" t="s">
        <v>549</v>
      </c>
      <c r="C13" s="45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434"/>
    </row>
    <row r="14" spans="1:27">
      <c r="A14" s="450" t="s">
        <v>550</v>
      </c>
      <c r="B14" s="451" t="s">
        <v>551</v>
      </c>
      <c r="C14" s="45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434"/>
    </row>
    <row r="15" spans="1:27">
      <c r="A15" s="449">
        <v>1.2</v>
      </c>
      <c r="B15" s="447" t="s">
        <v>863</v>
      </c>
      <c r="C15" s="449"/>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434"/>
    </row>
    <row r="16" spans="1:27">
      <c r="A16" s="448">
        <v>1.3</v>
      </c>
      <c r="B16" s="447" t="s">
        <v>552</v>
      </c>
      <c r="C16" s="446"/>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4"/>
    </row>
    <row r="17" spans="1:27" ht="24">
      <c r="A17" s="440" t="s">
        <v>553</v>
      </c>
      <c r="B17" s="443" t="s">
        <v>554</v>
      </c>
      <c r="C17" s="442"/>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434"/>
    </row>
    <row r="18" spans="1:27" ht="24">
      <c r="A18" s="438" t="s">
        <v>555</v>
      </c>
      <c r="B18" s="439" t="s">
        <v>556</v>
      </c>
      <c r="C18" s="438"/>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434"/>
    </row>
    <row r="19" spans="1:27">
      <c r="A19" s="440" t="s">
        <v>557</v>
      </c>
      <c r="B19" s="441" t="s">
        <v>558</v>
      </c>
      <c r="C19" s="440"/>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434"/>
    </row>
    <row r="20" spans="1:27">
      <c r="A20" s="438" t="s">
        <v>559</v>
      </c>
      <c r="B20" s="439" t="s">
        <v>560</v>
      </c>
      <c r="C20" s="438"/>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434"/>
    </row>
    <row r="21" spans="1:27">
      <c r="A21" s="437">
        <v>1.4</v>
      </c>
      <c r="B21" s="436" t="s">
        <v>649</v>
      </c>
      <c r="C21" s="435"/>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434"/>
    </row>
    <row r="22" spans="1:27" ht="12.6" thickBot="1">
      <c r="A22" s="433">
        <v>1.5</v>
      </c>
      <c r="B22" s="432" t="s">
        <v>650</v>
      </c>
      <c r="C22" s="431"/>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2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zoomScale="80" zoomScaleNormal="80" workbookViewId="0">
      <selection activeCell="K15" sqref="K15"/>
    </sheetView>
  </sheetViews>
  <sheetFormatPr defaultRowHeight="14.4"/>
  <cols>
    <col min="1" max="1" width="8.88671875" style="363"/>
    <col min="2" max="2" width="69.109375" style="351" customWidth="1"/>
    <col min="3" max="3" width="13.6640625" customWidth="1"/>
    <col min="4" max="4" width="14.44140625" customWidth="1"/>
    <col min="5" max="8" width="13.109375" customWidth="1"/>
  </cols>
  <sheetData>
    <row r="1" spans="1:8">
      <c r="A1" s="10" t="s">
        <v>97</v>
      </c>
      <c r="B1" s="232" t="str">
        <f>Info!C2</f>
        <v>სს პეივ ბანკ ჯორჯია</v>
      </c>
      <c r="C1" s="9"/>
      <c r="D1" s="1"/>
      <c r="E1" s="1"/>
      <c r="F1" s="1"/>
      <c r="G1" s="1"/>
    </row>
    <row r="2" spans="1:8">
      <c r="A2" s="10" t="s">
        <v>98</v>
      </c>
      <c r="B2" s="260">
        <f>'1. key ratios'!B2</f>
        <v>45747</v>
      </c>
      <c r="C2" s="9"/>
      <c r="D2" s="1"/>
      <c r="E2" s="1"/>
      <c r="F2" s="1"/>
      <c r="G2" s="1"/>
    </row>
    <row r="3" spans="1:8" ht="15" thickBot="1">
      <c r="A3" s="10"/>
      <c r="B3" s="9"/>
      <c r="C3" s="9"/>
      <c r="D3" s="1"/>
      <c r="E3" s="1"/>
      <c r="F3" s="1"/>
      <c r="G3" s="1"/>
    </row>
    <row r="4" spans="1:8" ht="21" customHeight="1">
      <c r="A4" s="727" t="s">
        <v>25</v>
      </c>
      <c r="B4" s="729" t="s">
        <v>697</v>
      </c>
      <c r="C4" s="731" t="s">
        <v>103</v>
      </c>
      <c r="D4" s="731"/>
      <c r="E4" s="731"/>
      <c r="F4" s="731" t="s">
        <v>104</v>
      </c>
      <c r="G4" s="731"/>
      <c r="H4" s="732"/>
    </row>
    <row r="5" spans="1:8" ht="21" customHeight="1">
      <c r="A5" s="728"/>
      <c r="B5" s="730"/>
      <c r="C5" s="683" t="s">
        <v>26</v>
      </c>
      <c r="D5" s="683" t="s">
        <v>77</v>
      </c>
      <c r="E5" s="683" t="s">
        <v>66</v>
      </c>
      <c r="F5" s="683" t="s">
        <v>26</v>
      </c>
      <c r="G5" s="683" t="s">
        <v>77</v>
      </c>
      <c r="H5" s="684" t="s">
        <v>66</v>
      </c>
    </row>
    <row r="6" spans="1:8" ht="26.55" customHeight="1">
      <c r="A6" s="728"/>
      <c r="B6" s="685" t="s">
        <v>84</v>
      </c>
      <c r="C6" s="733"/>
      <c r="D6" s="734"/>
      <c r="E6" s="734"/>
      <c r="F6" s="734"/>
      <c r="G6" s="734"/>
      <c r="H6" s="735"/>
    </row>
    <row r="7" spans="1:8" ht="23.1" customHeight="1">
      <c r="A7" s="686">
        <v>1</v>
      </c>
      <c r="B7" s="654" t="s">
        <v>811</v>
      </c>
      <c r="C7" s="635">
        <f>SUM(C8:C10)</f>
        <v>8184704.2699999996</v>
      </c>
      <c r="D7" s="635">
        <f>SUM(D8:D10)</f>
        <v>21842129.390000001</v>
      </c>
      <c r="E7" s="687">
        <f>C7+D7</f>
        <v>30026833.66</v>
      </c>
      <c r="F7" s="635">
        <f>SUM(F8:F10)</f>
        <v>5275784.5</v>
      </c>
      <c r="G7" s="635">
        <f>SUM(G8:G10)</f>
        <v>0</v>
      </c>
      <c r="H7" s="688">
        <f>F7+G7</f>
        <v>5275784.5</v>
      </c>
    </row>
    <row r="8" spans="1:8">
      <c r="A8" s="686">
        <v>1.1000000000000001</v>
      </c>
      <c r="B8" s="657" t="s">
        <v>85</v>
      </c>
      <c r="C8" s="635">
        <v>0</v>
      </c>
      <c r="D8" s="635">
        <v>0</v>
      </c>
      <c r="E8" s="687">
        <f t="shared" ref="E8:E36" si="0">C8+D8</f>
        <v>0</v>
      </c>
      <c r="F8" s="635">
        <v>0</v>
      </c>
      <c r="G8" s="635">
        <v>0</v>
      </c>
      <c r="H8" s="688">
        <f t="shared" ref="H8:H36" si="1">F8+G8</f>
        <v>0</v>
      </c>
    </row>
    <row r="9" spans="1:8">
      <c r="A9" s="686">
        <v>1.2</v>
      </c>
      <c r="B9" s="657" t="s">
        <v>86</v>
      </c>
      <c r="C9" s="635">
        <v>119189.99</v>
      </c>
      <c r="D9" s="635">
        <v>16905242.130000003</v>
      </c>
      <c r="E9" s="687">
        <f t="shared" si="0"/>
        <v>17024432.120000001</v>
      </c>
      <c r="F9" s="635">
        <v>0</v>
      </c>
      <c r="G9" s="635">
        <v>0</v>
      </c>
      <c r="H9" s="688">
        <f t="shared" si="1"/>
        <v>0</v>
      </c>
    </row>
    <row r="10" spans="1:8">
      <c r="A10" s="686">
        <v>1.3</v>
      </c>
      <c r="B10" s="657" t="s">
        <v>87</v>
      </c>
      <c r="C10" s="635">
        <v>8065514.2799999993</v>
      </c>
      <c r="D10" s="635">
        <v>4936887.26</v>
      </c>
      <c r="E10" s="687">
        <f t="shared" si="0"/>
        <v>13002401.539999999</v>
      </c>
      <c r="F10" s="635">
        <v>5275784.5</v>
      </c>
      <c r="G10" s="635">
        <v>0</v>
      </c>
      <c r="H10" s="688">
        <f t="shared" si="1"/>
        <v>5275784.5</v>
      </c>
    </row>
    <row r="11" spans="1:8">
      <c r="A11" s="686">
        <v>2</v>
      </c>
      <c r="B11" s="658" t="s">
        <v>698</v>
      </c>
      <c r="C11" s="635">
        <v>0</v>
      </c>
      <c r="D11" s="635">
        <v>0</v>
      </c>
      <c r="E11" s="687">
        <f t="shared" si="0"/>
        <v>0</v>
      </c>
      <c r="F11" s="635">
        <v>0</v>
      </c>
      <c r="G11" s="635">
        <v>0</v>
      </c>
      <c r="H11" s="688">
        <f t="shared" si="1"/>
        <v>0</v>
      </c>
    </row>
    <row r="12" spans="1:8">
      <c r="A12" s="686">
        <v>2.1</v>
      </c>
      <c r="B12" s="659" t="s">
        <v>699</v>
      </c>
      <c r="C12" s="635">
        <v>0</v>
      </c>
      <c r="D12" s="635">
        <v>0</v>
      </c>
      <c r="E12" s="687">
        <f t="shared" si="0"/>
        <v>0</v>
      </c>
      <c r="F12" s="635">
        <v>0</v>
      </c>
      <c r="G12" s="635">
        <v>0</v>
      </c>
      <c r="H12" s="688">
        <f t="shared" si="1"/>
        <v>0</v>
      </c>
    </row>
    <row r="13" spans="1:8" ht="26.55" customHeight="1">
      <c r="A13" s="686">
        <v>3</v>
      </c>
      <c r="B13" s="331" t="s">
        <v>700</v>
      </c>
      <c r="C13" s="635"/>
      <c r="D13" s="635"/>
      <c r="E13" s="687">
        <f t="shared" si="0"/>
        <v>0</v>
      </c>
      <c r="F13" s="635"/>
      <c r="G13" s="635"/>
      <c r="H13" s="688">
        <f t="shared" si="1"/>
        <v>0</v>
      </c>
    </row>
    <row r="14" spans="1:8" ht="26.55" customHeight="1">
      <c r="A14" s="686">
        <v>4</v>
      </c>
      <c r="B14" s="332" t="s">
        <v>701</v>
      </c>
      <c r="C14" s="635"/>
      <c r="D14" s="635"/>
      <c r="E14" s="687">
        <f t="shared" si="0"/>
        <v>0</v>
      </c>
      <c r="F14" s="635"/>
      <c r="G14" s="635"/>
      <c r="H14" s="688">
        <f t="shared" si="1"/>
        <v>0</v>
      </c>
    </row>
    <row r="15" spans="1:8" ht="24.6" customHeight="1">
      <c r="A15" s="686">
        <v>5</v>
      </c>
      <c r="B15" s="332" t="s">
        <v>702</v>
      </c>
      <c r="C15" s="689">
        <f>SUM(C16:C18)</f>
        <v>0</v>
      </c>
      <c r="D15" s="689">
        <f>SUM(D16:D18)</f>
        <v>0</v>
      </c>
      <c r="E15" s="690">
        <f t="shared" si="0"/>
        <v>0</v>
      </c>
      <c r="F15" s="689">
        <f>SUM(F16:F18)</f>
        <v>0</v>
      </c>
      <c r="G15" s="689">
        <f>SUM(G16:G18)</f>
        <v>0</v>
      </c>
      <c r="H15" s="691">
        <f t="shared" si="1"/>
        <v>0</v>
      </c>
    </row>
    <row r="16" spans="1:8">
      <c r="A16" s="686">
        <v>5.0999999999999996</v>
      </c>
      <c r="B16" s="333" t="s">
        <v>703</v>
      </c>
      <c r="C16" s="635">
        <v>0</v>
      </c>
      <c r="D16" s="635">
        <v>0</v>
      </c>
      <c r="E16" s="687">
        <f t="shared" si="0"/>
        <v>0</v>
      </c>
      <c r="F16" s="635">
        <v>0</v>
      </c>
      <c r="G16" s="635">
        <v>0</v>
      </c>
      <c r="H16" s="688">
        <f t="shared" si="1"/>
        <v>0</v>
      </c>
    </row>
    <row r="17" spans="1:8">
      <c r="A17" s="686">
        <v>5.2</v>
      </c>
      <c r="B17" s="333" t="s">
        <v>538</v>
      </c>
      <c r="C17" s="635">
        <v>0</v>
      </c>
      <c r="D17" s="635">
        <v>0</v>
      </c>
      <c r="E17" s="687">
        <f t="shared" si="0"/>
        <v>0</v>
      </c>
      <c r="F17" s="635">
        <v>0</v>
      </c>
      <c r="G17" s="635">
        <v>0</v>
      </c>
      <c r="H17" s="688">
        <f t="shared" si="1"/>
        <v>0</v>
      </c>
    </row>
    <row r="18" spans="1:8">
      <c r="A18" s="686">
        <v>5.3</v>
      </c>
      <c r="B18" s="333" t="s">
        <v>704</v>
      </c>
      <c r="C18" s="635"/>
      <c r="D18" s="635"/>
      <c r="E18" s="687">
        <f t="shared" si="0"/>
        <v>0</v>
      </c>
      <c r="F18" s="635">
        <v>0</v>
      </c>
      <c r="G18" s="635">
        <v>0</v>
      </c>
      <c r="H18" s="688">
        <f t="shared" si="1"/>
        <v>0</v>
      </c>
    </row>
    <row r="19" spans="1:8">
      <c r="A19" s="686">
        <v>6</v>
      </c>
      <c r="B19" s="331" t="s">
        <v>705</v>
      </c>
      <c r="C19" s="635">
        <f>SUM(C20:C21)</f>
        <v>0</v>
      </c>
      <c r="D19" s="635">
        <f>SUM(D20:D21)</f>
        <v>0</v>
      </c>
      <c r="E19" s="687">
        <f t="shared" si="0"/>
        <v>0</v>
      </c>
      <c r="F19" s="635">
        <f>SUM(F20:F21)</f>
        <v>0</v>
      </c>
      <c r="G19" s="635">
        <f>SUM(G20:G21)</f>
        <v>0</v>
      </c>
      <c r="H19" s="688">
        <f t="shared" si="1"/>
        <v>0</v>
      </c>
    </row>
    <row r="20" spans="1:8">
      <c r="A20" s="686">
        <v>6.1</v>
      </c>
      <c r="B20" s="333" t="s">
        <v>538</v>
      </c>
      <c r="C20" s="635">
        <v>0</v>
      </c>
      <c r="D20" s="635">
        <v>0</v>
      </c>
      <c r="E20" s="687">
        <f t="shared" si="0"/>
        <v>0</v>
      </c>
      <c r="F20" s="635">
        <v>0</v>
      </c>
      <c r="G20" s="635">
        <v>0</v>
      </c>
      <c r="H20" s="688">
        <f t="shared" si="1"/>
        <v>0</v>
      </c>
    </row>
    <row r="21" spans="1:8">
      <c r="A21" s="686">
        <v>6.2</v>
      </c>
      <c r="B21" s="333" t="s">
        <v>704</v>
      </c>
      <c r="C21" s="635">
        <v>0</v>
      </c>
      <c r="D21" s="635">
        <v>0</v>
      </c>
      <c r="E21" s="687">
        <f t="shared" si="0"/>
        <v>0</v>
      </c>
      <c r="F21" s="635">
        <v>0</v>
      </c>
      <c r="G21" s="635">
        <v>0</v>
      </c>
      <c r="H21" s="688">
        <f t="shared" si="1"/>
        <v>0</v>
      </c>
    </row>
    <row r="22" spans="1:8">
      <c r="A22" s="686">
        <v>7</v>
      </c>
      <c r="B22" s="334" t="s">
        <v>706</v>
      </c>
      <c r="C22" s="635">
        <v>0</v>
      </c>
      <c r="D22" s="635">
        <v>0</v>
      </c>
      <c r="E22" s="687">
        <f t="shared" si="0"/>
        <v>0</v>
      </c>
      <c r="F22" s="635">
        <v>0</v>
      </c>
      <c r="G22" s="635">
        <v>0</v>
      </c>
      <c r="H22" s="688">
        <f t="shared" si="1"/>
        <v>0</v>
      </c>
    </row>
    <row r="23" spans="1:8">
      <c r="A23" s="686">
        <v>8</v>
      </c>
      <c r="B23" s="335" t="s">
        <v>707</v>
      </c>
      <c r="C23" s="635">
        <v>0</v>
      </c>
      <c r="D23" s="635">
        <v>0</v>
      </c>
      <c r="E23" s="687">
        <f t="shared" si="0"/>
        <v>0</v>
      </c>
      <c r="F23" s="635">
        <v>0</v>
      </c>
      <c r="G23" s="635">
        <v>0</v>
      </c>
      <c r="H23" s="688">
        <f t="shared" si="1"/>
        <v>0</v>
      </c>
    </row>
    <row r="24" spans="1:8">
      <c r="A24" s="686">
        <v>9</v>
      </c>
      <c r="B24" s="332" t="s">
        <v>708</v>
      </c>
      <c r="C24" s="635">
        <f>SUM(C25:C26)</f>
        <v>23847.22</v>
      </c>
      <c r="D24" s="635">
        <f>SUM(D25:D26)</f>
        <v>0</v>
      </c>
      <c r="E24" s="687">
        <f t="shared" si="0"/>
        <v>23847.22</v>
      </c>
      <c r="F24" s="635">
        <f>SUM(F25:F26)</f>
        <v>0</v>
      </c>
      <c r="G24" s="635">
        <f>SUM(G25:G26)</f>
        <v>0</v>
      </c>
      <c r="H24" s="688">
        <f t="shared" si="1"/>
        <v>0</v>
      </c>
    </row>
    <row r="25" spans="1:8">
      <c r="A25" s="686">
        <v>9.1</v>
      </c>
      <c r="B25" s="336" t="s">
        <v>709</v>
      </c>
      <c r="C25" s="635">
        <v>23847.22</v>
      </c>
      <c r="D25" s="635">
        <v>0</v>
      </c>
      <c r="E25" s="687">
        <f t="shared" si="0"/>
        <v>23847.22</v>
      </c>
      <c r="F25" s="635">
        <v>0</v>
      </c>
      <c r="G25" s="635">
        <v>0</v>
      </c>
      <c r="H25" s="688">
        <f t="shared" si="1"/>
        <v>0</v>
      </c>
    </row>
    <row r="26" spans="1:8">
      <c r="A26" s="686">
        <v>9.1999999999999993</v>
      </c>
      <c r="B26" s="336" t="s">
        <v>710</v>
      </c>
      <c r="C26" s="635">
        <v>0</v>
      </c>
      <c r="D26" s="635">
        <v>0</v>
      </c>
      <c r="E26" s="687">
        <f t="shared" si="0"/>
        <v>0</v>
      </c>
      <c r="F26" s="635">
        <v>0</v>
      </c>
      <c r="G26" s="635">
        <v>0</v>
      </c>
      <c r="H26" s="688">
        <f t="shared" si="1"/>
        <v>0</v>
      </c>
    </row>
    <row r="27" spans="1:8">
      <c r="A27" s="686">
        <v>10</v>
      </c>
      <c r="B27" s="332" t="s">
        <v>36</v>
      </c>
      <c r="C27" s="635">
        <f>SUM(C28:C29)</f>
        <v>259105.8</v>
      </c>
      <c r="D27" s="635">
        <f>SUM(D28:D29)</f>
        <v>0</v>
      </c>
      <c r="E27" s="687">
        <f t="shared" si="0"/>
        <v>259105.8</v>
      </c>
      <c r="F27" s="635">
        <f>SUM(F28:F29)</f>
        <v>300000</v>
      </c>
      <c r="G27" s="635">
        <f>SUM(G28:G29)</f>
        <v>0</v>
      </c>
      <c r="H27" s="688">
        <f t="shared" si="1"/>
        <v>300000</v>
      </c>
    </row>
    <row r="28" spans="1:8">
      <c r="A28" s="686">
        <v>10.1</v>
      </c>
      <c r="B28" s="336" t="s">
        <v>711</v>
      </c>
      <c r="C28" s="635">
        <v>0</v>
      </c>
      <c r="D28" s="635">
        <v>0</v>
      </c>
      <c r="E28" s="687">
        <f t="shared" si="0"/>
        <v>0</v>
      </c>
      <c r="F28" s="635">
        <v>0</v>
      </c>
      <c r="G28" s="635">
        <v>0</v>
      </c>
      <c r="H28" s="688">
        <f t="shared" si="1"/>
        <v>0</v>
      </c>
    </row>
    <row r="29" spans="1:8">
      <c r="A29" s="686">
        <v>10.199999999999999</v>
      </c>
      <c r="B29" s="336" t="s">
        <v>712</v>
      </c>
      <c r="C29" s="635">
        <v>259105.8</v>
      </c>
      <c r="D29" s="635">
        <v>0</v>
      </c>
      <c r="E29" s="687">
        <f t="shared" si="0"/>
        <v>259105.8</v>
      </c>
      <c r="F29" s="635">
        <v>300000</v>
      </c>
      <c r="G29" s="635">
        <v>0</v>
      </c>
      <c r="H29" s="688">
        <f t="shared" si="1"/>
        <v>300000</v>
      </c>
    </row>
    <row r="30" spans="1:8">
      <c r="A30" s="686">
        <v>11</v>
      </c>
      <c r="B30" s="332" t="s">
        <v>713</v>
      </c>
      <c r="C30" s="635">
        <f>SUM(C31:C32)</f>
        <v>94887.16</v>
      </c>
      <c r="D30" s="635">
        <f>SUM(D31:D32)</f>
        <v>0</v>
      </c>
      <c r="E30" s="687">
        <f t="shared" si="0"/>
        <v>94887.16</v>
      </c>
      <c r="F30" s="635">
        <f>SUM(F31:F32)</f>
        <v>0</v>
      </c>
      <c r="G30" s="635">
        <f>SUM(G31:G32)</f>
        <v>0</v>
      </c>
      <c r="H30" s="688">
        <f t="shared" si="1"/>
        <v>0</v>
      </c>
    </row>
    <row r="31" spans="1:8">
      <c r="A31" s="686">
        <v>11.1</v>
      </c>
      <c r="B31" s="336" t="s">
        <v>714</v>
      </c>
      <c r="C31" s="635">
        <v>94887.16</v>
      </c>
      <c r="D31" s="635">
        <v>0</v>
      </c>
      <c r="E31" s="687">
        <f t="shared" si="0"/>
        <v>94887.16</v>
      </c>
      <c r="F31" s="635">
        <v>0</v>
      </c>
      <c r="G31" s="635">
        <v>0</v>
      </c>
      <c r="H31" s="688">
        <f t="shared" si="1"/>
        <v>0</v>
      </c>
    </row>
    <row r="32" spans="1:8">
      <c r="A32" s="686">
        <v>11.2</v>
      </c>
      <c r="B32" s="336" t="s">
        <v>715</v>
      </c>
      <c r="C32" s="635">
        <v>0</v>
      </c>
      <c r="D32" s="635">
        <v>0</v>
      </c>
      <c r="E32" s="687">
        <f t="shared" si="0"/>
        <v>0</v>
      </c>
      <c r="F32" s="635">
        <v>0</v>
      </c>
      <c r="G32" s="635">
        <v>0</v>
      </c>
      <c r="H32" s="688">
        <f t="shared" si="1"/>
        <v>0</v>
      </c>
    </row>
    <row r="33" spans="1:8">
      <c r="A33" s="686">
        <v>13</v>
      </c>
      <c r="B33" s="332" t="s">
        <v>88</v>
      </c>
      <c r="C33" s="635">
        <v>10524.09</v>
      </c>
      <c r="D33" s="635">
        <v>90974.82</v>
      </c>
      <c r="E33" s="687">
        <f t="shared" si="0"/>
        <v>101498.91</v>
      </c>
      <c r="F33" s="635">
        <v>5041.57</v>
      </c>
      <c r="G33" s="635">
        <v>0</v>
      </c>
      <c r="H33" s="688">
        <f t="shared" si="1"/>
        <v>5041.57</v>
      </c>
    </row>
    <row r="34" spans="1:8">
      <c r="A34" s="686">
        <v>13.1</v>
      </c>
      <c r="B34" s="662" t="s">
        <v>716</v>
      </c>
      <c r="C34" s="635">
        <v>0</v>
      </c>
      <c r="D34" s="635">
        <v>0</v>
      </c>
      <c r="E34" s="687">
        <f t="shared" si="0"/>
        <v>0</v>
      </c>
      <c r="F34" s="635">
        <v>0</v>
      </c>
      <c r="G34" s="635">
        <v>0</v>
      </c>
      <c r="H34" s="688">
        <f t="shared" si="1"/>
        <v>0</v>
      </c>
    </row>
    <row r="35" spans="1:8">
      <c r="A35" s="686">
        <v>13.2</v>
      </c>
      <c r="B35" s="662" t="s">
        <v>717</v>
      </c>
      <c r="C35" s="635">
        <v>0</v>
      </c>
      <c r="D35" s="635">
        <v>0</v>
      </c>
      <c r="E35" s="687">
        <f t="shared" si="0"/>
        <v>0</v>
      </c>
      <c r="F35" s="635">
        <v>0</v>
      </c>
      <c r="G35" s="635">
        <v>0</v>
      </c>
      <c r="H35" s="688">
        <f t="shared" si="1"/>
        <v>0</v>
      </c>
    </row>
    <row r="36" spans="1:8">
      <c r="A36" s="686">
        <v>14</v>
      </c>
      <c r="B36" s="561" t="s">
        <v>718</v>
      </c>
      <c r="C36" s="635">
        <f>SUM(C7,C11,C13,C14,C15,C19,C22,C23,C24,C27,C30,C33)</f>
        <v>8573068.5399999991</v>
      </c>
      <c r="D36" s="635">
        <f>SUM(D7,D11,D13,D14,D15,D19,D22,D23,D24,D27,D30,D33)</f>
        <v>21933104.210000001</v>
      </c>
      <c r="E36" s="687">
        <f t="shared" si="0"/>
        <v>30506172.75</v>
      </c>
      <c r="F36" s="635">
        <f>SUM(F7,F11,F13,F14,F15,F19,F22,F23,F24,F27,F30,F33)</f>
        <v>5580826.0700000003</v>
      </c>
      <c r="G36" s="635">
        <f>SUM(G7,G11,G13,G14,G15,G19,G22,G23,G24,G27,G30,G33)</f>
        <v>0</v>
      </c>
      <c r="H36" s="688">
        <f t="shared" si="1"/>
        <v>5580826.0700000003</v>
      </c>
    </row>
    <row r="37" spans="1:8" ht="22.5" customHeight="1">
      <c r="A37" s="686"/>
      <c r="B37" s="692" t="s">
        <v>93</v>
      </c>
      <c r="C37" s="724"/>
      <c r="D37" s="725"/>
      <c r="E37" s="725"/>
      <c r="F37" s="725"/>
      <c r="G37" s="725"/>
      <c r="H37" s="726"/>
    </row>
    <row r="38" spans="1:8">
      <c r="A38" s="686">
        <v>15</v>
      </c>
      <c r="B38" s="340" t="s">
        <v>719</v>
      </c>
      <c r="C38" s="635">
        <v>0</v>
      </c>
      <c r="D38" s="635">
        <v>0</v>
      </c>
      <c r="E38" s="687">
        <f>C38+D38</f>
        <v>0</v>
      </c>
      <c r="F38" s="635">
        <v>0</v>
      </c>
      <c r="G38" s="635">
        <v>0</v>
      </c>
      <c r="H38" s="688">
        <f>F38+G38</f>
        <v>0</v>
      </c>
    </row>
    <row r="39" spans="1:8">
      <c r="A39" s="686">
        <v>15.1</v>
      </c>
      <c r="B39" s="659" t="s">
        <v>699</v>
      </c>
      <c r="C39" s="635">
        <f>C38</f>
        <v>0</v>
      </c>
      <c r="D39" s="635">
        <f>D38</f>
        <v>0</v>
      </c>
      <c r="E39" s="687">
        <f t="shared" ref="E39" si="2">C39+D39</f>
        <v>0</v>
      </c>
      <c r="F39" s="635">
        <v>0</v>
      </c>
      <c r="G39" s="635">
        <v>0</v>
      </c>
      <c r="H39" s="688">
        <f t="shared" ref="H39:H53" si="3">F39+G39</f>
        <v>0</v>
      </c>
    </row>
    <row r="40" spans="1:8" ht="24" customHeight="1">
      <c r="A40" s="686">
        <v>16</v>
      </c>
      <c r="B40" s="334" t="s">
        <v>720</v>
      </c>
      <c r="C40" s="635"/>
      <c r="D40" s="635"/>
      <c r="E40" s="687">
        <f t="shared" ref="E40:E53" si="4">C40+D40</f>
        <v>0</v>
      </c>
      <c r="F40" s="635"/>
      <c r="G40" s="635"/>
      <c r="H40" s="688">
        <f t="shared" si="3"/>
        <v>0</v>
      </c>
    </row>
    <row r="41" spans="1:8">
      <c r="A41" s="686">
        <v>17</v>
      </c>
      <c r="B41" s="334" t="s">
        <v>721</v>
      </c>
      <c r="C41" s="635">
        <f>SUM(C42:C45)</f>
        <v>1699408.42</v>
      </c>
      <c r="D41" s="635">
        <f>SUM(D42:D45)</f>
        <v>21333576.109999999</v>
      </c>
      <c r="E41" s="687">
        <f t="shared" si="4"/>
        <v>23032984.530000001</v>
      </c>
      <c r="F41" s="635">
        <f>SUM(F42:F45)</f>
        <v>0</v>
      </c>
      <c r="G41" s="635">
        <f>SUM(G42:G45)</f>
        <v>0</v>
      </c>
      <c r="H41" s="688">
        <f t="shared" si="3"/>
        <v>0</v>
      </c>
    </row>
    <row r="42" spans="1:8">
      <c r="A42" s="686">
        <v>17.100000000000001</v>
      </c>
      <c r="B42" s="342" t="s">
        <v>722</v>
      </c>
      <c r="C42" s="635">
        <v>1699408.42</v>
      </c>
      <c r="D42" s="635">
        <v>20488459.649999999</v>
      </c>
      <c r="E42" s="687">
        <f t="shared" si="4"/>
        <v>22187868.07</v>
      </c>
      <c r="F42" s="635">
        <v>0</v>
      </c>
      <c r="G42" s="635">
        <v>0</v>
      </c>
      <c r="H42" s="688">
        <f t="shared" si="3"/>
        <v>0</v>
      </c>
    </row>
    <row r="43" spans="1:8">
      <c r="A43" s="686">
        <v>17.2</v>
      </c>
      <c r="B43" s="657" t="s">
        <v>89</v>
      </c>
      <c r="C43" s="635">
        <v>0</v>
      </c>
      <c r="D43" s="635">
        <v>845116.46000000008</v>
      </c>
      <c r="E43" s="687">
        <f t="shared" si="4"/>
        <v>845116.46000000008</v>
      </c>
      <c r="F43" s="635">
        <v>0</v>
      </c>
      <c r="G43" s="635">
        <v>0</v>
      </c>
      <c r="H43" s="688">
        <f t="shared" si="3"/>
        <v>0</v>
      </c>
    </row>
    <row r="44" spans="1:8">
      <c r="A44" s="686">
        <v>17.3</v>
      </c>
      <c r="B44" s="342" t="s">
        <v>723</v>
      </c>
      <c r="C44" s="635">
        <v>0</v>
      </c>
      <c r="D44" s="635">
        <v>0</v>
      </c>
      <c r="E44" s="687">
        <f t="shared" si="4"/>
        <v>0</v>
      </c>
      <c r="F44" s="635">
        <v>0</v>
      </c>
      <c r="G44" s="635">
        <v>0</v>
      </c>
      <c r="H44" s="688">
        <f t="shared" si="3"/>
        <v>0</v>
      </c>
    </row>
    <row r="45" spans="1:8">
      <c r="A45" s="686">
        <v>17.399999999999999</v>
      </c>
      <c r="B45" s="342" t="s">
        <v>724</v>
      </c>
      <c r="C45" s="635">
        <v>0</v>
      </c>
      <c r="D45" s="635">
        <v>0</v>
      </c>
      <c r="E45" s="687">
        <f t="shared" si="4"/>
        <v>0</v>
      </c>
      <c r="F45" s="635">
        <v>0</v>
      </c>
      <c r="G45" s="635">
        <v>0</v>
      </c>
      <c r="H45" s="688">
        <f t="shared" si="3"/>
        <v>0</v>
      </c>
    </row>
    <row r="46" spans="1:8">
      <c r="A46" s="686">
        <v>18</v>
      </c>
      <c r="B46" s="332" t="s">
        <v>725</v>
      </c>
      <c r="C46" s="635">
        <v>0</v>
      </c>
      <c r="D46" s="635">
        <v>0</v>
      </c>
      <c r="E46" s="687">
        <f t="shared" si="4"/>
        <v>0</v>
      </c>
      <c r="F46" s="635">
        <v>0</v>
      </c>
      <c r="G46" s="635">
        <v>0</v>
      </c>
      <c r="H46" s="688">
        <f t="shared" si="3"/>
        <v>0</v>
      </c>
    </row>
    <row r="47" spans="1:8">
      <c r="A47" s="686">
        <v>19</v>
      </c>
      <c r="B47" s="332" t="s">
        <v>726</v>
      </c>
      <c r="C47" s="635">
        <f>SUM(C48:C49)</f>
        <v>22426.6</v>
      </c>
      <c r="D47" s="635">
        <f>SUM(D48:D49)</f>
        <v>0</v>
      </c>
      <c r="E47" s="687">
        <f t="shared" si="4"/>
        <v>22426.6</v>
      </c>
      <c r="F47" s="635">
        <f>SUM(F48:F49)</f>
        <v>93512.4</v>
      </c>
      <c r="G47" s="635">
        <f>SUM(G48:G49)</f>
        <v>0</v>
      </c>
      <c r="H47" s="688">
        <f t="shared" si="3"/>
        <v>93512.4</v>
      </c>
    </row>
    <row r="48" spans="1:8">
      <c r="A48" s="686">
        <v>19.100000000000001</v>
      </c>
      <c r="B48" s="344" t="s">
        <v>727</v>
      </c>
      <c r="C48" s="635">
        <v>22426.6</v>
      </c>
      <c r="D48" s="635">
        <v>0</v>
      </c>
      <c r="E48" s="687">
        <f t="shared" si="4"/>
        <v>22426.6</v>
      </c>
      <c r="F48" s="635">
        <v>93512.4</v>
      </c>
      <c r="G48" s="635">
        <v>0</v>
      </c>
      <c r="H48" s="688">
        <f t="shared" si="3"/>
        <v>93512.4</v>
      </c>
    </row>
    <row r="49" spans="1:8">
      <c r="A49" s="686">
        <v>19.2</v>
      </c>
      <c r="B49" s="345" t="s">
        <v>728</v>
      </c>
      <c r="C49" s="635">
        <v>0</v>
      </c>
      <c r="D49" s="635">
        <v>0</v>
      </c>
      <c r="E49" s="687">
        <f t="shared" si="4"/>
        <v>0</v>
      </c>
      <c r="F49" s="635">
        <v>0</v>
      </c>
      <c r="G49" s="635">
        <v>0</v>
      </c>
      <c r="H49" s="688">
        <f t="shared" si="3"/>
        <v>0</v>
      </c>
    </row>
    <row r="50" spans="1:8">
      <c r="A50" s="686">
        <v>20</v>
      </c>
      <c r="B50" s="561" t="s">
        <v>90</v>
      </c>
      <c r="C50" s="635">
        <v>0</v>
      </c>
      <c r="D50" s="635">
        <v>0</v>
      </c>
      <c r="E50" s="687">
        <f t="shared" si="4"/>
        <v>0</v>
      </c>
      <c r="F50" s="635">
        <v>0</v>
      </c>
      <c r="G50" s="635">
        <v>0</v>
      </c>
      <c r="H50" s="688">
        <f t="shared" si="3"/>
        <v>0</v>
      </c>
    </row>
    <row r="51" spans="1:8">
      <c r="A51" s="686">
        <v>21</v>
      </c>
      <c r="B51" s="658" t="s">
        <v>78</v>
      </c>
      <c r="C51" s="635">
        <v>92591.37</v>
      </c>
      <c r="D51" s="635">
        <v>109373.49000000002</v>
      </c>
      <c r="E51" s="687">
        <f t="shared" si="4"/>
        <v>201964.86000000002</v>
      </c>
      <c r="F51" s="635">
        <v>0</v>
      </c>
      <c r="G51" s="635">
        <v>112488.56</v>
      </c>
      <c r="H51" s="688">
        <f t="shared" si="3"/>
        <v>112488.56</v>
      </c>
    </row>
    <row r="52" spans="1:8">
      <c r="A52" s="686">
        <v>21.1</v>
      </c>
      <c r="B52" s="657" t="s">
        <v>729</v>
      </c>
      <c r="C52" s="635">
        <v>0</v>
      </c>
      <c r="D52" s="635">
        <v>0</v>
      </c>
      <c r="E52" s="687">
        <f t="shared" si="4"/>
        <v>0</v>
      </c>
      <c r="F52" s="635">
        <v>0</v>
      </c>
      <c r="G52" s="635">
        <v>0</v>
      </c>
      <c r="H52" s="688">
        <f t="shared" si="3"/>
        <v>0</v>
      </c>
    </row>
    <row r="53" spans="1:8">
      <c r="A53" s="686">
        <v>22</v>
      </c>
      <c r="B53" s="561" t="s">
        <v>730</v>
      </c>
      <c r="C53" s="635">
        <f>SUM(C38,C40,C41,C46,C47,C50,C51)</f>
        <v>1814426.3900000001</v>
      </c>
      <c r="D53" s="635">
        <f>SUM(D38,D40,D41,D46,D47,D50,D51)</f>
        <v>21442949.599999998</v>
      </c>
      <c r="E53" s="687">
        <f t="shared" si="4"/>
        <v>23257375.989999998</v>
      </c>
      <c r="F53" s="635">
        <f>SUM(F38,F40,F41,F46,F47,F50,F51)</f>
        <v>93512.4</v>
      </c>
      <c r="G53" s="635">
        <f>SUM(G38,G40,G41,G46,G47,G50,G51)</f>
        <v>112488.56</v>
      </c>
      <c r="H53" s="688">
        <f t="shared" si="3"/>
        <v>206000.96</v>
      </c>
    </row>
    <row r="54" spans="1:8" ht="24" customHeight="1">
      <c r="A54" s="686"/>
      <c r="B54" s="692" t="s">
        <v>731</v>
      </c>
      <c r="C54" s="724"/>
      <c r="D54" s="725"/>
      <c r="E54" s="725"/>
      <c r="F54" s="725"/>
      <c r="G54" s="725"/>
      <c r="H54" s="726"/>
    </row>
    <row r="55" spans="1:8">
      <c r="A55" s="686">
        <v>23</v>
      </c>
      <c r="B55" s="561" t="s">
        <v>960</v>
      </c>
      <c r="C55" s="635">
        <v>8052000</v>
      </c>
      <c r="D55" s="635">
        <v>0</v>
      </c>
      <c r="E55" s="687">
        <f>C55+D55</f>
        <v>8052000</v>
      </c>
      <c r="F55" s="635">
        <v>5000000</v>
      </c>
      <c r="G55" s="635">
        <v>0</v>
      </c>
      <c r="H55" s="688">
        <f>F55+G55</f>
        <v>5000000</v>
      </c>
    </row>
    <row r="56" spans="1:8">
      <c r="A56" s="686">
        <v>24</v>
      </c>
      <c r="B56" s="561" t="s">
        <v>732</v>
      </c>
      <c r="C56" s="635">
        <v>0</v>
      </c>
      <c r="D56" s="635">
        <v>0</v>
      </c>
      <c r="E56" s="687">
        <f t="shared" ref="E56:E67" si="5">C56+D56</f>
        <v>0</v>
      </c>
      <c r="F56" s="635">
        <v>0</v>
      </c>
      <c r="G56" s="635">
        <v>0</v>
      </c>
      <c r="H56" s="688">
        <f t="shared" ref="H56:H69" si="6">F56+G56</f>
        <v>0</v>
      </c>
    </row>
    <row r="57" spans="1:8">
      <c r="A57" s="686">
        <v>25</v>
      </c>
      <c r="B57" s="561" t="s">
        <v>91</v>
      </c>
      <c r="C57" s="635">
        <v>0</v>
      </c>
      <c r="D57" s="635">
        <v>0</v>
      </c>
      <c r="E57" s="687">
        <f t="shared" si="5"/>
        <v>0</v>
      </c>
      <c r="F57" s="635">
        <v>0</v>
      </c>
      <c r="G57" s="635">
        <v>0</v>
      </c>
      <c r="H57" s="688">
        <f t="shared" si="6"/>
        <v>0</v>
      </c>
    </row>
    <row r="58" spans="1:8">
      <c r="A58" s="686">
        <v>26</v>
      </c>
      <c r="B58" s="332" t="s">
        <v>733</v>
      </c>
      <c r="C58" s="635">
        <v>0</v>
      </c>
      <c r="D58" s="635">
        <v>0</v>
      </c>
      <c r="E58" s="687">
        <f t="shared" si="5"/>
        <v>0</v>
      </c>
      <c r="F58" s="635">
        <v>0</v>
      </c>
      <c r="G58" s="635">
        <v>0</v>
      </c>
      <c r="H58" s="688">
        <f t="shared" si="6"/>
        <v>0</v>
      </c>
    </row>
    <row r="59" spans="1:8">
      <c r="A59" s="686">
        <v>27</v>
      </c>
      <c r="B59" s="332" t="s">
        <v>734</v>
      </c>
      <c r="C59" s="635">
        <f>SUM(C60:C61)</f>
        <v>0</v>
      </c>
      <c r="D59" s="635">
        <f>SUM(D60:D61)</f>
        <v>0</v>
      </c>
      <c r="E59" s="687">
        <f t="shared" si="5"/>
        <v>0</v>
      </c>
      <c r="F59" s="635">
        <v>0</v>
      </c>
      <c r="G59" s="635">
        <v>0</v>
      </c>
      <c r="H59" s="688">
        <f t="shared" si="6"/>
        <v>0</v>
      </c>
    </row>
    <row r="60" spans="1:8">
      <c r="A60" s="686">
        <v>27.1</v>
      </c>
      <c r="B60" s="344" t="s">
        <v>735</v>
      </c>
      <c r="C60" s="635">
        <v>0</v>
      </c>
      <c r="D60" s="635">
        <v>0</v>
      </c>
      <c r="E60" s="687">
        <f t="shared" si="5"/>
        <v>0</v>
      </c>
      <c r="F60" s="635">
        <v>0</v>
      </c>
      <c r="G60" s="635">
        <v>0</v>
      </c>
      <c r="H60" s="688">
        <f t="shared" si="6"/>
        <v>0</v>
      </c>
    </row>
    <row r="61" spans="1:8">
      <c r="A61" s="686">
        <v>27.2</v>
      </c>
      <c r="B61" s="342" t="s">
        <v>736</v>
      </c>
      <c r="C61" s="635"/>
      <c r="D61" s="635">
        <v>0</v>
      </c>
      <c r="E61" s="687">
        <f t="shared" si="5"/>
        <v>0</v>
      </c>
      <c r="F61" s="635">
        <v>0</v>
      </c>
      <c r="G61" s="635">
        <v>0</v>
      </c>
      <c r="H61" s="688">
        <f t="shared" si="6"/>
        <v>0</v>
      </c>
    </row>
    <row r="62" spans="1:8">
      <c r="A62" s="686">
        <v>28</v>
      </c>
      <c r="B62" s="658" t="s">
        <v>737</v>
      </c>
      <c r="C62" s="635">
        <v>0</v>
      </c>
      <c r="D62" s="635"/>
      <c r="E62" s="687">
        <f t="shared" si="5"/>
        <v>0</v>
      </c>
      <c r="F62" s="635">
        <v>0</v>
      </c>
      <c r="G62" s="635">
        <v>0</v>
      </c>
      <c r="H62" s="688">
        <f t="shared" si="6"/>
        <v>0</v>
      </c>
    </row>
    <row r="63" spans="1:8">
      <c r="A63" s="686">
        <v>29</v>
      </c>
      <c r="B63" s="332" t="s">
        <v>738</v>
      </c>
      <c r="C63" s="635">
        <f>SUM(C64:C66)</f>
        <v>0</v>
      </c>
      <c r="D63" s="635">
        <f>SUM(D64:D66)</f>
        <v>0</v>
      </c>
      <c r="E63" s="687">
        <f t="shared" si="5"/>
        <v>0</v>
      </c>
      <c r="F63" s="635">
        <v>0</v>
      </c>
      <c r="G63" s="635">
        <v>0</v>
      </c>
      <c r="H63" s="688">
        <f t="shared" si="6"/>
        <v>0</v>
      </c>
    </row>
    <row r="64" spans="1:8">
      <c r="A64" s="686">
        <v>29.1</v>
      </c>
      <c r="B64" s="333" t="s">
        <v>739</v>
      </c>
      <c r="C64" s="635">
        <v>0</v>
      </c>
      <c r="D64" s="635">
        <v>0</v>
      </c>
      <c r="E64" s="687">
        <f t="shared" si="5"/>
        <v>0</v>
      </c>
      <c r="F64" s="635">
        <v>0</v>
      </c>
      <c r="G64" s="635">
        <v>0</v>
      </c>
      <c r="H64" s="688">
        <f t="shared" si="6"/>
        <v>0</v>
      </c>
    </row>
    <row r="65" spans="1:8" ht="25.05" customHeight="1">
      <c r="A65" s="686">
        <v>29.2</v>
      </c>
      <c r="B65" s="344" t="s">
        <v>740</v>
      </c>
      <c r="C65" s="635">
        <v>0</v>
      </c>
      <c r="D65" s="635">
        <v>0</v>
      </c>
      <c r="E65" s="687">
        <f t="shared" si="5"/>
        <v>0</v>
      </c>
      <c r="F65" s="635">
        <v>0</v>
      </c>
      <c r="G65" s="635">
        <v>0</v>
      </c>
      <c r="H65" s="688">
        <f t="shared" si="6"/>
        <v>0</v>
      </c>
    </row>
    <row r="66" spans="1:8" ht="22.5" customHeight="1">
      <c r="A66" s="686">
        <v>29.3</v>
      </c>
      <c r="B66" s="336" t="s">
        <v>741</v>
      </c>
      <c r="C66" s="635">
        <v>0</v>
      </c>
      <c r="D66" s="635">
        <v>0</v>
      </c>
      <c r="E66" s="687">
        <f t="shared" si="5"/>
        <v>0</v>
      </c>
      <c r="F66" s="635">
        <v>0</v>
      </c>
      <c r="G66" s="635">
        <v>0</v>
      </c>
      <c r="H66" s="688">
        <f t="shared" si="6"/>
        <v>0</v>
      </c>
    </row>
    <row r="67" spans="1:8">
      <c r="A67" s="686">
        <v>30</v>
      </c>
      <c r="B67" s="332" t="s">
        <v>92</v>
      </c>
      <c r="C67" s="635">
        <v>-803203.23999999987</v>
      </c>
      <c r="D67" s="635">
        <v>0</v>
      </c>
      <c r="E67" s="687">
        <f t="shared" si="5"/>
        <v>-803203.23999999987</v>
      </c>
      <c r="F67" s="635">
        <v>374825.11</v>
      </c>
      <c r="G67" s="635">
        <v>0</v>
      </c>
      <c r="H67" s="688">
        <f t="shared" si="6"/>
        <v>374825.11</v>
      </c>
    </row>
    <row r="68" spans="1:8">
      <c r="A68" s="686">
        <v>31</v>
      </c>
      <c r="B68" s="693" t="s">
        <v>742</v>
      </c>
      <c r="C68" s="635">
        <f>SUM(C55,C56,C57,C58,C59,C62,C63,C67)</f>
        <v>7248796.7599999998</v>
      </c>
      <c r="D68" s="635">
        <f>SUM(D55,D56,D57,D58,D59,D62,D63,D67)</f>
        <v>0</v>
      </c>
      <c r="E68" s="687">
        <f t="shared" ref="E68:E69" si="7">C68+D68</f>
        <v>7248796.7599999998</v>
      </c>
      <c r="F68" s="635">
        <f>SUM(F55,F56,F57,F58,F59,F62,F63,F67)</f>
        <v>5374825.1100000003</v>
      </c>
      <c r="G68" s="635">
        <f>SUM(G55,G56,G57,G58,G59,G62,G63,G67)</f>
        <v>0</v>
      </c>
      <c r="H68" s="688">
        <f t="shared" si="6"/>
        <v>5374825.1100000003</v>
      </c>
    </row>
    <row r="69" spans="1:8" ht="15" thickBot="1">
      <c r="A69" s="694">
        <v>32</v>
      </c>
      <c r="B69" s="695" t="s">
        <v>743</v>
      </c>
      <c r="C69" s="696">
        <f>SUM(C53,C68)</f>
        <v>9063223.1500000004</v>
      </c>
      <c r="D69" s="696">
        <f>SUM(D53,D68)</f>
        <v>21442949.599999998</v>
      </c>
      <c r="E69" s="697">
        <f t="shared" si="7"/>
        <v>30506172.75</v>
      </c>
      <c r="F69" s="696">
        <f>SUM(F53,F68)</f>
        <v>5468337.5100000007</v>
      </c>
      <c r="G69" s="696">
        <f>SUM(G53,G68)</f>
        <v>112488.56</v>
      </c>
      <c r="H69" s="698">
        <f t="shared" si="6"/>
        <v>5580826.0700000003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J38" sqref="J38"/>
    </sheetView>
  </sheetViews>
  <sheetFormatPr defaultColWidth="9.109375" defaultRowHeight="12"/>
  <cols>
    <col min="1" max="1" width="11.88671875" style="400" bestFit="1" customWidth="1"/>
    <col min="2" max="2" width="65.21875" style="400" customWidth="1"/>
    <col min="3" max="3" width="5.21875" style="400" customWidth="1"/>
    <col min="4" max="5" width="16.109375" style="400" customWidth="1"/>
    <col min="6" max="6" width="16.109375" style="420" customWidth="1"/>
    <col min="7" max="7" width="25.109375" style="420" customWidth="1"/>
    <col min="8" max="8" width="5.21875" style="400" customWidth="1"/>
    <col min="9" max="11" width="16.109375" style="420" customWidth="1"/>
    <col min="12" max="12" width="26.109375" style="420" customWidth="1"/>
    <col min="13" max="16384" width="9.109375" style="400"/>
  </cols>
  <sheetData>
    <row r="1" spans="1:12" ht="13.8">
      <c r="A1" s="307" t="s">
        <v>97</v>
      </c>
      <c r="B1" s="232" t="str">
        <f>Info!C2</f>
        <v>სს პეივ ბანკ ჯორჯია</v>
      </c>
      <c r="F1" s="400"/>
      <c r="G1" s="400"/>
      <c r="I1" s="400"/>
      <c r="J1" s="400"/>
      <c r="K1" s="400"/>
      <c r="L1" s="400"/>
    </row>
    <row r="2" spans="1:12">
      <c r="A2" s="307" t="s">
        <v>98</v>
      </c>
      <c r="B2" s="310">
        <f>'1. key ratios'!B2</f>
        <v>45747</v>
      </c>
      <c r="F2" s="400"/>
      <c r="G2" s="400"/>
      <c r="I2" s="400"/>
      <c r="J2" s="400"/>
      <c r="K2" s="400"/>
      <c r="L2" s="400"/>
    </row>
    <row r="3" spans="1:12">
      <c r="A3" s="309" t="s">
        <v>563</v>
      </c>
      <c r="F3" s="400"/>
      <c r="G3" s="400"/>
      <c r="I3" s="400"/>
      <c r="J3" s="400"/>
      <c r="K3" s="400"/>
      <c r="L3" s="400"/>
    </row>
    <row r="4" spans="1:12">
      <c r="F4" s="400"/>
      <c r="G4" s="400"/>
      <c r="I4" s="400"/>
      <c r="J4" s="400"/>
      <c r="K4" s="400"/>
      <c r="L4" s="400"/>
    </row>
    <row r="5" spans="1:12" ht="37.5" customHeight="1">
      <c r="A5" s="785" t="s">
        <v>564</v>
      </c>
      <c r="B5" s="786"/>
      <c r="C5" s="834" t="s">
        <v>565</v>
      </c>
      <c r="D5" s="835"/>
      <c r="E5" s="835"/>
      <c r="F5" s="835"/>
      <c r="G5" s="835"/>
      <c r="H5" s="834" t="s">
        <v>875</v>
      </c>
      <c r="I5" s="836"/>
      <c r="J5" s="836"/>
      <c r="K5" s="836"/>
      <c r="L5" s="837"/>
    </row>
    <row r="6" spans="1:12" ht="39.6" customHeight="1">
      <c r="A6" s="789"/>
      <c r="B6" s="790"/>
      <c r="C6" s="314"/>
      <c r="D6" s="398" t="s">
        <v>860</v>
      </c>
      <c r="E6" s="398" t="s">
        <v>859</v>
      </c>
      <c r="F6" s="398" t="s">
        <v>858</v>
      </c>
      <c r="G6" s="398" t="s">
        <v>857</v>
      </c>
      <c r="H6" s="421"/>
      <c r="I6" s="398" t="s">
        <v>860</v>
      </c>
      <c r="J6" s="398" t="s">
        <v>859</v>
      </c>
      <c r="K6" s="398" t="s">
        <v>858</v>
      </c>
      <c r="L6" s="398" t="s">
        <v>857</v>
      </c>
    </row>
    <row r="7" spans="1:12">
      <c r="A7" s="390">
        <v>1</v>
      </c>
      <c r="B7" s="403" t="s">
        <v>487</v>
      </c>
      <c r="C7" s="403"/>
      <c r="D7" s="390"/>
      <c r="E7" s="390"/>
      <c r="F7" s="460"/>
      <c r="G7" s="460"/>
      <c r="H7" s="390"/>
      <c r="I7" s="460"/>
      <c r="J7" s="460"/>
      <c r="K7" s="460"/>
      <c r="L7" s="460"/>
    </row>
    <row r="8" spans="1:12">
      <c r="A8" s="390">
        <v>2</v>
      </c>
      <c r="B8" s="403" t="s">
        <v>488</v>
      </c>
      <c r="C8" s="403"/>
      <c r="D8" s="390"/>
      <c r="E8" s="390"/>
      <c r="F8" s="397"/>
      <c r="G8" s="397"/>
      <c r="H8" s="390"/>
      <c r="I8" s="397"/>
      <c r="J8" s="397"/>
      <c r="K8" s="397"/>
      <c r="L8" s="397"/>
    </row>
    <row r="9" spans="1:12">
      <c r="A9" s="390">
        <v>3</v>
      </c>
      <c r="B9" s="403" t="s">
        <v>836</v>
      </c>
      <c r="C9" s="403"/>
      <c r="D9" s="390"/>
      <c r="E9" s="390"/>
      <c r="F9" s="399"/>
      <c r="G9" s="399"/>
      <c r="H9" s="390"/>
      <c r="I9" s="399"/>
      <c r="J9" s="399"/>
      <c r="K9" s="399"/>
      <c r="L9" s="399"/>
    </row>
    <row r="10" spans="1:12">
      <c r="A10" s="390">
        <v>4</v>
      </c>
      <c r="B10" s="403" t="s">
        <v>489</v>
      </c>
      <c r="C10" s="403"/>
      <c r="D10" s="390"/>
      <c r="E10" s="390"/>
      <c r="F10" s="399"/>
      <c r="G10" s="399"/>
      <c r="H10" s="390"/>
      <c r="I10" s="399"/>
      <c r="J10" s="399"/>
      <c r="K10" s="399"/>
      <c r="L10" s="399"/>
    </row>
    <row r="11" spans="1:12">
      <c r="A11" s="390">
        <v>5</v>
      </c>
      <c r="B11" s="403" t="s">
        <v>490</v>
      </c>
      <c r="C11" s="403"/>
      <c r="D11" s="390"/>
      <c r="E11" s="390"/>
      <c r="F11" s="399"/>
      <c r="G11" s="399"/>
      <c r="H11" s="390"/>
      <c r="I11" s="399"/>
      <c r="J11" s="399"/>
      <c r="K11" s="399"/>
      <c r="L11" s="399"/>
    </row>
    <row r="12" spans="1:12">
      <c r="A12" s="390">
        <v>6</v>
      </c>
      <c r="B12" s="403" t="s">
        <v>491</v>
      </c>
      <c r="C12" s="403"/>
      <c r="D12" s="390"/>
      <c r="E12" s="390"/>
      <c r="F12" s="399"/>
      <c r="G12" s="399"/>
      <c r="H12" s="390"/>
      <c r="I12" s="399"/>
      <c r="J12" s="399"/>
      <c r="K12" s="399"/>
      <c r="L12" s="399"/>
    </row>
    <row r="13" spans="1:12">
      <c r="A13" s="390">
        <v>7</v>
      </c>
      <c r="B13" s="403" t="s">
        <v>492</v>
      </c>
      <c r="C13" s="403"/>
      <c r="D13" s="390"/>
      <c r="E13" s="390"/>
      <c r="F13" s="399"/>
      <c r="G13" s="399"/>
      <c r="H13" s="390"/>
      <c r="I13" s="399"/>
      <c r="J13" s="399"/>
      <c r="K13" s="399"/>
      <c r="L13" s="399"/>
    </row>
    <row r="14" spans="1:12">
      <c r="A14" s="390">
        <v>8</v>
      </c>
      <c r="B14" s="403" t="s">
        <v>493</v>
      </c>
      <c r="C14" s="403"/>
      <c r="D14" s="390"/>
      <c r="E14" s="390"/>
      <c r="F14" s="399"/>
      <c r="G14" s="399"/>
      <c r="H14" s="390"/>
      <c r="I14" s="399"/>
      <c r="J14" s="399"/>
      <c r="K14" s="399"/>
      <c r="L14" s="399"/>
    </row>
    <row r="15" spans="1:12">
      <c r="A15" s="390">
        <v>9</v>
      </c>
      <c r="B15" s="403" t="s">
        <v>494</v>
      </c>
      <c r="C15" s="403"/>
      <c r="D15" s="390"/>
      <c r="E15" s="390"/>
      <c r="F15" s="399"/>
      <c r="G15" s="399"/>
      <c r="H15" s="390"/>
      <c r="I15" s="399"/>
      <c r="J15" s="399"/>
      <c r="K15" s="399"/>
      <c r="L15" s="399"/>
    </row>
    <row r="16" spans="1:12">
      <c r="A16" s="390">
        <v>10</v>
      </c>
      <c r="B16" s="403" t="s">
        <v>495</v>
      </c>
      <c r="C16" s="403"/>
      <c r="D16" s="390"/>
      <c r="E16" s="390"/>
      <c r="F16" s="399"/>
      <c r="G16" s="399"/>
      <c r="H16" s="390"/>
      <c r="I16" s="399"/>
      <c r="J16" s="399"/>
      <c r="K16" s="399"/>
      <c r="L16" s="399"/>
    </row>
    <row r="17" spans="1:12">
      <c r="A17" s="390">
        <v>11</v>
      </c>
      <c r="B17" s="403" t="s">
        <v>496</v>
      </c>
      <c r="C17" s="403"/>
      <c r="D17" s="390"/>
      <c r="E17" s="390"/>
      <c r="F17" s="399"/>
      <c r="G17" s="399"/>
      <c r="H17" s="390"/>
      <c r="I17" s="399"/>
      <c r="J17" s="399"/>
      <c r="K17" s="399"/>
      <c r="L17" s="399"/>
    </row>
    <row r="18" spans="1:12">
      <c r="A18" s="390">
        <v>12</v>
      </c>
      <c r="B18" s="403" t="s">
        <v>497</v>
      </c>
      <c r="C18" s="403"/>
      <c r="D18" s="390"/>
      <c r="E18" s="390"/>
      <c r="F18" s="399"/>
      <c r="G18" s="399"/>
      <c r="H18" s="390"/>
      <c r="I18" s="399"/>
      <c r="J18" s="399"/>
      <c r="K18" s="399"/>
      <c r="L18" s="399"/>
    </row>
    <row r="19" spans="1:12">
      <c r="A19" s="390">
        <v>13</v>
      </c>
      <c r="B19" s="403" t="s">
        <v>498</v>
      </c>
      <c r="C19" s="403"/>
      <c r="D19" s="390"/>
      <c r="E19" s="390"/>
      <c r="F19" s="399"/>
      <c r="G19" s="399"/>
      <c r="H19" s="390"/>
      <c r="I19" s="399"/>
      <c r="J19" s="399"/>
      <c r="K19" s="399"/>
      <c r="L19" s="399"/>
    </row>
    <row r="20" spans="1:12">
      <c r="A20" s="390">
        <v>14</v>
      </c>
      <c r="B20" s="403" t="s">
        <v>499</v>
      </c>
      <c r="C20" s="403"/>
      <c r="D20" s="390"/>
      <c r="E20" s="390"/>
      <c r="F20" s="399"/>
      <c r="G20" s="399"/>
      <c r="H20" s="390"/>
      <c r="I20" s="399"/>
      <c r="J20" s="399"/>
      <c r="K20" s="399"/>
      <c r="L20" s="399"/>
    </row>
    <row r="21" spans="1:12">
      <c r="A21" s="390">
        <v>15</v>
      </c>
      <c r="B21" s="403" t="s">
        <v>500</v>
      </c>
      <c r="C21" s="403"/>
      <c r="D21" s="390"/>
      <c r="E21" s="390"/>
      <c r="F21" s="399"/>
      <c r="G21" s="399"/>
      <c r="H21" s="390"/>
      <c r="I21" s="399"/>
      <c r="J21" s="399"/>
      <c r="K21" s="399"/>
      <c r="L21" s="399"/>
    </row>
    <row r="22" spans="1:12">
      <c r="A22" s="390">
        <v>16</v>
      </c>
      <c r="B22" s="403" t="s">
        <v>501</v>
      </c>
      <c r="C22" s="403"/>
      <c r="D22" s="390"/>
      <c r="E22" s="390"/>
      <c r="F22" s="399"/>
      <c r="G22" s="399"/>
      <c r="H22" s="390"/>
      <c r="I22" s="399"/>
      <c r="J22" s="399"/>
      <c r="K22" s="399"/>
      <c r="L22" s="399"/>
    </row>
    <row r="23" spans="1:12">
      <c r="A23" s="390">
        <v>17</v>
      </c>
      <c r="B23" s="403" t="s">
        <v>502</v>
      </c>
      <c r="C23" s="403"/>
      <c r="D23" s="390"/>
      <c r="E23" s="390"/>
      <c r="F23" s="399"/>
      <c r="G23" s="399"/>
      <c r="H23" s="390"/>
      <c r="I23" s="399"/>
      <c r="J23" s="399"/>
      <c r="K23" s="399"/>
      <c r="L23" s="399"/>
    </row>
    <row r="24" spans="1:12">
      <c r="A24" s="390">
        <v>18</v>
      </c>
      <c r="B24" s="403" t="s">
        <v>503</v>
      </c>
      <c r="C24" s="403"/>
      <c r="D24" s="390"/>
      <c r="E24" s="390"/>
      <c r="F24" s="399"/>
      <c r="G24" s="399"/>
      <c r="H24" s="390"/>
      <c r="I24" s="399"/>
      <c r="J24" s="399"/>
      <c r="K24" s="399"/>
      <c r="L24" s="399"/>
    </row>
    <row r="25" spans="1:12">
      <c r="A25" s="390">
        <v>19</v>
      </c>
      <c r="B25" s="403" t="s">
        <v>504</v>
      </c>
      <c r="C25" s="403"/>
      <c r="D25" s="390"/>
      <c r="E25" s="390"/>
      <c r="F25" s="399"/>
      <c r="G25" s="399"/>
      <c r="H25" s="390"/>
      <c r="I25" s="399"/>
      <c r="J25" s="399"/>
      <c r="K25" s="399"/>
      <c r="L25" s="399"/>
    </row>
    <row r="26" spans="1:12">
      <c r="A26" s="390">
        <v>20</v>
      </c>
      <c r="B26" s="403" t="s">
        <v>505</v>
      </c>
      <c r="C26" s="403"/>
      <c r="D26" s="390"/>
      <c r="E26" s="390"/>
      <c r="F26" s="399"/>
      <c r="G26" s="399"/>
      <c r="H26" s="390"/>
      <c r="I26" s="399"/>
      <c r="J26" s="399"/>
      <c r="K26" s="399"/>
      <c r="L26" s="399"/>
    </row>
    <row r="27" spans="1:12">
      <c r="A27" s="390">
        <v>21</v>
      </c>
      <c r="B27" s="403" t="s">
        <v>506</v>
      </c>
      <c r="C27" s="403"/>
      <c r="D27" s="390"/>
      <c r="E27" s="390"/>
      <c r="F27" s="399"/>
      <c r="G27" s="399"/>
      <c r="H27" s="390"/>
      <c r="I27" s="399"/>
      <c r="J27" s="399"/>
      <c r="K27" s="399"/>
      <c r="L27" s="399"/>
    </row>
    <row r="28" spans="1:12">
      <c r="A28" s="390">
        <v>22</v>
      </c>
      <c r="B28" s="403" t="s">
        <v>507</v>
      </c>
      <c r="C28" s="403"/>
      <c r="D28" s="390"/>
      <c r="E28" s="390"/>
      <c r="F28" s="399"/>
      <c r="G28" s="399"/>
      <c r="H28" s="390"/>
      <c r="I28" s="399"/>
      <c r="J28" s="399"/>
      <c r="K28" s="399"/>
      <c r="L28" s="399"/>
    </row>
    <row r="29" spans="1:12">
      <c r="A29" s="390">
        <v>23</v>
      </c>
      <c r="B29" s="403" t="s">
        <v>508</v>
      </c>
      <c r="C29" s="403"/>
      <c r="D29" s="390"/>
      <c r="E29" s="390"/>
      <c r="F29" s="399"/>
      <c r="G29" s="399"/>
      <c r="H29" s="390"/>
      <c r="I29" s="399"/>
      <c r="J29" s="399"/>
      <c r="K29" s="399"/>
      <c r="L29" s="399"/>
    </row>
    <row r="30" spans="1:12">
      <c r="A30" s="390">
        <v>24</v>
      </c>
      <c r="B30" s="403" t="s">
        <v>509</v>
      </c>
      <c r="C30" s="403"/>
      <c r="D30" s="390"/>
      <c r="E30" s="390"/>
      <c r="F30" s="399"/>
      <c r="G30" s="399"/>
      <c r="H30" s="390"/>
      <c r="I30" s="399"/>
      <c r="J30" s="399"/>
      <c r="K30" s="399"/>
      <c r="L30" s="399"/>
    </row>
    <row r="31" spans="1:12">
      <c r="A31" s="390">
        <v>25</v>
      </c>
      <c r="B31" s="403" t="s">
        <v>510</v>
      </c>
      <c r="C31" s="403"/>
      <c r="D31" s="390"/>
      <c r="E31" s="390"/>
      <c r="F31" s="399"/>
      <c r="G31" s="399"/>
      <c r="H31" s="390"/>
      <c r="I31" s="399"/>
      <c r="J31" s="399"/>
      <c r="K31" s="399"/>
      <c r="L31" s="399"/>
    </row>
    <row r="32" spans="1:12">
      <c r="A32" s="390">
        <v>26</v>
      </c>
      <c r="B32" s="403" t="s">
        <v>566</v>
      </c>
      <c r="C32" s="403"/>
      <c r="D32" s="390"/>
      <c r="E32" s="390"/>
      <c r="F32" s="399"/>
      <c r="G32" s="399"/>
      <c r="H32" s="390"/>
      <c r="I32" s="399"/>
      <c r="J32" s="399"/>
      <c r="K32" s="399"/>
      <c r="L32" s="399"/>
    </row>
    <row r="33" spans="1:12">
      <c r="A33" s="390">
        <v>27</v>
      </c>
      <c r="B33" s="459" t="s">
        <v>66</v>
      </c>
      <c r="C33" s="459"/>
      <c r="D33" s="390"/>
      <c r="E33" s="390"/>
      <c r="F33" s="399"/>
      <c r="G33" s="399"/>
      <c r="H33" s="390"/>
      <c r="I33" s="399"/>
      <c r="J33" s="399"/>
      <c r="K33" s="399"/>
      <c r="L33" s="399"/>
    </row>
    <row r="35" spans="1:12">
      <c r="B35" s="458"/>
      <c r="C35" s="45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42" sqref="B42"/>
    </sheetView>
  </sheetViews>
  <sheetFormatPr defaultColWidth="8.88671875" defaultRowHeight="12"/>
  <cols>
    <col min="1" max="1" width="11.88671875" style="315" bestFit="1" customWidth="1"/>
    <col min="2" max="2" width="165.109375" style="315" customWidth="1"/>
    <col min="3" max="11" width="28.109375" style="315" customWidth="1"/>
    <col min="12" max="16384" width="8.88671875" style="315"/>
  </cols>
  <sheetData>
    <row r="1" spans="1:11" s="308" customFormat="1" ht="13.8">
      <c r="A1" s="307" t="s">
        <v>97</v>
      </c>
      <c r="B1" s="232" t="str">
        <f>Info!C2</f>
        <v>სს პეივ ბანკ ჯორჯია</v>
      </c>
      <c r="C1" s="400"/>
      <c r="D1" s="400"/>
      <c r="E1" s="400"/>
      <c r="F1" s="400"/>
      <c r="G1" s="400"/>
      <c r="H1" s="400"/>
      <c r="I1" s="400"/>
      <c r="J1" s="400"/>
      <c r="K1" s="400"/>
    </row>
    <row r="2" spans="1:11" s="308" customFormat="1">
      <c r="A2" s="307" t="s">
        <v>98</v>
      </c>
      <c r="B2" s="310">
        <f>'1. key ratios'!B2</f>
        <v>45747</v>
      </c>
      <c r="C2" s="400"/>
      <c r="D2" s="400"/>
      <c r="E2" s="400"/>
      <c r="F2" s="400"/>
      <c r="G2" s="400"/>
      <c r="H2" s="400"/>
      <c r="I2" s="400"/>
      <c r="J2" s="400"/>
      <c r="K2" s="400"/>
    </row>
    <row r="3" spans="1:11" s="308" customFormat="1">
      <c r="A3" s="309" t="s">
        <v>567</v>
      </c>
      <c r="B3" s="400"/>
      <c r="C3" s="400"/>
      <c r="D3" s="400"/>
      <c r="E3" s="400"/>
      <c r="F3" s="400"/>
      <c r="G3" s="400"/>
      <c r="H3" s="400"/>
      <c r="I3" s="400"/>
      <c r="J3" s="400"/>
      <c r="K3" s="400"/>
    </row>
    <row r="4" spans="1:11">
      <c r="A4" s="465"/>
      <c r="B4" s="465"/>
      <c r="C4" s="464" t="s">
        <v>471</v>
      </c>
      <c r="D4" s="464" t="s">
        <v>472</v>
      </c>
      <c r="E4" s="464" t="s">
        <v>473</v>
      </c>
      <c r="F4" s="464" t="s">
        <v>474</v>
      </c>
      <c r="G4" s="464" t="s">
        <v>475</v>
      </c>
      <c r="H4" s="464" t="s">
        <v>476</v>
      </c>
      <c r="I4" s="464" t="s">
        <v>477</v>
      </c>
      <c r="J4" s="464" t="s">
        <v>478</v>
      </c>
      <c r="K4" s="464" t="s">
        <v>479</v>
      </c>
    </row>
    <row r="5" spans="1:11" ht="122.4" customHeight="1">
      <c r="A5" s="838" t="s">
        <v>874</v>
      </c>
      <c r="B5" s="839"/>
      <c r="C5" s="463" t="s">
        <v>568</v>
      </c>
      <c r="D5" s="463" t="s">
        <v>561</v>
      </c>
      <c r="E5" s="463" t="s">
        <v>562</v>
      </c>
      <c r="F5" s="463" t="s">
        <v>873</v>
      </c>
      <c r="G5" s="463" t="s">
        <v>569</v>
      </c>
      <c r="H5" s="463" t="s">
        <v>570</v>
      </c>
      <c r="I5" s="463" t="s">
        <v>571</v>
      </c>
      <c r="J5" s="463" t="s">
        <v>572</v>
      </c>
      <c r="K5" s="463" t="s">
        <v>573</v>
      </c>
    </row>
    <row r="6" spans="1:11">
      <c r="A6" s="390">
        <v>1</v>
      </c>
      <c r="B6" s="390" t="s">
        <v>574</v>
      </c>
      <c r="C6" s="390"/>
      <c r="D6" s="390"/>
      <c r="E6" s="390"/>
      <c r="F6" s="390"/>
      <c r="G6" s="390"/>
      <c r="H6" s="390"/>
      <c r="I6" s="390"/>
      <c r="J6" s="390"/>
      <c r="K6" s="390"/>
    </row>
    <row r="7" spans="1:11">
      <c r="A7" s="390">
        <v>2</v>
      </c>
      <c r="B7" s="390" t="s">
        <v>575</v>
      </c>
      <c r="C7" s="390"/>
      <c r="D7" s="390"/>
      <c r="E7" s="390"/>
      <c r="F7" s="390"/>
      <c r="G7" s="390"/>
      <c r="H7" s="390"/>
      <c r="I7" s="390"/>
      <c r="J7" s="390"/>
      <c r="K7" s="390"/>
    </row>
    <row r="8" spans="1:11">
      <c r="A8" s="390">
        <v>3</v>
      </c>
      <c r="B8" s="390" t="s">
        <v>539</v>
      </c>
      <c r="C8" s="390"/>
      <c r="D8" s="390"/>
      <c r="E8" s="390"/>
      <c r="F8" s="390"/>
      <c r="G8" s="390"/>
      <c r="H8" s="390"/>
      <c r="I8" s="390"/>
      <c r="J8" s="390"/>
      <c r="K8" s="390"/>
    </row>
    <row r="9" spans="1:11">
      <c r="A9" s="390">
        <v>4</v>
      </c>
      <c r="B9" s="409" t="s">
        <v>872</v>
      </c>
      <c r="C9" s="462"/>
      <c r="D9" s="462"/>
      <c r="E9" s="462"/>
      <c r="F9" s="462"/>
      <c r="G9" s="462"/>
      <c r="H9" s="462"/>
      <c r="I9" s="462"/>
      <c r="J9" s="462"/>
      <c r="K9" s="462"/>
    </row>
    <row r="10" spans="1:11">
      <c r="A10" s="390">
        <v>5</v>
      </c>
      <c r="B10" s="409" t="s">
        <v>871</v>
      </c>
      <c r="C10" s="462"/>
      <c r="D10" s="462"/>
      <c r="E10" s="462"/>
      <c r="F10" s="462"/>
      <c r="G10" s="462"/>
      <c r="H10" s="462"/>
      <c r="I10" s="462"/>
      <c r="J10" s="462"/>
      <c r="K10" s="462"/>
    </row>
    <row r="11" spans="1:11">
      <c r="A11" s="390">
        <v>6</v>
      </c>
      <c r="B11" s="409" t="s">
        <v>870</v>
      </c>
      <c r="C11" s="462"/>
      <c r="D11" s="462"/>
      <c r="E11" s="462"/>
      <c r="F11" s="462"/>
      <c r="G11" s="462"/>
      <c r="H11" s="462"/>
      <c r="I11" s="462"/>
      <c r="J11" s="462"/>
      <c r="K11" s="462"/>
    </row>
    <row r="13" spans="1:11" ht="13.8">
      <c r="B13" s="461"/>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L24" sqref="L24"/>
    </sheetView>
  </sheetViews>
  <sheetFormatPr defaultColWidth="8.88671875" defaultRowHeight="14.4"/>
  <cols>
    <col min="1" max="1" width="10" style="466" bestFit="1" customWidth="1"/>
    <col min="2" max="2" width="71.88671875" style="466" customWidth="1"/>
    <col min="3" max="3" width="4.109375" style="466" customWidth="1"/>
    <col min="4" max="6" width="13.5546875" style="466" customWidth="1"/>
    <col min="7" max="7" width="14.5546875" style="466" customWidth="1"/>
    <col min="8" max="8" width="4.109375" style="466" customWidth="1"/>
    <col min="9" max="11" width="13.5546875" style="466" customWidth="1"/>
    <col min="12" max="12" width="14.5546875" style="466" customWidth="1"/>
    <col min="13" max="13" width="4.109375" style="466" customWidth="1"/>
    <col min="14" max="15" width="15.109375" style="466" bestFit="1" customWidth="1"/>
    <col min="16" max="16" width="20" style="466" bestFit="1" customWidth="1"/>
    <col min="17" max="17" width="37.6640625" style="466" bestFit="1" customWidth="1"/>
    <col min="18" max="18" width="18" style="466" bestFit="1" customWidth="1"/>
    <col min="19" max="19" width="48" style="466" bestFit="1" customWidth="1"/>
    <col min="20" max="20" width="45.88671875" style="466" bestFit="1" customWidth="1"/>
    <col min="21" max="21" width="48" style="466" bestFit="1" customWidth="1"/>
    <col min="22" max="22" width="44.33203125" style="466" bestFit="1" customWidth="1"/>
    <col min="23" max="16384" width="8.88671875" style="466"/>
  </cols>
  <sheetData>
    <row r="1" spans="1:22">
      <c r="A1" s="307" t="s">
        <v>97</v>
      </c>
      <c r="B1" s="232" t="str">
        <f>Info!C2</f>
        <v>სს პეივ ბანკ ჯორჯია</v>
      </c>
    </row>
    <row r="2" spans="1:22">
      <c r="A2" s="307" t="s">
        <v>98</v>
      </c>
      <c r="B2" s="310">
        <f>'1. key ratios'!B2</f>
        <v>45747</v>
      </c>
    </row>
    <row r="3" spans="1:22">
      <c r="A3" s="309" t="s">
        <v>657</v>
      </c>
      <c r="B3" s="400"/>
    </row>
    <row r="4" spans="1:22">
      <c r="A4" s="309"/>
      <c r="B4" s="400"/>
    </row>
    <row r="5" spans="1:22" ht="24" customHeight="1">
      <c r="A5" s="840" t="s">
        <v>684</v>
      </c>
      <c r="B5" s="840"/>
      <c r="C5" s="842" t="s">
        <v>876</v>
      </c>
      <c r="D5" s="842"/>
      <c r="E5" s="842"/>
      <c r="F5" s="842"/>
      <c r="G5" s="842"/>
      <c r="H5" s="842" t="s">
        <v>565</v>
      </c>
      <c r="I5" s="842"/>
      <c r="J5" s="842"/>
      <c r="K5" s="842"/>
      <c r="L5" s="842"/>
      <c r="M5" s="842" t="s">
        <v>875</v>
      </c>
      <c r="N5" s="842"/>
      <c r="O5" s="842"/>
      <c r="P5" s="842"/>
      <c r="Q5" s="842"/>
      <c r="R5" s="841" t="s">
        <v>683</v>
      </c>
      <c r="S5" s="841" t="s">
        <v>687</v>
      </c>
      <c r="T5" s="841" t="s">
        <v>686</v>
      </c>
      <c r="U5" s="841" t="s">
        <v>915</v>
      </c>
      <c r="V5" s="841" t="s">
        <v>916</v>
      </c>
    </row>
    <row r="6" spans="1:22" ht="72">
      <c r="A6" s="840"/>
      <c r="B6" s="840"/>
      <c r="C6" s="476"/>
      <c r="D6" s="398" t="s">
        <v>860</v>
      </c>
      <c r="E6" s="398" t="s">
        <v>859</v>
      </c>
      <c r="F6" s="398" t="s">
        <v>858</v>
      </c>
      <c r="G6" s="398" t="s">
        <v>857</v>
      </c>
      <c r="H6" s="476"/>
      <c r="I6" s="398" t="s">
        <v>860</v>
      </c>
      <c r="J6" s="398" t="s">
        <v>859</v>
      </c>
      <c r="K6" s="398" t="s">
        <v>858</v>
      </c>
      <c r="L6" s="398" t="s">
        <v>857</v>
      </c>
      <c r="M6" s="476"/>
      <c r="N6" s="398" t="s">
        <v>860</v>
      </c>
      <c r="O6" s="398" t="s">
        <v>859</v>
      </c>
      <c r="P6" s="398" t="s">
        <v>858</v>
      </c>
      <c r="Q6" s="398" t="s">
        <v>857</v>
      </c>
      <c r="R6" s="841"/>
      <c r="S6" s="841"/>
      <c r="T6" s="841"/>
      <c r="U6" s="841"/>
      <c r="V6" s="841"/>
    </row>
    <row r="7" spans="1:22">
      <c r="A7" s="470">
        <v>1</v>
      </c>
      <c r="B7" s="475" t="s">
        <v>658</v>
      </c>
      <c r="C7" s="462"/>
      <c r="D7" s="462"/>
      <c r="E7" s="462"/>
      <c r="F7" s="462"/>
      <c r="G7" s="462"/>
      <c r="H7" s="462"/>
      <c r="I7" s="462"/>
      <c r="J7" s="462"/>
      <c r="K7" s="462"/>
      <c r="L7" s="462"/>
      <c r="M7" s="462"/>
      <c r="N7" s="462"/>
      <c r="O7" s="462"/>
      <c r="P7" s="462"/>
      <c r="Q7" s="462"/>
      <c r="R7" s="462"/>
      <c r="S7" s="462"/>
      <c r="T7" s="462"/>
      <c r="U7" s="462"/>
      <c r="V7" s="462"/>
    </row>
    <row r="8" spans="1:22">
      <c r="A8" s="470">
        <v>2</v>
      </c>
      <c r="B8" s="474" t="s">
        <v>659</v>
      </c>
      <c r="C8" s="462"/>
      <c r="D8" s="462"/>
      <c r="E8" s="462"/>
      <c r="F8" s="462"/>
      <c r="G8" s="462"/>
      <c r="H8" s="462"/>
      <c r="I8" s="462"/>
      <c r="J8" s="462"/>
      <c r="K8" s="462"/>
      <c r="L8" s="462"/>
      <c r="M8" s="462"/>
      <c r="N8" s="462"/>
      <c r="O8" s="462"/>
      <c r="P8" s="462"/>
      <c r="Q8" s="462"/>
      <c r="R8" s="462"/>
      <c r="S8" s="462"/>
      <c r="T8" s="462"/>
      <c r="U8" s="462"/>
      <c r="V8" s="462"/>
    </row>
    <row r="9" spans="1:22">
      <c r="A9" s="470">
        <v>3</v>
      </c>
      <c r="B9" s="474" t="s">
        <v>660</v>
      </c>
      <c r="C9" s="462"/>
      <c r="D9" s="462"/>
      <c r="E9" s="462"/>
      <c r="F9" s="462"/>
      <c r="G9" s="462"/>
      <c r="H9" s="462"/>
      <c r="I9" s="462"/>
      <c r="J9" s="462"/>
      <c r="K9" s="462"/>
      <c r="L9" s="462"/>
      <c r="M9" s="462"/>
      <c r="N9" s="462"/>
      <c r="O9" s="462"/>
      <c r="P9" s="462"/>
      <c r="Q9" s="462"/>
      <c r="R9" s="462"/>
      <c r="S9" s="462"/>
      <c r="T9" s="462"/>
      <c r="U9" s="462"/>
      <c r="V9" s="462"/>
    </row>
    <row r="10" spans="1:22">
      <c r="A10" s="470">
        <v>4</v>
      </c>
      <c r="B10" s="474" t="s">
        <v>661</v>
      </c>
      <c r="C10" s="462"/>
      <c r="D10" s="462"/>
      <c r="E10" s="462"/>
      <c r="F10" s="462"/>
      <c r="G10" s="462"/>
      <c r="H10" s="462"/>
      <c r="I10" s="462"/>
      <c r="J10" s="462"/>
      <c r="K10" s="462"/>
      <c r="L10" s="462"/>
      <c r="M10" s="462"/>
      <c r="N10" s="462"/>
      <c r="O10" s="462"/>
      <c r="P10" s="462"/>
      <c r="Q10" s="462"/>
      <c r="R10" s="462"/>
      <c r="S10" s="462"/>
      <c r="T10" s="462"/>
      <c r="U10" s="462"/>
      <c r="V10" s="462"/>
    </row>
    <row r="11" spans="1:22">
      <c r="A11" s="470">
        <v>5</v>
      </c>
      <c r="B11" s="474" t="s">
        <v>662</v>
      </c>
      <c r="C11" s="462"/>
      <c r="D11" s="462"/>
      <c r="E11" s="462"/>
      <c r="F11" s="462"/>
      <c r="G11" s="462"/>
      <c r="H11" s="462"/>
      <c r="I11" s="462"/>
      <c r="J11" s="462"/>
      <c r="K11" s="462"/>
      <c r="L11" s="462"/>
      <c r="M11" s="462"/>
      <c r="N11" s="462"/>
      <c r="O11" s="462"/>
      <c r="P11" s="462"/>
      <c r="Q11" s="462"/>
      <c r="R11" s="462"/>
      <c r="S11" s="462"/>
      <c r="T11" s="462"/>
      <c r="U11" s="462"/>
      <c r="V11" s="462"/>
    </row>
    <row r="12" spans="1:22">
      <c r="A12" s="470">
        <v>6</v>
      </c>
      <c r="B12" s="474" t="s">
        <v>663</v>
      </c>
      <c r="C12" s="462"/>
      <c r="D12" s="462"/>
      <c r="E12" s="462"/>
      <c r="F12" s="462"/>
      <c r="G12" s="462"/>
      <c r="H12" s="462"/>
      <c r="I12" s="462"/>
      <c r="J12" s="462"/>
      <c r="K12" s="462"/>
      <c r="L12" s="462"/>
      <c r="M12" s="462"/>
      <c r="N12" s="462"/>
      <c r="O12" s="462"/>
      <c r="P12" s="462"/>
      <c r="Q12" s="462"/>
      <c r="R12" s="462"/>
      <c r="S12" s="462"/>
      <c r="T12" s="462"/>
      <c r="U12" s="462"/>
      <c r="V12" s="462"/>
    </row>
    <row r="13" spans="1:22">
      <c r="A13" s="470">
        <v>7</v>
      </c>
      <c r="B13" s="474" t="s">
        <v>664</v>
      </c>
      <c r="C13" s="462"/>
      <c r="D13" s="462"/>
      <c r="E13" s="462"/>
      <c r="F13" s="462"/>
      <c r="G13" s="462"/>
      <c r="H13" s="462"/>
      <c r="I13" s="462"/>
      <c r="J13" s="462"/>
      <c r="K13" s="462"/>
      <c r="L13" s="462"/>
      <c r="M13" s="462"/>
      <c r="N13" s="462"/>
      <c r="O13" s="462"/>
      <c r="P13" s="462"/>
      <c r="Q13" s="462"/>
      <c r="R13" s="462"/>
      <c r="S13" s="462"/>
      <c r="T13" s="462"/>
      <c r="U13" s="462"/>
      <c r="V13" s="462"/>
    </row>
    <row r="14" spans="1:22">
      <c r="A14" s="468">
        <v>7.1</v>
      </c>
      <c r="B14" s="467" t="s">
        <v>665</v>
      </c>
      <c r="C14" s="462"/>
      <c r="D14" s="462"/>
      <c r="E14" s="462"/>
      <c r="F14" s="462"/>
      <c r="G14" s="462"/>
      <c r="H14" s="462"/>
      <c r="I14" s="462"/>
      <c r="J14" s="462"/>
      <c r="K14" s="462"/>
      <c r="L14" s="462"/>
      <c r="M14" s="462"/>
      <c r="N14" s="462"/>
      <c r="O14" s="462"/>
      <c r="P14" s="462"/>
      <c r="Q14" s="462"/>
      <c r="R14" s="462"/>
      <c r="S14" s="462"/>
      <c r="T14" s="462"/>
      <c r="U14" s="462"/>
      <c r="V14" s="462"/>
    </row>
    <row r="15" spans="1:22" ht="24">
      <c r="A15" s="468">
        <v>7.2</v>
      </c>
      <c r="B15" s="467" t="s">
        <v>666</v>
      </c>
      <c r="C15" s="462"/>
      <c r="D15" s="462"/>
      <c r="E15" s="462"/>
      <c r="F15" s="462"/>
      <c r="G15" s="462"/>
      <c r="H15" s="462"/>
      <c r="I15" s="462"/>
      <c r="J15" s="462"/>
      <c r="K15" s="462"/>
      <c r="L15" s="462"/>
      <c r="M15" s="462"/>
      <c r="N15" s="462"/>
      <c r="O15" s="462"/>
      <c r="P15" s="462"/>
      <c r="Q15" s="462"/>
      <c r="R15" s="462"/>
      <c r="S15" s="462"/>
      <c r="T15" s="462"/>
      <c r="U15" s="462"/>
      <c r="V15" s="462"/>
    </row>
    <row r="16" spans="1:22">
      <c r="A16" s="468">
        <v>7.3</v>
      </c>
      <c r="B16" s="467" t="s">
        <v>667</v>
      </c>
      <c r="C16" s="462"/>
      <c r="D16" s="462"/>
      <c r="E16" s="462"/>
      <c r="F16" s="462"/>
      <c r="G16" s="462"/>
      <c r="H16" s="462"/>
      <c r="I16" s="462"/>
      <c r="J16" s="462"/>
      <c r="K16" s="462"/>
      <c r="L16" s="462"/>
      <c r="M16" s="462"/>
      <c r="N16" s="462"/>
      <c r="O16" s="462"/>
      <c r="P16" s="462"/>
      <c r="Q16" s="462"/>
      <c r="R16" s="462"/>
      <c r="S16" s="462"/>
      <c r="T16" s="462"/>
      <c r="U16" s="462"/>
      <c r="V16" s="462"/>
    </row>
    <row r="17" spans="1:22">
      <c r="A17" s="470">
        <v>8</v>
      </c>
      <c r="B17" s="474" t="s">
        <v>668</v>
      </c>
      <c r="C17" s="462"/>
      <c r="D17" s="462"/>
      <c r="E17" s="462"/>
      <c r="F17" s="462"/>
      <c r="G17" s="462"/>
      <c r="H17" s="462"/>
      <c r="I17" s="462"/>
      <c r="J17" s="462"/>
      <c r="K17" s="462"/>
      <c r="L17" s="462"/>
      <c r="M17" s="462"/>
      <c r="N17" s="462"/>
      <c r="O17" s="462"/>
      <c r="P17" s="462"/>
      <c r="Q17" s="462"/>
      <c r="R17" s="462"/>
      <c r="S17" s="462"/>
      <c r="T17" s="462"/>
      <c r="U17" s="462"/>
      <c r="V17" s="462"/>
    </row>
    <row r="18" spans="1:22">
      <c r="A18" s="473">
        <v>9</v>
      </c>
      <c r="B18" s="472" t="s">
        <v>669</v>
      </c>
      <c r="C18" s="471"/>
      <c r="D18" s="471"/>
      <c r="E18" s="471"/>
      <c r="F18" s="471"/>
      <c r="G18" s="471"/>
      <c r="H18" s="471"/>
      <c r="I18" s="471"/>
      <c r="J18" s="471"/>
      <c r="K18" s="471"/>
      <c r="L18" s="471"/>
      <c r="M18" s="471"/>
      <c r="N18" s="471"/>
      <c r="O18" s="471"/>
      <c r="P18" s="471"/>
      <c r="Q18" s="471"/>
      <c r="R18" s="471"/>
      <c r="S18" s="471"/>
      <c r="T18" s="471"/>
      <c r="U18" s="471"/>
      <c r="V18" s="471"/>
    </row>
    <row r="19" spans="1:22">
      <c r="A19" s="470">
        <v>10</v>
      </c>
      <c r="B19" s="469" t="s">
        <v>685</v>
      </c>
      <c r="C19" s="462"/>
      <c r="D19" s="462"/>
      <c r="E19" s="462"/>
      <c r="F19" s="462"/>
      <c r="G19" s="462"/>
      <c r="H19" s="462"/>
      <c r="I19" s="462"/>
      <c r="J19" s="462"/>
      <c r="K19" s="462"/>
      <c r="L19" s="462"/>
      <c r="M19" s="462"/>
      <c r="N19" s="462"/>
      <c r="O19" s="462"/>
      <c r="P19" s="462"/>
      <c r="Q19" s="462"/>
      <c r="R19" s="462"/>
      <c r="S19" s="462"/>
      <c r="T19" s="462"/>
      <c r="U19" s="462"/>
      <c r="V19" s="462"/>
    </row>
    <row r="20" spans="1:22" ht="24">
      <c r="A20" s="468">
        <v>10.1</v>
      </c>
      <c r="B20" s="467" t="s">
        <v>688</v>
      </c>
      <c r="C20" s="462"/>
      <c r="D20" s="462"/>
      <c r="E20" s="462"/>
      <c r="F20" s="462"/>
      <c r="G20" s="462"/>
      <c r="H20" s="462"/>
      <c r="I20" s="462"/>
      <c r="J20" s="462"/>
      <c r="K20" s="462"/>
      <c r="L20" s="462"/>
      <c r="M20" s="462"/>
      <c r="N20" s="462"/>
      <c r="O20" s="462"/>
      <c r="P20" s="462"/>
      <c r="Q20" s="462"/>
      <c r="R20" s="462"/>
      <c r="S20" s="462"/>
      <c r="T20" s="462"/>
      <c r="U20" s="462"/>
      <c r="V20" s="46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1" zoomScale="110" zoomScaleNormal="110" workbookViewId="0">
      <selection activeCell="B12" sqref="B12:C12"/>
    </sheetView>
  </sheetViews>
  <sheetFormatPr defaultColWidth="43.44140625" defaultRowHeight="12"/>
  <cols>
    <col min="1" max="1" width="8" style="121" customWidth="1"/>
    <col min="2" max="2" width="66.109375" style="122" customWidth="1"/>
    <col min="3" max="3" width="131.44140625" style="123" customWidth="1"/>
    <col min="4" max="5" width="10.109375" style="114" customWidth="1"/>
    <col min="6" max="6" width="67.6640625" style="114" customWidth="1"/>
    <col min="7" max="16384" width="43.44140625" style="114"/>
  </cols>
  <sheetData>
    <row r="1" spans="1:3" ht="13.2" thickTop="1" thickBot="1">
      <c r="A1" s="843" t="s">
        <v>176</v>
      </c>
      <c r="B1" s="844"/>
      <c r="C1" s="845"/>
    </row>
    <row r="2" spans="1:3" ht="26.25" customHeight="1">
      <c r="A2" s="316"/>
      <c r="B2" s="846" t="s">
        <v>177</v>
      </c>
      <c r="C2" s="846"/>
    </row>
    <row r="3" spans="1:3" s="119" customFormat="1" ht="11.25" customHeight="1">
      <c r="A3" s="118"/>
      <c r="B3" s="846" t="s">
        <v>251</v>
      </c>
      <c r="C3" s="846"/>
    </row>
    <row r="4" spans="1:3" ht="12" customHeight="1" thickBot="1">
      <c r="A4" s="847" t="s">
        <v>255</v>
      </c>
      <c r="B4" s="848"/>
      <c r="C4" s="849"/>
    </row>
    <row r="5" spans="1:3" ht="12.6" thickTop="1">
      <c r="A5" s="115"/>
      <c r="B5" s="850" t="s">
        <v>178</v>
      </c>
      <c r="C5" s="851"/>
    </row>
    <row r="6" spans="1:3">
      <c r="A6" s="316"/>
      <c r="B6" s="852" t="s">
        <v>252</v>
      </c>
      <c r="C6" s="853"/>
    </row>
    <row r="7" spans="1:3">
      <c r="A7" s="316"/>
      <c r="B7" s="852" t="s">
        <v>179</v>
      </c>
      <c r="C7" s="853"/>
    </row>
    <row r="8" spans="1:3">
      <c r="A8" s="316"/>
      <c r="B8" s="852" t="s">
        <v>253</v>
      </c>
      <c r="C8" s="853"/>
    </row>
    <row r="9" spans="1:3">
      <c r="A9" s="316"/>
      <c r="B9" s="858" t="s">
        <v>254</v>
      </c>
      <c r="C9" s="859"/>
    </row>
    <row r="10" spans="1:3">
      <c r="A10" s="316"/>
      <c r="B10" s="856" t="s">
        <v>180</v>
      </c>
      <c r="C10" s="857" t="s">
        <v>180</v>
      </c>
    </row>
    <row r="11" spans="1:3">
      <c r="A11" s="316"/>
      <c r="B11" s="856" t="s">
        <v>181</v>
      </c>
      <c r="C11" s="857" t="s">
        <v>181</v>
      </c>
    </row>
    <row r="12" spans="1:3">
      <c r="A12" s="316"/>
      <c r="B12" s="856" t="s">
        <v>182</v>
      </c>
      <c r="C12" s="857" t="s">
        <v>182</v>
      </c>
    </row>
    <row r="13" spans="1:3">
      <c r="A13" s="316"/>
      <c r="B13" s="856" t="s">
        <v>183</v>
      </c>
      <c r="C13" s="857" t="s">
        <v>183</v>
      </c>
    </row>
    <row r="14" spans="1:3">
      <c r="A14" s="316"/>
      <c r="B14" s="856" t="s">
        <v>184</v>
      </c>
      <c r="C14" s="857" t="s">
        <v>184</v>
      </c>
    </row>
    <row r="15" spans="1:3" ht="21.75" customHeight="1">
      <c r="A15" s="316"/>
      <c r="B15" s="856" t="s">
        <v>185</v>
      </c>
      <c r="C15" s="857" t="s">
        <v>185</v>
      </c>
    </row>
    <row r="16" spans="1:3">
      <c r="A16" s="316"/>
      <c r="B16" s="856" t="s">
        <v>186</v>
      </c>
      <c r="C16" s="857" t="s">
        <v>187</v>
      </c>
    </row>
    <row r="17" spans="1:6">
      <c r="A17" s="316"/>
      <c r="B17" s="856" t="s">
        <v>188</v>
      </c>
      <c r="C17" s="857" t="s">
        <v>189</v>
      </c>
    </row>
    <row r="18" spans="1:6">
      <c r="A18" s="316"/>
      <c r="B18" s="856" t="s">
        <v>190</v>
      </c>
      <c r="C18" s="857" t="s">
        <v>191</v>
      </c>
    </row>
    <row r="19" spans="1:6">
      <c r="A19" s="557"/>
      <c r="B19" s="854" t="s">
        <v>192</v>
      </c>
      <c r="C19" s="855" t="s">
        <v>192</v>
      </c>
    </row>
    <row r="20" spans="1:6">
      <c r="A20" s="557"/>
      <c r="B20" s="854" t="s">
        <v>918</v>
      </c>
      <c r="C20" s="855" t="s">
        <v>193</v>
      </c>
    </row>
    <row r="21" spans="1:6">
      <c r="A21" s="316"/>
      <c r="B21" s="854" t="s">
        <v>961</v>
      </c>
      <c r="C21" s="855" t="s">
        <v>194</v>
      </c>
    </row>
    <row r="22" spans="1:6" ht="23.25" customHeight="1">
      <c r="A22" s="316"/>
      <c r="B22" s="856" t="s">
        <v>195</v>
      </c>
      <c r="C22" s="857" t="s">
        <v>196</v>
      </c>
      <c r="F22" s="521"/>
    </row>
    <row r="23" spans="1:6">
      <c r="A23" s="316"/>
      <c r="B23" s="856" t="s">
        <v>197</v>
      </c>
      <c r="C23" s="857" t="s">
        <v>197</v>
      </c>
    </row>
    <row r="24" spans="1:6">
      <c r="A24" s="316"/>
      <c r="B24" s="856" t="s">
        <v>198</v>
      </c>
      <c r="C24" s="857" t="s">
        <v>199</v>
      </c>
    </row>
    <row r="25" spans="1:6" ht="12.6" thickBot="1">
      <c r="A25" s="116"/>
      <c r="B25" s="865" t="s">
        <v>200</v>
      </c>
      <c r="C25" s="866"/>
    </row>
    <row r="26" spans="1:6" ht="13.2" thickTop="1" thickBot="1">
      <c r="A26" s="847" t="s">
        <v>812</v>
      </c>
      <c r="B26" s="848"/>
      <c r="C26" s="849"/>
    </row>
    <row r="27" spans="1:6" ht="13.2" thickTop="1" thickBot="1">
      <c r="A27" s="117"/>
      <c r="B27" s="867" t="s">
        <v>813</v>
      </c>
      <c r="C27" s="868"/>
    </row>
    <row r="28" spans="1:6" ht="13.2" thickTop="1" thickBot="1">
      <c r="A28" s="847" t="s">
        <v>256</v>
      </c>
      <c r="B28" s="848"/>
      <c r="C28" s="849"/>
    </row>
    <row r="29" spans="1:6" ht="12.6" thickTop="1">
      <c r="A29" s="115"/>
      <c r="B29" s="869" t="s">
        <v>816</v>
      </c>
      <c r="C29" s="870" t="s">
        <v>201</v>
      </c>
    </row>
    <row r="30" spans="1:6">
      <c r="A30" s="316"/>
      <c r="B30" s="860" t="s">
        <v>205</v>
      </c>
      <c r="C30" s="861" t="s">
        <v>202</v>
      </c>
    </row>
    <row r="31" spans="1:6">
      <c r="A31" s="316"/>
      <c r="B31" s="860" t="s">
        <v>814</v>
      </c>
      <c r="C31" s="861" t="s">
        <v>203</v>
      </c>
    </row>
    <row r="32" spans="1:6">
      <c r="A32" s="316"/>
      <c r="B32" s="860" t="s">
        <v>815</v>
      </c>
      <c r="C32" s="861" t="s">
        <v>204</v>
      </c>
    </row>
    <row r="33" spans="1:3">
      <c r="A33" s="316"/>
      <c r="B33" s="860" t="s">
        <v>208</v>
      </c>
      <c r="C33" s="861" t="s">
        <v>209</v>
      </c>
    </row>
    <row r="34" spans="1:3">
      <c r="A34" s="316"/>
      <c r="B34" s="860" t="s">
        <v>817</v>
      </c>
      <c r="C34" s="861" t="s">
        <v>206</v>
      </c>
    </row>
    <row r="35" spans="1:3">
      <c r="A35" s="316"/>
      <c r="B35" s="860" t="s">
        <v>818</v>
      </c>
      <c r="C35" s="861" t="s">
        <v>207</v>
      </c>
    </row>
    <row r="36" spans="1:3">
      <c r="A36" s="316"/>
      <c r="B36" s="862" t="s">
        <v>819</v>
      </c>
      <c r="C36" s="863"/>
    </row>
    <row r="37" spans="1:3" ht="24.75" customHeight="1">
      <c r="A37" s="316"/>
      <c r="B37" s="860" t="s">
        <v>820</v>
      </c>
      <c r="C37" s="861" t="s">
        <v>210</v>
      </c>
    </row>
    <row r="38" spans="1:3" ht="23.25" customHeight="1">
      <c r="A38" s="316"/>
      <c r="B38" s="860" t="s">
        <v>821</v>
      </c>
      <c r="C38" s="861" t="s">
        <v>211</v>
      </c>
    </row>
    <row r="39" spans="1:3" ht="23.25" customHeight="1">
      <c r="A39" s="365"/>
      <c r="B39" s="862" t="s">
        <v>822</v>
      </c>
      <c r="C39" s="864"/>
    </row>
    <row r="40" spans="1:3" ht="12" customHeight="1">
      <c r="A40" s="316"/>
      <c r="B40" s="860" t="s">
        <v>823</v>
      </c>
      <c r="C40" s="861"/>
    </row>
    <row r="41" spans="1:3" ht="12.6" thickBot="1">
      <c r="A41" s="847" t="s">
        <v>257</v>
      </c>
      <c r="B41" s="848"/>
      <c r="C41" s="849"/>
    </row>
    <row r="42" spans="1:3" ht="12.6" thickTop="1">
      <c r="A42" s="115"/>
      <c r="B42" s="850" t="s">
        <v>287</v>
      </c>
      <c r="C42" s="851" t="s">
        <v>212</v>
      </c>
    </row>
    <row r="43" spans="1:3">
      <c r="A43" s="316"/>
      <c r="B43" s="852" t="s">
        <v>286</v>
      </c>
      <c r="C43" s="853"/>
    </row>
    <row r="44" spans="1:3" ht="23.25" customHeight="1" thickBot="1">
      <c r="A44" s="116"/>
      <c r="B44" s="871" t="s">
        <v>213</v>
      </c>
      <c r="C44" s="872" t="s">
        <v>214</v>
      </c>
    </row>
    <row r="45" spans="1:3" ht="11.25" customHeight="1" thickTop="1" thickBot="1">
      <c r="A45" s="847" t="s">
        <v>258</v>
      </c>
      <c r="B45" s="848"/>
      <c r="C45" s="849"/>
    </row>
    <row r="46" spans="1:3" ht="26.25" customHeight="1" thickTop="1">
      <c r="A46" s="316"/>
      <c r="B46" s="852" t="s">
        <v>259</v>
      </c>
      <c r="C46" s="853"/>
    </row>
    <row r="47" spans="1:3" ht="12.6" thickBot="1">
      <c r="A47" s="847" t="s">
        <v>260</v>
      </c>
      <c r="B47" s="848"/>
      <c r="C47" s="849"/>
    </row>
    <row r="48" spans="1:3" ht="12.6" thickTop="1">
      <c r="A48" s="115"/>
      <c r="B48" s="850" t="s">
        <v>215</v>
      </c>
      <c r="C48" s="851" t="s">
        <v>215</v>
      </c>
    </row>
    <row r="49" spans="1:3" ht="11.25" customHeight="1">
      <c r="A49" s="316"/>
      <c r="B49" s="852" t="s">
        <v>216</v>
      </c>
      <c r="C49" s="853" t="s">
        <v>216</v>
      </c>
    </row>
    <row r="50" spans="1:3">
      <c r="A50" s="316"/>
      <c r="B50" s="852" t="s">
        <v>217</v>
      </c>
      <c r="C50" s="853" t="s">
        <v>217</v>
      </c>
    </row>
    <row r="51" spans="1:3" ht="11.25" customHeight="1">
      <c r="A51" s="316"/>
      <c r="B51" s="852" t="s">
        <v>825</v>
      </c>
      <c r="C51" s="853" t="s">
        <v>218</v>
      </c>
    </row>
    <row r="52" spans="1:3" ht="33.6" customHeight="1">
      <c r="A52" s="316"/>
      <c r="B52" s="852" t="s">
        <v>219</v>
      </c>
      <c r="C52" s="853" t="s">
        <v>219</v>
      </c>
    </row>
    <row r="53" spans="1:3" ht="11.25" customHeight="1">
      <c r="A53" s="316"/>
      <c r="B53" s="852" t="s">
        <v>307</v>
      </c>
      <c r="C53" s="853" t="s">
        <v>220</v>
      </c>
    </row>
    <row r="54" spans="1:3" ht="11.25" customHeight="1" thickBot="1">
      <c r="A54" s="847" t="s">
        <v>261</v>
      </c>
      <c r="B54" s="848"/>
      <c r="C54" s="849"/>
    </row>
    <row r="55" spans="1:3" ht="12.6" thickTop="1">
      <c r="A55" s="115"/>
      <c r="B55" s="850" t="s">
        <v>215</v>
      </c>
      <c r="C55" s="851" t="s">
        <v>215</v>
      </c>
    </row>
    <row r="56" spans="1:3">
      <c r="A56" s="316"/>
      <c r="B56" s="852" t="s">
        <v>221</v>
      </c>
      <c r="C56" s="853" t="s">
        <v>221</v>
      </c>
    </row>
    <row r="57" spans="1:3">
      <c r="A57" s="316"/>
      <c r="B57" s="852" t="s">
        <v>264</v>
      </c>
      <c r="C57" s="853" t="s">
        <v>222</v>
      </c>
    </row>
    <row r="58" spans="1:3">
      <c r="A58" s="316"/>
      <c r="B58" s="852" t="s">
        <v>223</v>
      </c>
      <c r="C58" s="853" t="s">
        <v>223</v>
      </c>
    </row>
    <row r="59" spans="1:3">
      <c r="A59" s="316"/>
      <c r="B59" s="852" t="s">
        <v>224</v>
      </c>
      <c r="C59" s="853" t="s">
        <v>224</v>
      </c>
    </row>
    <row r="60" spans="1:3">
      <c r="A60" s="316"/>
      <c r="B60" s="852" t="s">
        <v>225</v>
      </c>
      <c r="C60" s="853" t="s">
        <v>225</v>
      </c>
    </row>
    <row r="61" spans="1:3">
      <c r="A61" s="316"/>
      <c r="B61" s="852" t="s">
        <v>265</v>
      </c>
      <c r="C61" s="853" t="s">
        <v>226</v>
      </c>
    </row>
    <row r="62" spans="1:3" ht="12" customHeight="1">
      <c r="A62" s="316"/>
      <c r="B62" s="877" t="s">
        <v>998</v>
      </c>
      <c r="C62" s="878" t="s">
        <v>227</v>
      </c>
    </row>
    <row r="63" spans="1:3" ht="22.5" customHeight="1" thickBot="1">
      <c r="A63" s="116"/>
      <c r="B63" s="871" t="s">
        <v>228</v>
      </c>
      <c r="C63" s="872" t="s">
        <v>228</v>
      </c>
    </row>
    <row r="64" spans="1:3" ht="11.25" customHeight="1" thickTop="1">
      <c r="A64" s="879" t="s">
        <v>262</v>
      </c>
      <c r="B64" s="880"/>
      <c r="C64" s="881"/>
    </row>
    <row r="65" spans="1:3" ht="12.6" thickBot="1">
      <c r="A65" s="116"/>
      <c r="B65" s="871" t="s">
        <v>229</v>
      </c>
      <c r="C65" s="872" t="s">
        <v>229</v>
      </c>
    </row>
    <row r="66" spans="1:3" ht="11.25" customHeight="1" thickTop="1">
      <c r="A66" s="879" t="s">
        <v>951</v>
      </c>
      <c r="B66" s="880"/>
      <c r="C66" s="881"/>
    </row>
    <row r="67" spans="1:3" ht="12.6" thickBot="1">
      <c r="A67" s="116"/>
      <c r="B67" s="871" t="s">
        <v>950</v>
      </c>
      <c r="C67" s="872"/>
    </row>
    <row r="68" spans="1:3" ht="11.25" customHeight="1" thickTop="1" thickBot="1">
      <c r="A68" s="847" t="s">
        <v>263</v>
      </c>
      <c r="B68" s="848"/>
      <c r="C68" s="849"/>
    </row>
    <row r="69" spans="1:3" ht="12.6" thickTop="1">
      <c r="A69" s="115"/>
      <c r="B69" s="850" t="s">
        <v>230</v>
      </c>
      <c r="C69" s="851" t="s">
        <v>230</v>
      </c>
    </row>
    <row r="70" spans="1:3">
      <c r="A70" s="316"/>
      <c r="B70" s="852" t="s">
        <v>827</v>
      </c>
      <c r="C70" s="853" t="s">
        <v>231</v>
      </c>
    </row>
    <row r="71" spans="1:3">
      <c r="A71" s="316"/>
      <c r="B71" s="852" t="s">
        <v>232</v>
      </c>
      <c r="C71" s="853" t="s">
        <v>232</v>
      </c>
    </row>
    <row r="72" spans="1:3" ht="55.05" customHeight="1">
      <c r="A72" s="316"/>
      <c r="B72" s="873" t="s">
        <v>962</v>
      </c>
      <c r="C72" s="874" t="s">
        <v>233</v>
      </c>
    </row>
    <row r="73" spans="1:3" ht="33.75" customHeight="1">
      <c r="A73" s="316"/>
      <c r="B73" s="875" t="s">
        <v>266</v>
      </c>
      <c r="C73" s="876" t="s">
        <v>234</v>
      </c>
    </row>
    <row r="74" spans="1:3" ht="15.75" customHeight="1">
      <c r="A74" s="316"/>
      <c r="B74" s="875" t="s">
        <v>828</v>
      </c>
      <c r="C74" s="876" t="s">
        <v>235</v>
      </c>
    </row>
    <row r="75" spans="1:3">
      <c r="A75" s="316"/>
      <c r="B75" s="852" t="s">
        <v>236</v>
      </c>
      <c r="C75" s="853" t="s">
        <v>236</v>
      </c>
    </row>
    <row r="76" spans="1:3" ht="12.6" thickBot="1">
      <c r="A76" s="116"/>
      <c r="B76" s="871" t="s">
        <v>237</v>
      </c>
      <c r="C76" s="872" t="s">
        <v>237</v>
      </c>
    </row>
    <row r="77" spans="1:3" ht="12.6" thickTop="1">
      <c r="A77" s="879" t="s">
        <v>290</v>
      </c>
      <c r="B77" s="880"/>
      <c r="C77" s="881"/>
    </row>
    <row r="78" spans="1:3">
      <c r="A78" s="316"/>
      <c r="B78" s="852" t="s">
        <v>229</v>
      </c>
      <c r="C78" s="853"/>
    </row>
    <row r="79" spans="1:3">
      <c r="A79" s="316"/>
      <c r="B79" s="852" t="s">
        <v>288</v>
      </c>
      <c r="C79" s="853"/>
    </row>
    <row r="80" spans="1:3">
      <c r="A80" s="316"/>
      <c r="B80" s="852" t="s">
        <v>289</v>
      </c>
      <c r="C80" s="853"/>
    </row>
    <row r="81" spans="1:3">
      <c r="A81" s="879" t="s">
        <v>291</v>
      </c>
      <c r="B81" s="880"/>
      <c r="C81" s="881"/>
    </row>
    <row r="82" spans="1:3">
      <c r="A82" s="316"/>
      <c r="B82" s="852" t="s">
        <v>229</v>
      </c>
      <c r="C82" s="853"/>
    </row>
    <row r="83" spans="1:3">
      <c r="A83" s="316"/>
      <c r="B83" s="852" t="s">
        <v>292</v>
      </c>
      <c r="C83" s="853"/>
    </row>
    <row r="84" spans="1:3" ht="79.5" customHeight="1">
      <c r="A84" s="316"/>
      <c r="B84" s="852" t="s">
        <v>306</v>
      </c>
      <c r="C84" s="853"/>
    </row>
    <row r="85" spans="1:3" ht="53.25" customHeight="1">
      <c r="A85" s="316"/>
      <c r="B85" s="852" t="s">
        <v>305</v>
      </c>
      <c r="C85" s="853"/>
    </row>
    <row r="86" spans="1:3">
      <c r="A86" s="316"/>
      <c r="B86" s="852" t="s">
        <v>293</v>
      </c>
      <c r="C86" s="853"/>
    </row>
    <row r="87" spans="1:3">
      <c r="A87" s="316"/>
      <c r="B87" s="852" t="s">
        <v>294</v>
      </c>
      <c r="C87" s="853"/>
    </row>
    <row r="88" spans="1:3">
      <c r="A88" s="316"/>
      <c r="B88" s="852" t="s">
        <v>295</v>
      </c>
      <c r="C88" s="853"/>
    </row>
    <row r="89" spans="1:3">
      <c r="A89" s="879" t="s">
        <v>296</v>
      </c>
      <c r="B89" s="880"/>
      <c r="C89" s="881"/>
    </row>
    <row r="90" spans="1:3">
      <c r="A90" s="316"/>
      <c r="B90" s="852" t="s">
        <v>229</v>
      </c>
      <c r="C90" s="853"/>
    </row>
    <row r="91" spans="1:3">
      <c r="A91" s="316"/>
      <c r="B91" s="852" t="s">
        <v>298</v>
      </c>
      <c r="C91" s="853"/>
    </row>
    <row r="92" spans="1:3" ht="12" customHeight="1">
      <c r="A92" s="316"/>
      <c r="B92" s="852" t="s">
        <v>299</v>
      </c>
      <c r="C92" s="853"/>
    </row>
    <row r="93" spans="1:3">
      <c r="A93" s="316"/>
      <c r="B93" s="852" t="s">
        <v>300</v>
      </c>
      <c r="C93" s="853"/>
    </row>
    <row r="94" spans="1:3" ht="24.75" customHeight="1">
      <c r="A94" s="316"/>
      <c r="B94" s="860" t="s">
        <v>336</v>
      </c>
      <c r="C94" s="861"/>
    </row>
    <row r="95" spans="1:3" ht="24" customHeight="1">
      <c r="A95" s="316"/>
      <c r="B95" s="860" t="s">
        <v>337</v>
      </c>
      <c r="C95" s="861"/>
    </row>
    <row r="96" spans="1:3" ht="13.5" customHeight="1">
      <c r="A96" s="316"/>
      <c r="B96" s="860" t="s">
        <v>301</v>
      </c>
      <c r="C96" s="861"/>
    </row>
    <row r="97" spans="1:3" ht="11.25" customHeight="1" thickBot="1">
      <c r="A97" s="882" t="s">
        <v>332</v>
      </c>
      <c r="B97" s="883"/>
      <c r="C97" s="884"/>
    </row>
    <row r="98" spans="1:3" ht="13.2" thickTop="1" thickBot="1">
      <c r="A98" s="891" t="s">
        <v>238</v>
      </c>
      <c r="B98" s="891"/>
      <c r="C98" s="891"/>
    </row>
    <row r="99" spans="1:3">
      <c r="A99" s="187">
        <v>2</v>
      </c>
      <c r="B99" s="304" t="s">
        <v>312</v>
      </c>
      <c r="C99" s="304" t="s">
        <v>333</v>
      </c>
    </row>
    <row r="100" spans="1:3">
      <c r="A100" s="120">
        <v>3</v>
      </c>
      <c r="B100" s="305" t="s">
        <v>313</v>
      </c>
      <c r="C100" s="306" t="s">
        <v>334</v>
      </c>
    </row>
    <row r="101" spans="1:3">
      <c r="A101" s="120">
        <v>4</v>
      </c>
      <c r="B101" s="305" t="s">
        <v>314</v>
      </c>
      <c r="C101" s="306" t="s">
        <v>338</v>
      </c>
    </row>
    <row r="102" spans="1:3" ht="11.25" customHeight="1">
      <c r="A102" s="120">
        <v>5</v>
      </c>
      <c r="B102" s="305" t="s">
        <v>315</v>
      </c>
      <c r="C102" s="306" t="s">
        <v>335</v>
      </c>
    </row>
    <row r="103" spans="1:3" ht="12" customHeight="1">
      <c r="A103" s="120">
        <v>6</v>
      </c>
      <c r="B103" s="305" t="s">
        <v>330</v>
      </c>
      <c r="C103" s="306" t="s">
        <v>316</v>
      </c>
    </row>
    <row r="104" spans="1:3" ht="12" customHeight="1">
      <c r="A104" s="120">
        <v>7</v>
      </c>
      <c r="B104" s="305" t="s">
        <v>317</v>
      </c>
      <c r="C104" s="306" t="s">
        <v>331</v>
      </c>
    </row>
    <row r="105" spans="1:3">
      <c r="A105" s="120">
        <v>8</v>
      </c>
      <c r="B105" s="305" t="s">
        <v>322</v>
      </c>
      <c r="C105" s="306" t="s">
        <v>342</v>
      </c>
    </row>
    <row r="106" spans="1:3" ht="11.25" customHeight="1">
      <c r="A106" s="879" t="s">
        <v>302</v>
      </c>
      <c r="B106" s="880"/>
      <c r="C106" s="881"/>
    </row>
    <row r="107" spans="1:3" ht="12" customHeight="1">
      <c r="A107" s="316"/>
      <c r="B107" s="877" t="s">
        <v>999</v>
      </c>
      <c r="C107" s="878"/>
    </row>
    <row r="108" spans="1:3">
      <c r="A108" s="879" t="s">
        <v>458</v>
      </c>
      <c r="B108" s="880"/>
      <c r="C108" s="881"/>
    </row>
    <row r="109" spans="1:3" ht="12" customHeight="1">
      <c r="A109" s="316"/>
      <c r="B109" s="852" t="s">
        <v>460</v>
      </c>
      <c r="C109" s="853"/>
    </row>
    <row r="110" spans="1:3">
      <c r="A110" s="316"/>
      <c r="B110" s="852" t="s">
        <v>461</v>
      </c>
      <c r="C110" s="853"/>
    </row>
    <row r="111" spans="1:3">
      <c r="A111" s="316"/>
      <c r="B111" s="852" t="s">
        <v>459</v>
      </c>
      <c r="C111" s="853"/>
    </row>
    <row r="112" spans="1:3">
      <c r="A112" s="885" t="s">
        <v>692</v>
      </c>
      <c r="B112" s="885"/>
      <c r="C112" s="885"/>
    </row>
    <row r="113" spans="1:3">
      <c r="A113" s="886" t="s">
        <v>176</v>
      </c>
      <c r="B113" s="886"/>
      <c r="C113" s="886"/>
    </row>
    <row r="114" spans="1:3">
      <c r="A114" s="504">
        <v>1</v>
      </c>
      <c r="B114" s="887" t="s">
        <v>576</v>
      </c>
      <c r="C114" s="888"/>
    </row>
    <row r="115" spans="1:3">
      <c r="A115" s="504">
        <v>2</v>
      </c>
      <c r="B115" s="889" t="s">
        <v>577</v>
      </c>
      <c r="C115" s="890"/>
    </row>
    <row r="116" spans="1:3">
      <c r="A116" s="504">
        <v>3</v>
      </c>
      <c r="B116" s="887" t="s">
        <v>902</v>
      </c>
      <c r="C116" s="888"/>
    </row>
    <row r="117" spans="1:3">
      <c r="A117" s="504">
        <v>4</v>
      </c>
      <c r="B117" s="887" t="s">
        <v>901</v>
      </c>
      <c r="C117" s="888"/>
    </row>
    <row r="118" spans="1:3">
      <c r="A118" s="504">
        <v>5</v>
      </c>
      <c r="B118" s="508" t="s">
        <v>900</v>
      </c>
      <c r="C118" s="507"/>
    </row>
    <row r="119" spans="1:3">
      <c r="A119" s="504">
        <v>6</v>
      </c>
      <c r="B119" s="899" t="s">
        <v>968</v>
      </c>
      <c r="C119" s="900"/>
    </row>
    <row r="120" spans="1:3" ht="48.6" customHeight="1">
      <c r="A120" s="504">
        <v>7</v>
      </c>
      <c r="B120" s="899" t="s">
        <v>969</v>
      </c>
      <c r="C120" s="900"/>
    </row>
    <row r="121" spans="1:3">
      <c r="A121" s="482">
        <v>8</v>
      </c>
      <c r="B121" s="477" t="s">
        <v>603</v>
      </c>
      <c r="C121" s="501" t="s">
        <v>899</v>
      </c>
    </row>
    <row r="122" spans="1:3" ht="24">
      <c r="A122" s="504">
        <v>9.01</v>
      </c>
      <c r="B122" s="477" t="s">
        <v>487</v>
      </c>
      <c r="C122" s="478" t="s">
        <v>652</v>
      </c>
    </row>
    <row r="123" spans="1:3" ht="36">
      <c r="A123" s="504">
        <v>9.02</v>
      </c>
      <c r="B123" s="477" t="s">
        <v>488</v>
      </c>
      <c r="C123" s="478" t="s">
        <v>655</v>
      </c>
    </row>
    <row r="124" spans="1:3">
      <c r="A124" s="504">
        <v>9.0299999999999994</v>
      </c>
      <c r="B124" s="478" t="s">
        <v>836</v>
      </c>
      <c r="C124" s="478" t="s">
        <v>578</v>
      </c>
    </row>
    <row r="125" spans="1:3">
      <c r="A125" s="504">
        <v>9.0399999999999991</v>
      </c>
      <c r="B125" s="477" t="s">
        <v>489</v>
      </c>
      <c r="C125" s="478" t="s">
        <v>579</v>
      </c>
    </row>
    <row r="126" spans="1:3">
      <c r="A126" s="504">
        <v>9.0500000000000007</v>
      </c>
      <c r="B126" s="477" t="s">
        <v>490</v>
      </c>
      <c r="C126" s="478" t="s">
        <v>580</v>
      </c>
    </row>
    <row r="127" spans="1:3" ht="24">
      <c r="A127" s="504">
        <v>9.06</v>
      </c>
      <c r="B127" s="477" t="s">
        <v>491</v>
      </c>
      <c r="C127" s="478" t="s">
        <v>581</v>
      </c>
    </row>
    <row r="128" spans="1:3">
      <c r="A128" s="504">
        <v>9.07</v>
      </c>
      <c r="B128" s="506" t="s">
        <v>492</v>
      </c>
      <c r="C128" s="478" t="s">
        <v>582</v>
      </c>
    </row>
    <row r="129" spans="1:3" ht="24">
      <c r="A129" s="504">
        <v>9.08</v>
      </c>
      <c r="B129" s="477" t="s">
        <v>493</v>
      </c>
      <c r="C129" s="478" t="s">
        <v>583</v>
      </c>
    </row>
    <row r="130" spans="1:3" ht="24">
      <c r="A130" s="504">
        <v>9.09</v>
      </c>
      <c r="B130" s="477" t="s">
        <v>494</v>
      </c>
      <c r="C130" s="478" t="s">
        <v>584</v>
      </c>
    </row>
    <row r="131" spans="1:3">
      <c r="A131" s="505">
        <v>9.1</v>
      </c>
      <c r="B131" s="477" t="s">
        <v>495</v>
      </c>
      <c r="C131" s="478" t="s">
        <v>585</v>
      </c>
    </row>
    <row r="132" spans="1:3">
      <c r="A132" s="504">
        <v>9.11</v>
      </c>
      <c r="B132" s="477" t="s">
        <v>496</v>
      </c>
      <c r="C132" s="478" t="s">
        <v>586</v>
      </c>
    </row>
    <row r="133" spans="1:3">
      <c r="A133" s="504">
        <v>9.1199999999999992</v>
      </c>
      <c r="B133" s="477" t="s">
        <v>497</v>
      </c>
      <c r="C133" s="478" t="s">
        <v>587</v>
      </c>
    </row>
    <row r="134" spans="1:3">
      <c r="A134" s="504">
        <v>9.1300000000000008</v>
      </c>
      <c r="B134" s="477" t="s">
        <v>498</v>
      </c>
      <c r="C134" s="478" t="s">
        <v>588</v>
      </c>
    </row>
    <row r="135" spans="1:3">
      <c r="A135" s="504">
        <v>9.14</v>
      </c>
      <c r="B135" s="477" t="s">
        <v>499</v>
      </c>
      <c r="C135" s="478" t="s">
        <v>589</v>
      </c>
    </row>
    <row r="136" spans="1:3">
      <c r="A136" s="504">
        <v>9.15</v>
      </c>
      <c r="B136" s="477" t="s">
        <v>500</v>
      </c>
      <c r="C136" s="478" t="s">
        <v>590</v>
      </c>
    </row>
    <row r="137" spans="1:3">
      <c r="A137" s="504">
        <v>9.16</v>
      </c>
      <c r="B137" s="477" t="s">
        <v>501</v>
      </c>
      <c r="C137" s="478" t="s">
        <v>591</v>
      </c>
    </row>
    <row r="138" spans="1:3">
      <c r="A138" s="504">
        <v>9.17</v>
      </c>
      <c r="B138" s="478" t="s">
        <v>502</v>
      </c>
      <c r="C138" s="478" t="s">
        <v>592</v>
      </c>
    </row>
    <row r="139" spans="1:3" ht="24">
      <c r="A139" s="504">
        <v>9.18</v>
      </c>
      <c r="B139" s="477" t="s">
        <v>503</v>
      </c>
      <c r="C139" s="478" t="s">
        <v>593</v>
      </c>
    </row>
    <row r="140" spans="1:3">
      <c r="A140" s="504">
        <v>9.19</v>
      </c>
      <c r="B140" s="477" t="s">
        <v>504</v>
      </c>
      <c r="C140" s="478" t="s">
        <v>594</v>
      </c>
    </row>
    <row r="141" spans="1:3">
      <c r="A141" s="505">
        <v>9.1999999999999993</v>
      </c>
      <c r="B141" s="477" t="s">
        <v>505</v>
      </c>
      <c r="C141" s="478" t="s">
        <v>595</v>
      </c>
    </row>
    <row r="142" spans="1:3">
      <c r="A142" s="504">
        <v>9.2100000000000009</v>
      </c>
      <c r="B142" s="477" t="s">
        <v>506</v>
      </c>
      <c r="C142" s="478" t="s">
        <v>596</v>
      </c>
    </row>
    <row r="143" spans="1:3">
      <c r="A143" s="504">
        <v>9.2200000000000006</v>
      </c>
      <c r="B143" s="477" t="s">
        <v>507</v>
      </c>
      <c r="C143" s="478" t="s">
        <v>597</v>
      </c>
    </row>
    <row r="144" spans="1:3" ht="24">
      <c r="A144" s="504">
        <v>9.23</v>
      </c>
      <c r="B144" s="477" t="s">
        <v>508</v>
      </c>
      <c r="C144" s="478" t="s">
        <v>598</v>
      </c>
    </row>
    <row r="145" spans="1:3" ht="24">
      <c r="A145" s="504">
        <v>9.24</v>
      </c>
      <c r="B145" s="477" t="s">
        <v>509</v>
      </c>
      <c r="C145" s="478" t="s">
        <v>599</v>
      </c>
    </row>
    <row r="146" spans="1:3">
      <c r="A146" s="504">
        <v>9.2500000000000107</v>
      </c>
      <c r="B146" s="477" t="s">
        <v>510</v>
      </c>
      <c r="C146" s="478" t="s">
        <v>600</v>
      </c>
    </row>
    <row r="147" spans="1:3" ht="24">
      <c r="A147" s="504">
        <v>9.2600000000000193</v>
      </c>
      <c r="B147" s="477" t="s">
        <v>601</v>
      </c>
      <c r="C147" s="503" t="s">
        <v>602</v>
      </c>
    </row>
    <row r="148" spans="1:3" s="317" customFormat="1" ht="24">
      <c r="A148" s="504">
        <v>9.2700000000000298</v>
      </c>
      <c r="B148" s="477" t="s">
        <v>88</v>
      </c>
      <c r="C148" s="503" t="s">
        <v>653</v>
      </c>
    </row>
    <row r="149" spans="1:3" s="317" customFormat="1">
      <c r="A149" s="483"/>
      <c r="B149" s="893" t="s">
        <v>604</v>
      </c>
      <c r="C149" s="894"/>
    </row>
    <row r="150" spans="1:3" s="317" customFormat="1">
      <c r="A150" s="482">
        <v>1</v>
      </c>
      <c r="B150" s="877" t="s">
        <v>898</v>
      </c>
      <c r="C150" s="878"/>
    </row>
    <row r="151" spans="1:3" s="317" customFormat="1">
      <c r="A151" s="482">
        <v>2</v>
      </c>
      <c r="B151" s="877" t="s">
        <v>654</v>
      </c>
      <c r="C151" s="878"/>
    </row>
    <row r="152" spans="1:3" s="317" customFormat="1">
      <c r="A152" s="482">
        <v>3</v>
      </c>
      <c r="B152" s="877" t="s">
        <v>651</v>
      </c>
      <c r="C152" s="878"/>
    </row>
    <row r="153" spans="1:3" s="317" customFormat="1">
      <c r="A153" s="483"/>
      <c r="B153" s="893" t="s">
        <v>605</v>
      </c>
      <c r="C153" s="894"/>
    </row>
    <row r="154" spans="1:3" s="317" customFormat="1">
      <c r="A154" s="482">
        <v>1</v>
      </c>
      <c r="B154" s="896" t="s">
        <v>897</v>
      </c>
      <c r="C154" s="901"/>
    </row>
    <row r="155" spans="1:3" s="317" customFormat="1">
      <c r="A155" s="482">
        <v>2</v>
      </c>
      <c r="B155" s="477" t="s">
        <v>834</v>
      </c>
      <c r="C155" s="558" t="s">
        <v>963</v>
      </c>
    </row>
    <row r="156" spans="1:3" ht="24">
      <c r="A156" s="482">
        <v>3</v>
      </c>
      <c r="B156" s="477" t="s">
        <v>833</v>
      </c>
      <c r="C156" s="501" t="s">
        <v>896</v>
      </c>
    </row>
    <row r="157" spans="1:3">
      <c r="A157" s="482">
        <v>4</v>
      </c>
      <c r="B157" s="477" t="s">
        <v>480</v>
      </c>
      <c r="C157" s="477" t="s">
        <v>914</v>
      </c>
    </row>
    <row r="158" spans="1:3" ht="25.05" customHeight="1">
      <c r="A158" s="483"/>
      <c r="B158" s="893" t="s">
        <v>606</v>
      </c>
      <c r="C158" s="894"/>
    </row>
    <row r="159" spans="1:3" ht="36">
      <c r="A159" s="482"/>
      <c r="B159" s="477" t="s">
        <v>885</v>
      </c>
      <c r="C159" s="559" t="s">
        <v>964</v>
      </c>
    </row>
    <row r="160" spans="1:3">
      <c r="A160" s="483"/>
      <c r="B160" s="893" t="s">
        <v>607</v>
      </c>
      <c r="C160" s="894"/>
    </row>
    <row r="161" spans="1:3" ht="39" customHeight="1">
      <c r="A161" s="483"/>
      <c r="B161" s="877" t="s">
        <v>895</v>
      </c>
      <c r="C161" s="878"/>
    </row>
    <row r="162" spans="1:3">
      <c r="A162" s="483" t="s">
        <v>608</v>
      </c>
      <c r="B162" s="502" t="s">
        <v>518</v>
      </c>
      <c r="C162" s="494" t="s">
        <v>609</v>
      </c>
    </row>
    <row r="163" spans="1:3">
      <c r="A163" s="483" t="s">
        <v>357</v>
      </c>
      <c r="B163" s="499" t="s">
        <v>519</v>
      </c>
      <c r="C163" s="501" t="s">
        <v>894</v>
      </c>
    </row>
    <row r="164" spans="1:3" ht="24">
      <c r="A164" s="483" t="s">
        <v>364</v>
      </c>
      <c r="B164" s="494" t="s">
        <v>520</v>
      </c>
      <c r="C164" s="501" t="s">
        <v>610</v>
      </c>
    </row>
    <row r="165" spans="1:3">
      <c r="A165" s="483" t="s">
        <v>611</v>
      </c>
      <c r="B165" s="499" t="s">
        <v>521</v>
      </c>
      <c r="C165" s="500" t="s">
        <v>612</v>
      </c>
    </row>
    <row r="166" spans="1:3" ht="24">
      <c r="A166" s="483" t="s">
        <v>613</v>
      </c>
      <c r="B166" s="499" t="s">
        <v>849</v>
      </c>
      <c r="C166" s="493" t="s">
        <v>893</v>
      </c>
    </row>
    <row r="167" spans="1:3" ht="24">
      <c r="A167" s="483" t="s">
        <v>365</v>
      </c>
      <c r="B167" s="499" t="s">
        <v>522</v>
      </c>
      <c r="C167" s="493" t="s">
        <v>615</v>
      </c>
    </row>
    <row r="168" spans="1:3" ht="24">
      <c r="A168" s="483" t="s">
        <v>614</v>
      </c>
      <c r="B168" s="497" t="s">
        <v>525</v>
      </c>
      <c r="C168" s="498" t="s">
        <v>622</v>
      </c>
    </row>
    <row r="169" spans="1:3" ht="24">
      <c r="A169" s="483" t="s">
        <v>616</v>
      </c>
      <c r="B169" s="497" t="s">
        <v>523</v>
      </c>
      <c r="C169" s="493" t="s">
        <v>618</v>
      </c>
    </row>
    <row r="170" spans="1:3" ht="26.55" customHeight="1">
      <c r="A170" s="483" t="s">
        <v>617</v>
      </c>
      <c r="B170" s="497" t="s">
        <v>524</v>
      </c>
      <c r="C170" s="498" t="s">
        <v>620</v>
      </c>
    </row>
    <row r="171" spans="1:3">
      <c r="A171" s="483" t="s">
        <v>619</v>
      </c>
      <c r="B171" s="478" t="s">
        <v>526</v>
      </c>
      <c r="C171" s="498" t="s">
        <v>624</v>
      </c>
    </row>
    <row r="172" spans="1:3" ht="24">
      <c r="A172" s="483" t="s">
        <v>621</v>
      </c>
      <c r="B172" s="497" t="s">
        <v>527</v>
      </c>
      <c r="C172" s="496" t="s">
        <v>625</v>
      </c>
    </row>
    <row r="173" spans="1:3">
      <c r="A173" s="483" t="s">
        <v>623</v>
      </c>
      <c r="B173" s="495" t="s">
        <v>528</v>
      </c>
      <c r="C173" s="494" t="s">
        <v>626</v>
      </c>
    </row>
    <row r="174" spans="1:3" ht="24">
      <c r="A174" s="483"/>
      <c r="B174" s="493" t="s">
        <v>892</v>
      </c>
      <c r="C174" s="478" t="s">
        <v>627</v>
      </c>
    </row>
    <row r="175" spans="1:3" ht="24">
      <c r="A175" s="483"/>
      <c r="B175" s="493" t="s">
        <v>891</v>
      </c>
      <c r="C175" s="478" t="s">
        <v>628</v>
      </c>
    </row>
    <row r="176" spans="1:3" ht="24">
      <c r="A176" s="483"/>
      <c r="B176" s="493" t="s">
        <v>890</v>
      </c>
      <c r="C176" s="478" t="s">
        <v>629</v>
      </c>
    </row>
    <row r="177" spans="1:3">
      <c r="A177" s="483"/>
      <c r="B177" s="893" t="s">
        <v>630</v>
      </c>
      <c r="C177" s="894"/>
    </row>
    <row r="178" spans="1:3">
      <c r="A178" s="483"/>
      <c r="B178" s="877" t="s">
        <v>889</v>
      </c>
      <c r="C178" s="878"/>
    </row>
    <row r="179" spans="1:3">
      <c r="A179" s="482">
        <v>1</v>
      </c>
      <c r="B179" s="478" t="s">
        <v>532</v>
      </c>
      <c r="C179" s="478" t="s">
        <v>532</v>
      </c>
    </row>
    <row r="180" spans="1:3" ht="24">
      <c r="A180" s="482">
        <v>2</v>
      </c>
      <c r="B180" s="478" t="s">
        <v>631</v>
      </c>
      <c r="C180" s="478" t="s">
        <v>632</v>
      </c>
    </row>
    <row r="181" spans="1:3">
      <c r="A181" s="482">
        <v>3</v>
      </c>
      <c r="B181" s="478" t="s">
        <v>534</v>
      </c>
      <c r="C181" s="478" t="s">
        <v>633</v>
      </c>
    </row>
    <row r="182" spans="1:3" ht="24">
      <c r="A182" s="482">
        <v>4</v>
      </c>
      <c r="B182" s="478" t="s">
        <v>535</v>
      </c>
      <c r="C182" s="478" t="s">
        <v>634</v>
      </c>
    </row>
    <row r="183" spans="1:3" ht="24">
      <c r="A183" s="482">
        <v>5</v>
      </c>
      <c r="B183" s="478" t="s">
        <v>536</v>
      </c>
      <c r="C183" s="478" t="s">
        <v>656</v>
      </c>
    </row>
    <row r="184" spans="1:3" ht="48">
      <c r="A184" s="482">
        <v>6</v>
      </c>
      <c r="B184" s="478" t="s">
        <v>537</v>
      </c>
      <c r="C184" s="478" t="s">
        <v>635</v>
      </c>
    </row>
    <row r="185" spans="1:3">
      <c r="A185" s="483"/>
      <c r="B185" s="893" t="s">
        <v>636</v>
      </c>
      <c r="C185" s="894"/>
    </row>
    <row r="186" spans="1:3">
      <c r="A186" s="483"/>
      <c r="B186" s="895" t="s">
        <v>888</v>
      </c>
      <c r="C186" s="896"/>
    </row>
    <row r="187" spans="1:3" ht="24">
      <c r="A187" s="483">
        <v>1.1000000000000001</v>
      </c>
      <c r="B187" s="492" t="s">
        <v>542</v>
      </c>
      <c r="C187" s="478" t="s">
        <v>637</v>
      </c>
    </row>
    <row r="188" spans="1:3" ht="50.1" customHeight="1">
      <c r="A188" s="483" t="s">
        <v>146</v>
      </c>
      <c r="B188" s="479" t="s">
        <v>543</v>
      </c>
      <c r="C188" s="478" t="s">
        <v>638</v>
      </c>
    </row>
    <row r="189" spans="1:3">
      <c r="A189" s="483" t="s">
        <v>544</v>
      </c>
      <c r="B189" s="491" t="s">
        <v>545</v>
      </c>
      <c r="C189" s="897" t="s">
        <v>887</v>
      </c>
    </row>
    <row r="190" spans="1:3">
      <c r="A190" s="483" t="s">
        <v>546</v>
      </c>
      <c r="B190" s="491" t="s">
        <v>547</v>
      </c>
      <c r="C190" s="897"/>
    </row>
    <row r="191" spans="1:3">
      <c r="A191" s="483" t="s">
        <v>548</v>
      </c>
      <c r="B191" s="491" t="s">
        <v>549</v>
      </c>
      <c r="C191" s="897"/>
    </row>
    <row r="192" spans="1:3">
      <c r="A192" s="483" t="s">
        <v>550</v>
      </c>
      <c r="B192" s="491" t="s">
        <v>551</v>
      </c>
      <c r="C192" s="897"/>
    </row>
    <row r="193" spans="1:4" ht="25.5" customHeight="1">
      <c r="A193" s="483">
        <v>1.2</v>
      </c>
      <c r="B193" s="490" t="s">
        <v>863</v>
      </c>
      <c r="C193" s="560" t="s">
        <v>965</v>
      </c>
    </row>
    <row r="194" spans="1:4" ht="24">
      <c r="A194" s="483" t="s">
        <v>553</v>
      </c>
      <c r="B194" s="485" t="s">
        <v>554</v>
      </c>
      <c r="C194" s="488" t="s">
        <v>639</v>
      </c>
    </row>
    <row r="195" spans="1:4" ht="24">
      <c r="A195" s="483" t="s">
        <v>555</v>
      </c>
      <c r="B195" s="489" t="s">
        <v>556</v>
      </c>
      <c r="C195" s="488" t="s">
        <v>640</v>
      </c>
    </row>
    <row r="196" spans="1:4" ht="26.1" customHeight="1">
      <c r="A196" s="483" t="s">
        <v>557</v>
      </c>
      <c r="B196" s="487" t="s">
        <v>558</v>
      </c>
      <c r="C196" s="477" t="s">
        <v>641</v>
      </c>
    </row>
    <row r="197" spans="1:4" ht="24">
      <c r="A197" s="483" t="s">
        <v>559</v>
      </c>
      <c r="B197" s="486" t="s">
        <v>560</v>
      </c>
      <c r="C197" s="477" t="s">
        <v>642</v>
      </c>
      <c r="D197" s="318"/>
    </row>
    <row r="198" spans="1:4" ht="12.6">
      <c r="A198" s="483">
        <v>1.4</v>
      </c>
      <c r="B198" s="485" t="s">
        <v>649</v>
      </c>
      <c r="C198" s="484" t="s">
        <v>643</v>
      </c>
      <c r="D198" s="319"/>
    </row>
    <row r="199" spans="1:4" ht="12.6">
      <c r="A199" s="483">
        <v>1.5</v>
      </c>
      <c r="B199" s="485" t="s">
        <v>650</v>
      </c>
      <c r="C199" s="484" t="s">
        <v>643</v>
      </c>
      <c r="D199" s="320"/>
    </row>
    <row r="200" spans="1:4" ht="12.6">
      <c r="A200" s="483"/>
      <c r="B200" s="885" t="s">
        <v>644</v>
      </c>
      <c r="C200" s="885"/>
      <c r="D200" s="320"/>
    </row>
    <row r="201" spans="1:4" ht="12.6">
      <c r="A201" s="483"/>
      <c r="B201" s="895" t="s">
        <v>886</v>
      </c>
      <c r="C201" s="895"/>
      <c r="D201" s="320"/>
    </row>
    <row r="202" spans="1:4" ht="12.6">
      <c r="A202" s="482"/>
      <c r="B202" s="477" t="s">
        <v>885</v>
      </c>
      <c r="C202" s="559" t="s">
        <v>963</v>
      </c>
      <c r="D202" s="320"/>
    </row>
    <row r="203" spans="1:4" ht="12.6">
      <c r="A203" s="483"/>
      <c r="B203" s="885" t="s">
        <v>645</v>
      </c>
      <c r="C203" s="885"/>
      <c r="D203" s="321"/>
    </row>
    <row r="204" spans="1:4" ht="12.6">
      <c r="A204" s="482"/>
      <c r="B204" s="895" t="s">
        <v>884</v>
      </c>
      <c r="C204" s="895"/>
      <c r="D204" s="322"/>
    </row>
    <row r="205" spans="1:4" ht="12.6">
      <c r="B205" s="885" t="s">
        <v>682</v>
      </c>
      <c r="C205" s="885"/>
      <c r="D205" s="323"/>
    </row>
    <row r="206" spans="1:4" ht="24">
      <c r="A206" s="479">
        <v>1</v>
      </c>
      <c r="B206" s="477" t="s">
        <v>658</v>
      </c>
      <c r="C206" s="477" t="s">
        <v>670</v>
      </c>
      <c r="D206" s="322"/>
    </row>
    <row r="207" spans="1:4" ht="18" customHeight="1">
      <c r="A207" s="479">
        <v>2</v>
      </c>
      <c r="B207" s="477" t="s">
        <v>659</v>
      </c>
      <c r="C207" s="477" t="s">
        <v>671</v>
      </c>
      <c r="D207" s="323"/>
    </row>
    <row r="208" spans="1:4" ht="24">
      <c r="A208" s="479">
        <v>3</v>
      </c>
      <c r="B208" s="477" t="s">
        <v>660</v>
      </c>
      <c r="C208" s="477" t="s">
        <v>672</v>
      </c>
      <c r="D208" s="324"/>
    </row>
    <row r="209" spans="1:4" ht="12.6">
      <c r="A209" s="479">
        <v>4</v>
      </c>
      <c r="B209" s="477" t="s">
        <v>661</v>
      </c>
      <c r="C209" s="477" t="s">
        <v>673</v>
      </c>
      <c r="D209" s="324"/>
    </row>
    <row r="210" spans="1:4" ht="24">
      <c r="A210" s="479">
        <v>5</v>
      </c>
      <c r="B210" s="477" t="s">
        <v>662</v>
      </c>
      <c r="C210" s="477" t="s">
        <v>674</v>
      </c>
    </row>
    <row r="211" spans="1:4" ht="24.6" customHeight="1">
      <c r="A211" s="479">
        <v>6</v>
      </c>
      <c r="B211" s="477" t="s">
        <v>663</v>
      </c>
      <c r="C211" s="477" t="s">
        <v>675</v>
      </c>
    </row>
    <row r="212" spans="1:4" ht="24">
      <c r="A212" s="479">
        <v>7</v>
      </c>
      <c r="B212" s="477" t="s">
        <v>664</v>
      </c>
      <c r="C212" s="477" t="s">
        <v>676</v>
      </c>
    </row>
    <row r="213" spans="1:4">
      <c r="A213" s="479">
        <v>7.1</v>
      </c>
      <c r="B213" s="481" t="s">
        <v>665</v>
      </c>
      <c r="C213" s="477" t="s">
        <v>677</v>
      </c>
    </row>
    <row r="214" spans="1:4">
      <c r="A214" s="479">
        <v>7.2</v>
      </c>
      <c r="B214" s="481" t="s">
        <v>666</v>
      </c>
      <c r="C214" s="477" t="s">
        <v>678</v>
      </c>
    </row>
    <row r="215" spans="1:4">
      <c r="A215" s="479">
        <v>7.3</v>
      </c>
      <c r="B215" s="480" t="s">
        <v>667</v>
      </c>
      <c r="C215" s="477" t="s">
        <v>679</v>
      </c>
    </row>
    <row r="216" spans="1:4" ht="39.6" customHeight="1">
      <c r="A216" s="479">
        <v>8</v>
      </c>
      <c r="B216" s="477" t="s">
        <v>668</v>
      </c>
      <c r="C216" s="477" t="s">
        <v>680</v>
      </c>
    </row>
    <row r="217" spans="1:4">
      <c r="A217" s="479">
        <v>9</v>
      </c>
      <c r="B217" s="477" t="s">
        <v>669</v>
      </c>
      <c r="C217" s="477" t="s">
        <v>681</v>
      </c>
    </row>
    <row r="218" spans="1:4">
      <c r="A218" s="516">
        <v>10.1</v>
      </c>
      <c r="B218" s="517" t="s">
        <v>689</v>
      </c>
      <c r="C218" s="509" t="s">
        <v>690</v>
      </c>
    </row>
    <row r="219" spans="1:4">
      <c r="A219" s="898"/>
      <c r="B219" s="518" t="s">
        <v>876</v>
      </c>
      <c r="C219" s="477" t="s">
        <v>883</v>
      </c>
    </row>
    <row r="220" spans="1:4">
      <c r="A220" s="898"/>
      <c r="B220" s="478" t="s">
        <v>541</v>
      </c>
      <c r="C220" s="477" t="s">
        <v>882</v>
      </c>
    </row>
    <row r="221" spans="1:4">
      <c r="A221" s="898"/>
      <c r="B221" s="478" t="s">
        <v>875</v>
      </c>
      <c r="C221" s="560" t="s">
        <v>966</v>
      </c>
    </row>
    <row r="222" spans="1:4">
      <c r="A222" s="898"/>
      <c r="B222" s="478" t="s">
        <v>683</v>
      </c>
      <c r="C222" s="477" t="s">
        <v>881</v>
      </c>
    </row>
    <row r="223" spans="1:4" ht="24">
      <c r="A223" s="898"/>
      <c r="B223" s="478" t="s">
        <v>687</v>
      </c>
      <c r="C223" s="478" t="s">
        <v>880</v>
      </c>
    </row>
    <row r="224" spans="1:4" ht="36">
      <c r="A224" s="898"/>
      <c r="B224" s="478" t="s">
        <v>686</v>
      </c>
      <c r="C224" s="477" t="s">
        <v>879</v>
      </c>
    </row>
    <row r="225" spans="1:3">
      <c r="A225" s="898"/>
      <c r="B225" s="478" t="s">
        <v>915</v>
      </c>
      <c r="C225" s="477" t="s">
        <v>878</v>
      </c>
    </row>
    <row r="226" spans="1:3" ht="24">
      <c r="A226" s="898"/>
      <c r="B226" s="478" t="s">
        <v>916</v>
      </c>
      <c r="C226" s="477" t="s">
        <v>877</v>
      </c>
    </row>
    <row r="227" spans="1:3" ht="12.6">
      <c r="A227" s="510"/>
      <c r="B227" s="511"/>
      <c r="C227" s="512"/>
    </row>
    <row r="228" spans="1:3" ht="12.6">
      <c r="A228" s="510"/>
      <c r="B228" s="512"/>
      <c r="C228" s="512"/>
    </row>
    <row r="229" spans="1:3" ht="12.6">
      <c r="A229" s="510"/>
      <c r="B229" s="512"/>
      <c r="C229" s="512"/>
    </row>
    <row r="230" spans="1:3" ht="12.6">
      <c r="A230" s="510"/>
      <c r="B230" s="513"/>
      <c r="C230" s="512"/>
    </row>
    <row r="231" spans="1:3">
      <c r="A231" s="892"/>
      <c r="B231" s="514"/>
      <c r="C231" s="512"/>
    </row>
    <row r="232" spans="1:3">
      <c r="A232" s="892"/>
      <c r="B232" s="514"/>
      <c r="C232" s="512"/>
    </row>
    <row r="233" spans="1:3">
      <c r="A233" s="892"/>
      <c r="B233" s="514"/>
      <c r="C233" s="512"/>
    </row>
    <row r="234" spans="1:3">
      <c r="A234" s="892"/>
      <c r="B234" s="514"/>
      <c r="C234" s="515"/>
    </row>
    <row r="235" spans="1:3" ht="40.5" customHeight="1">
      <c r="A235" s="892"/>
      <c r="B235" s="514"/>
      <c r="C235" s="512"/>
    </row>
    <row r="236" spans="1:3" ht="24" customHeight="1">
      <c r="A236" s="892"/>
      <c r="B236" s="514"/>
      <c r="C236" s="512"/>
    </row>
    <row r="237" spans="1:3">
      <c r="A237" s="892"/>
      <c r="B237" s="514"/>
      <c r="C237" s="512"/>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J18" sqref="J18"/>
    </sheetView>
  </sheetViews>
  <sheetFormatPr defaultRowHeight="14.4"/>
  <cols>
    <col min="2" max="2" width="66.6640625" customWidth="1"/>
    <col min="3" max="8" width="17.88671875" customWidth="1"/>
  </cols>
  <sheetData>
    <row r="1" spans="1:8">
      <c r="A1" s="10" t="s">
        <v>97</v>
      </c>
      <c r="B1" s="232" t="str">
        <f>Info!C2</f>
        <v>სს პეივ ბანკ ჯორჯია</v>
      </c>
      <c r="C1" s="9"/>
      <c r="D1" s="1"/>
      <c r="E1" s="1"/>
      <c r="F1" s="1"/>
      <c r="G1" s="1"/>
    </row>
    <row r="2" spans="1:8">
      <c r="A2" s="10" t="s">
        <v>98</v>
      </c>
      <c r="B2" s="260">
        <f>'1. key ratios'!B2</f>
        <v>45747</v>
      </c>
      <c r="C2" s="9"/>
      <c r="D2" s="1"/>
      <c r="E2" s="1"/>
      <c r="F2" s="1"/>
      <c r="G2" s="1"/>
    </row>
    <row r="3" spans="1:8" ht="15" thickBot="1">
      <c r="A3" s="10"/>
      <c r="B3" s="9"/>
      <c r="C3" s="9"/>
      <c r="D3" s="1"/>
      <c r="E3" s="1"/>
      <c r="F3" s="1"/>
      <c r="G3" s="1"/>
    </row>
    <row r="4" spans="1:8">
      <c r="A4" s="738" t="s">
        <v>25</v>
      </c>
      <c r="B4" s="736" t="s">
        <v>155</v>
      </c>
      <c r="C4" s="731" t="s">
        <v>103</v>
      </c>
      <c r="D4" s="731"/>
      <c r="E4" s="731"/>
      <c r="F4" s="731" t="s">
        <v>104</v>
      </c>
      <c r="G4" s="731"/>
      <c r="H4" s="732"/>
    </row>
    <row r="5" spans="1:8" ht="15.6" customHeight="1">
      <c r="A5" s="739"/>
      <c r="B5" s="737"/>
      <c r="C5" s="683" t="s">
        <v>26</v>
      </c>
      <c r="D5" s="683" t="s">
        <v>77</v>
      </c>
      <c r="E5" s="683" t="s">
        <v>66</v>
      </c>
      <c r="F5" s="683" t="s">
        <v>26</v>
      </c>
      <c r="G5" s="683" t="s">
        <v>77</v>
      </c>
      <c r="H5" s="684" t="s">
        <v>66</v>
      </c>
    </row>
    <row r="6" spans="1:8">
      <c r="A6" s="653">
        <v>1</v>
      </c>
      <c r="B6" s="352" t="s">
        <v>744</v>
      </c>
      <c r="C6" s="635">
        <f>SUM(C7:C12)</f>
        <v>158994.66999999998</v>
      </c>
      <c r="D6" s="635">
        <f>SUM(D7:D12)</f>
        <v>61959.209999999992</v>
      </c>
      <c r="E6" s="687">
        <f>C6+D6</f>
        <v>220953.87999999998</v>
      </c>
      <c r="F6" s="635">
        <f>SUM(F7:F12)</f>
        <v>91187.13</v>
      </c>
      <c r="G6" s="635">
        <f>SUM(G7:G12)</f>
        <v>0</v>
      </c>
      <c r="H6" s="688">
        <f>F6+G6</f>
        <v>91187.13</v>
      </c>
    </row>
    <row r="7" spans="1:8">
      <c r="A7" s="653">
        <v>1.1000000000000001</v>
      </c>
      <c r="B7" s="353" t="s">
        <v>698</v>
      </c>
      <c r="C7" s="635"/>
      <c r="D7" s="635"/>
      <c r="E7" s="687">
        <f t="shared" ref="E7:E45" si="0">C7+D7</f>
        <v>0</v>
      </c>
      <c r="F7" s="635">
        <v>0</v>
      </c>
      <c r="G7" s="635">
        <v>0</v>
      </c>
      <c r="H7" s="688">
        <f t="shared" ref="H7:H44" si="1">F7+G7</f>
        <v>0</v>
      </c>
    </row>
    <row r="8" spans="1:8" ht="20.399999999999999">
      <c r="A8" s="653">
        <v>1.2</v>
      </c>
      <c r="B8" s="353" t="s">
        <v>745</v>
      </c>
      <c r="C8" s="635"/>
      <c r="D8" s="635"/>
      <c r="E8" s="687">
        <f t="shared" si="0"/>
        <v>0</v>
      </c>
      <c r="F8" s="635">
        <v>0</v>
      </c>
      <c r="G8" s="635">
        <v>0</v>
      </c>
      <c r="H8" s="688">
        <f t="shared" si="1"/>
        <v>0</v>
      </c>
    </row>
    <row r="9" spans="1:8" ht="21.6" customHeight="1">
      <c r="A9" s="653">
        <v>1.3</v>
      </c>
      <c r="B9" s="344" t="s">
        <v>746</v>
      </c>
      <c r="C9" s="635"/>
      <c r="D9" s="635"/>
      <c r="E9" s="687">
        <f t="shared" si="0"/>
        <v>0</v>
      </c>
      <c r="F9" s="635">
        <v>0</v>
      </c>
      <c r="G9" s="635">
        <v>0</v>
      </c>
      <c r="H9" s="688">
        <f t="shared" si="1"/>
        <v>0</v>
      </c>
    </row>
    <row r="10" spans="1:8" ht="20.399999999999999">
      <c r="A10" s="653">
        <v>1.4</v>
      </c>
      <c r="B10" s="344" t="s">
        <v>702</v>
      </c>
      <c r="C10" s="635">
        <v>0</v>
      </c>
      <c r="D10" s="635">
        <v>0</v>
      </c>
      <c r="E10" s="687">
        <f t="shared" si="0"/>
        <v>0</v>
      </c>
      <c r="F10" s="635">
        <v>0</v>
      </c>
      <c r="G10" s="635">
        <v>0</v>
      </c>
      <c r="H10" s="688">
        <f t="shared" si="1"/>
        <v>0</v>
      </c>
    </row>
    <row r="11" spans="1:8">
      <c r="A11" s="653">
        <v>1.5</v>
      </c>
      <c r="B11" s="344" t="s">
        <v>705</v>
      </c>
      <c r="C11" s="635">
        <v>158994.66999999998</v>
      </c>
      <c r="D11" s="635">
        <v>61959.209999999992</v>
      </c>
      <c r="E11" s="687">
        <f t="shared" si="0"/>
        <v>220953.87999999998</v>
      </c>
      <c r="F11" s="635">
        <v>91187.13</v>
      </c>
      <c r="G11" s="635">
        <v>0</v>
      </c>
      <c r="H11" s="688">
        <f t="shared" si="1"/>
        <v>91187.13</v>
      </c>
    </row>
    <row r="12" spans="1:8">
      <c r="A12" s="653">
        <v>1.6</v>
      </c>
      <c r="B12" s="345" t="s">
        <v>88</v>
      </c>
      <c r="C12" s="635"/>
      <c r="D12" s="635"/>
      <c r="E12" s="687">
        <f t="shared" si="0"/>
        <v>0</v>
      </c>
      <c r="F12" s="635">
        <v>0</v>
      </c>
      <c r="G12" s="635">
        <v>0</v>
      </c>
      <c r="H12" s="688">
        <f t="shared" si="1"/>
        <v>0</v>
      </c>
    </row>
    <row r="13" spans="1:8">
      <c r="A13" s="653">
        <v>2</v>
      </c>
      <c r="B13" s="354" t="s">
        <v>747</v>
      </c>
      <c r="C13" s="635">
        <f>SUM(C14:C17)</f>
        <v>0</v>
      </c>
      <c r="D13" s="635">
        <f>SUM(D14:D17)</f>
        <v>-12345.81</v>
      </c>
      <c r="E13" s="687">
        <f t="shared" si="0"/>
        <v>-12345.81</v>
      </c>
      <c r="F13" s="635">
        <f>SUM(F14:F17)</f>
        <v>0</v>
      </c>
      <c r="G13" s="635">
        <f>SUM(G14:G17)</f>
        <v>0</v>
      </c>
      <c r="H13" s="688">
        <f t="shared" si="1"/>
        <v>0</v>
      </c>
    </row>
    <row r="14" spans="1:8">
      <c r="A14" s="653">
        <v>2.1</v>
      </c>
      <c r="B14" s="344" t="s">
        <v>748</v>
      </c>
      <c r="C14" s="635"/>
      <c r="D14" s="635"/>
      <c r="E14" s="687">
        <f t="shared" si="0"/>
        <v>0</v>
      </c>
      <c r="F14" s="635">
        <v>0</v>
      </c>
      <c r="G14" s="635">
        <v>0</v>
      </c>
      <c r="H14" s="688">
        <f t="shared" si="1"/>
        <v>0</v>
      </c>
    </row>
    <row r="15" spans="1:8" ht="24.6" customHeight="1">
      <c r="A15" s="653">
        <v>2.2000000000000002</v>
      </c>
      <c r="B15" s="344" t="s">
        <v>749</v>
      </c>
      <c r="C15" s="635"/>
      <c r="D15" s="635"/>
      <c r="E15" s="687">
        <f t="shared" si="0"/>
        <v>0</v>
      </c>
      <c r="F15" s="635">
        <v>0</v>
      </c>
      <c r="G15" s="635">
        <v>0</v>
      </c>
      <c r="H15" s="688">
        <f t="shared" si="1"/>
        <v>0</v>
      </c>
    </row>
    <row r="16" spans="1:8" ht="20.55" customHeight="1">
      <c r="A16" s="653">
        <v>2.2999999999999998</v>
      </c>
      <c r="B16" s="344" t="s">
        <v>750</v>
      </c>
      <c r="C16" s="635">
        <v>0</v>
      </c>
      <c r="D16" s="635">
        <v>-12345.81</v>
      </c>
      <c r="E16" s="687">
        <f t="shared" si="0"/>
        <v>-12345.81</v>
      </c>
      <c r="F16" s="635">
        <v>0</v>
      </c>
      <c r="G16" s="635">
        <v>0</v>
      </c>
      <c r="H16" s="688">
        <f t="shared" si="1"/>
        <v>0</v>
      </c>
    </row>
    <row r="17" spans="1:8">
      <c r="A17" s="653">
        <v>2.4</v>
      </c>
      <c r="B17" s="344" t="s">
        <v>751</v>
      </c>
      <c r="C17" s="635"/>
      <c r="D17" s="635"/>
      <c r="E17" s="687">
        <f t="shared" si="0"/>
        <v>0</v>
      </c>
      <c r="F17" s="635">
        <v>0</v>
      </c>
      <c r="G17" s="635">
        <v>0</v>
      </c>
      <c r="H17" s="688">
        <f t="shared" si="1"/>
        <v>0</v>
      </c>
    </row>
    <row r="18" spans="1:8">
      <c r="A18" s="653">
        <v>3</v>
      </c>
      <c r="B18" s="354" t="s">
        <v>752</v>
      </c>
      <c r="C18" s="635">
        <v>0</v>
      </c>
      <c r="D18" s="635">
        <v>0</v>
      </c>
      <c r="E18" s="687">
        <f t="shared" si="0"/>
        <v>0</v>
      </c>
      <c r="F18" s="635">
        <v>0</v>
      </c>
      <c r="G18" s="635">
        <v>0</v>
      </c>
      <c r="H18" s="688">
        <f t="shared" si="1"/>
        <v>0</v>
      </c>
    </row>
    <row r="19" spans="1:8">
      <c r="A19" s="653">
        <v>4</v>
      </c>
      <c r="B19" s="354" t="s">
        <v>753</v>
      </c>
      <c r="C19" s="635">
        <v>59565.14</v>
      </c>
      <c r="D19" s="635">
        <v>143378.54999999999</v>
      </c>
      <c r="E19" s="687">
        <f t="shared" si="0"/>
        <v>202943.69</v>
      </c>
      <c r="F19" s="635">
        <v>0</v>
      </c>
      <c r="G19" s="635">
        <v>0</v>
      </c>
      <c r="H19" s="688">
        <f t="shared" si="1"/>
        <v>0</v>
      </c>
    </row>
    <row r="20" spans="1:8">
      <c r="A20" s="653">
        <v>5</v>
      </c>
      <c r="B20" s="354" t="s">
        <v>754</v>
      </c>
      <c r="C20" s="635">
        <v>0</v>
      </c>
      <c r="D20" s="635">
        <v>0</v>
      </c>
      <c r="E20" s="687">
        <f t="shared" si="0"/>
        <v>0</v>
      </c>
      <c r="F20" s="635">
        <v>0</v>
      </c>
      <c r="G20" s="635">
        <v>0</v>
      </c>
      <c r="H20" s="688">
        <f t="shared" si="1"/>
        <v>0</v>
      </c>
    </row>
    <row r="21" spans="1:8" ht="38.549999999999997" customHeight="1">
      <c r="A21" s="653">
        <v>6</v>
      </c>
      <c r="B21" s="354" t="s">
        <v>755</v>
      </c>
      <c r="C21" s="635">
        <v>0</v>
      </c>
      <c r="D21" s="635">
        <v>0</v>
      </c>
      <c r="E21" s="687">
        <f t="shared" si="0"/>
        <v>0</v>
      </c>
      <c r="F21" s="635">
        <v>0</v>
      </c>
      <c r="G21" s="635">
        <v>0</v>
      </c>
      <c r="H21" s="688">
        <f t="shared" si="1"/>
        <v>0</v>
      </c>
    </row>
    <row r="22" spans="1:8" ht="27.6" customHeight="1">
      <c r="A22" s="653">
        <v>7</v>
      </c>
      <c r="B22" s="354" t="s">
        <v>756</v>
      </c>
      <c r="C22" s="635"/>
      <c r="D22" s="635"/>
      <c r="E22" s="687">
        <f t="shared" si="0"/>
        <v>0</v>
      </c>
      <c r="F22" s="635">
        <v>0</v>
      </c>
      <c r="G22" s="635">
        <v>0</v>
      </c>
      <c r="H22" s="688">
        <f t="shared" si="1"/>
        <v>0</v>
      </c>
    </row>
    <row r="23" spans="1:8" ht="37.049999999999997" customHeight="1">
      <c r="A23" s="653">
        <v>8</v>
      </c>
      <c r="B23" s="355" t="s">
        <v>757</v>
      </c>
      <c r="C23" s="635">
        <v>0</v>
      </c>
      <c r="D23" s="635">
        <v>0</v>
      </c>
      <c r="E23" s="687">
        <f t="shared" si="0"/>
        <v>0</v>
      </c>
      <c r="F23" s="635">
        <v>0</v>
      </c>
      <c r="G23" s="635">
        <v>0</v>
      </c>
      <c r="H23" s="688">
        <f t="shared" si="1"/>
        <v>0</v>
      </c>
    </row>
    <row r="24" spans="1:8" ht="34.5" customHeight="1">
      <c r="A24" s="653">
        <v>9</v>
      </c>
      <c r="B24" s="355" t="s">
        <v>758</v>
      </c>
      <c r="C24" s="635"/>
      <c r="D24" s="635"/>
      <c r="E24" s="687">
        <f t="shared" si="0"/>
        <v>0</v>
      </c>
      <c r="F24" s="635">
        <v>0</v>
      </c>
      <c r="G24" s="635">
        <v>0</v>
      </c>
      <c r="H24" s="688">
        <f t="shared" si="1"/>
        <v>0</v>
      </c>
    </row>
    <row r="25" spans="1:8">
      <c r="A25" s="653">
        <v>10</v>
      </c>
      <c r="B25" s="354" t="s">
        <v>759</v>
      </c>
      <c r="C25" s="635">
        <v>73952.12999999999</v>
      </c>
      <c r="D25" s="635">
        <v>-4041.659999999858</v>
      </c>
      <c r="E25" s="687">
        <f t="shared" si="0"/>
        <v>69910.470000000132</v>
      </c>
      <c r="F25" s="635">
        <v>-662.94</v>
      </c>
      <c r="G25" s="635">
        <v>0</v>
      </c>
      <c r="H25" s="688">
        <f t="shared" si="1"/>
        <v>-662.94</v>
      </c>
    </row>
    <row r="26" spans="1:8" ht="27" customHeight="1">
      <c r="A26" s="653">
        <v>11</v>
      </c>
      <c r="B26" s="356" t="s">
        <v>760</v>
      </c>
      <c r="C26" s="635">
        <v>0</v>
      </c>
      <c r="D26" s="635">
        <v>0</v>
      </c>
      <c r="E26" s="687">
        <f t="shared" si="0"/>
        <v>0</v>
      </c>
      <c r="F26" s="635">
        <v>0</v>
      </c>
      <c r="G26" s="635">
        <v>0</v>
      </c>
      <c r="H26" s="688">
        <f t="shared" si="1"/>
        <v>0</v>
      </c>
    </row>
    <row r="27" spans="1:8">
      <c r="A27" s="653">
        <v>12</v>
      </c>
      <c r="B27" s="354" t="s">
        <v>761</v>
      </c>
      <c r="C27" s="635">
        <v>0</v>
      </c>
      <c r="D27" s="635">
        <v>381962</v>
      </c>
      <c r="E27" s="687">
        <f t="shared" si="0"/>
        <v>381962</v>
      </c>
      <c r="F27" s="635">
        <v>0</v>
      </c>
      <c r="G27" s="635">
        <v>0</v>
      </c>
      <c r="H27" s="688">
        <f t="shared" si="1"/>
        <v>0</v>
      </c>
    </row>
    <row r="28" spans="1:8">
      <c r="A28" s="653">
        <v>13</v>
      </c>
      <c r="B28" s="357" t="s">
        <v>762</v>
      </c>
      <c r="C28" s="635">
        <v>-205945.72</v>
      </c>
      <c r="D28" s="635">
        <v>-266655.47000000009</v>
      </c>
      <c r="E28" s="687">
        <f t="shared" si="0"/>
        <v>-472601.19000000006</v>
      </c>
      <c r="F28" s="635">
        <v>-95092.6</v>
      </c>
      <c r="G28" s="635">
        <v>0</v>
      </c>
      <c r="H28" s="688">
        <f t="shared" si="1"/>
        <v>-95092.6</v>
      </c>
    </row>
    <row r="29" spans="1:8">
      <c r="A29" s="653">
        <v>14</v>
      </c>
      <c r="B29" s="358" t="s">
        <v>763</v>
      </c>
      <c r="C29" s="635">
        <f>SUM(C30:C31)</f>
        <v>-559717.86</v>
      </c>
      <c r="D29" s="635">
        <f>SUM(D30:D31)</f>
        <v>0</v>
      </c>
      <c r="E29" s="687">
        <f t="shared" si="0"/>
        <v>-559717.86</v>
      </c>
      <c r="F29" s="635">
        <f>SUM(F30:F31)</f>
        <v>0</v>
      </c>
      <c r="G29" s="635">
        <f>SUM(G30:G31)</f>
        <v>0</v>
      </c>
      <c r="H29" s="688">
        <f t="shared" si="1"/>
        <v>0</v>
      </c>
    </row>
    <row r="30" spans="1:8">
      <c r="A30" s="653">
        <v>14.1</v>
      </c>
      <c r="B30" s="336" t="s">
        <v>764</v>
      </c>
      <c r="C30" s="635">
        <v>-559717.86</v>
      </c>
      <c r="D30" s="635">
        <v>0</v>
      </c>
      <c r="E30" s="687">
        <f t="shared" si="0"/>
        <v>-559717.86</v>
      </c>
      <c r="F30" s="635">
        <v>0</v>
      </c>
      <c r="G30" s="635">
        <v>0</v>
      </c>
      <c r="H30" s="688">
        <f t="shared" si="1"/>
        <v>0</v>
      </c>
    </row>
    <row r="31" spans="1:8">
      <c r="A31" s="653">
        <v>14.2</v>
      </c>
      <c r="B31" s="336" t="s">
        <v>765</v>
      </c>
      <c r="C31" s="635">
        <v>0</v>
      </c>
      <c r="D31" s="635">
        <v>0</v>
      </c>
      <c r="E31" s="687">
        <f t="shared" si="0"/>
        <v>0</v>
      </c>
      <c r="F31" s="635">
        <v>0</v>
      </c>
      <c r="G31" s="635">
        <v>0</v>
      </c>
      <c r="H31" s="688">
        <f t="shared" si="1"/>
        <v>0</v>
      </c>
    </row>
    <row r="32" spans="1:8">
      <c r="A32" s="653">
        <v>15</v>
      </c>
      <c r="B32" s="699" t="s">
        <v>766</v>
      </c>
      <c r="C32" s="635">
        <v>-5027.8099999999995</v>
      </c>
      <c r="D32" s="635">
        <v>0</v>
      </c>
      <c r="E32" s="687">
        <f t="shared" si="0"/>
        <v>-5027.8099999999995</v>
      </c>
      <c r="F32" s="635">
        <v>0</v>
      </c>
      <c r="G32" s="635">
        <v>0</v>
      </c>
      <c r="H32" s="688">
        <f t="shared" si="1"/>
        <v>0</v>
      </c>
    </row>
    <row r="33" spans="1:8" ht="22.5" customHeight="1">
      <c r="A33" s="653">
        <v>16</v>
      </c>
      <c r="B33" s="332" t="s">
        <v>767</v>
      </c>
      <c r="C33" s="635"/>
      <c r="D33" s="635"/>
      <c r="E33" s="687">
        <f t="shared" si="0"/>
        <v>0</v>
      </c>
      <c r="F33" s="635">
        <v>0</v>
      </c>
      <c r="G33" s="635">
        <v>0</v>
      </c>
      <c r="H33" s="688">
        <f t="shared" si="1"/>
        <v>0</v>
      </c>
    </row>
    <row r="34" spans="1:8">
      <c r="A34" s="653">
        <v>17</v>
      </c>
      <c r="B34" s="354" t="s">
        <v>768</v>
      </c>
      <c r="C34" s="635">
        <f>SUM(C35:C36)</f>
        <v>0</v>
      </c>
      <c r="D34" s="635">
        <f>SUM(D35:D36)</f>
        <v>0</v>
      </c>
      <c r="E34" s="687">
        <f t="shared" si="0"/>
        <v>0</v>
      </c>
      <c r="F34" s="635">
        <f>SUM(F35:F36)</f>
        <v>0</v>
      </c>
      <c r="G34" s="635">
        <f>SUM(G35:G36)</f>
        <v>0</v>
      </c>
      <c r="H34" s="688">
        <f t="shared" si="1"/>
        <v>0</v>
      </c>
    </row>
    <row r="35" spans="1:8">
      <c r="A35" s="653">
        <v>17.100000000000001</v>
      </c>
      <c r="B35" s="359" t="s">
        <v>769</v>
      </c>
      <c r="C35" s="635"/>
      <c r="D35" s="635"/>
      <c r="E35" s="687">
        <f t="shared" si="0"/>
        <v>0</v>
      </c>
      <c r="F35" s="635">
        <v>0</v>
      </c>
      <c r="G35" s="635">
        <v>0</v>
      </c>
      <c r="H35" s="688">
        <f t="shared" si="1"/>
        <v>0</v>
      </c>
    </row>
    <row r="36" spans="1:8">
      <c r="A36" s="653">
        <v>17.2</v>
      </c>
      <c r="B36" s="336" t="s">
        <v>770</v>
      </c>
      <c r="C36" s="635"/>
      <c r="D36" s="635"/>
      <c r="E36" s="687">
        <f t="shared" si="0"/>
        <v>0</v>
      </c>
      <c r="F36" s="635">
        <v>0</v>
      </c>
      <c r="G36" s="635">
        <v>0</v>
      </c>
      <c r="H36" s="688">
        <f t="shared" si="1"/>
        <v>0</v>
      </c>
    </row>
    <row r="37" spans="1:8" ht="41.55" customHeight="1">
      <c r="A37" s="653">
        <v>18</v>
      </c>
      <c r="B37" s="360" t="s">
        <v>771</v>
      </c>
      <c r="C37" s="635">
        <f>SUM(C38:C39)</f>
        <v>0</v>
      </c>
      <c r="D37" s="635">
        <f>SUM(D38:D39)</f>
        <v>0</v>
      </c>
      <c r="E37" s="687">
        <f t="shared" si="0"/>
        <v>0</v>
      </c>
      <c r="F37" s="635">
        <f>SUM(F38:F39)</f>
        <v>0</v>
      </c>
      <c r="G37" s="635">
        <f>SUM(G38:G39)</f>
        <v>0</v>
      </c>
      <c r="H37" s="688">
        <f t="shared" si="1"/>
        <v>0</v>
      </c>
    </row>
    <row r="38" spans="1:8" ht="20.399999999999999">
      <c r="A38" s="653">
        <v>18.100000000000001</v>
      </c>
      <c r="B38" s="344" t="s">
        <v>772</v>
      </c>
      <c r="C38" s="635"/>
      <c r="D38" s="635"/>
      <c r="E38" s="687">
        <f t="shared" si="0"/>
        <v>0</v>
      </c>
      <c r="F38" s="635">
        <v>0</v>
      </c>
      <c r="G38" s="635">
        <v>0</v>
      </c>
      <c r="H38" s="688">
        <f t="shared" si="1"/>
        <v>0</v>
      </c>
    </row>
    <row r="39" spans="1:8">
      <c r="A39" s="653">
        <v>18.2</v>
      </c>
      <c r="B39" s="344" t="s">
        <v>773</v>
      </c>
      <c r="C39" s="635"/>
      <c r="D39" s="635"/>
      <c r="E39" s="687">
        <f t="shared" si="0"/>
        <v>0</v>
      </c>
      <c r="F39" s="635">
        <v>0</v>
      </c>
      <c r="G39" s="635">
        <v>0</v>
      </c>
      <c r="H39" s="688">
        <f t="shared" si="1"/>
        <v>0</v>
      </c>
    </row>
    <row r="40" spans="1:8" ht="24.6" customHeight="1">
      <c r="A40" s="653">
        <v>19</v>
      </c>
      <c r="B40" s="360" t="s">
        <v>774</v>
      </c>
      <c r="C40" s="635"/>
      <c r="D40" s="635"/>
      <c r="E40" s="687">
        <f t="shared" si="0"/>
        <v>0</v>
      </c>
      <c r="F40" s="635">
        <v>0</v>
      </c>
      <c r="G40" s="635">
        <v>0</v>
      </c>
      <c r="H40" s="688">
        <f t="shared" si="1"/>
        <v>0</v>
      </c>
    </row>
    <row r="41" spans="1:8" ht="25.05" customHeight="1">
      <c r="A41" s="653">
        <v>20</v>
      </c>
      <c r="B41" s="360" t="s">
        <v>775</v>
      </c>
      <c r="C41" s="635"/>
      <c r="D41" s="635"/>
      <c r="E41" s="687">
        <f t="shared" si="0"/>
        <v>0</v>
      </c>
      <c r="F41" s="635">
        <v>0</v>
      </c>
      <c r="G41" s="635">
        <v>0</v>
      </c>
      <c r="H41" s="688">
        <f t="shared" si="1"/>
        <v>0</v>
      </c>
    </row>
    <row r="42" spans="1:8" ht="33" customHeight="1">
      <c r="A42" s="653">
        <v>21</v>
      </c>
      <c r="B42" s="361" t="s">
        <v>776</v>
      </c>
      <c r="C42" s="635"/>
      <c r="D42" s="635"/>
      <c r="E42" s="687">
        <f t="shared" si="0"/>
        <v>0</v>
      </c>
      <c r="F42" s="635">
        <v>0</v>
      </c>
      <c r="G42" s="635">
        <v>0</v>
      </c>
      <c r="H42" s="688">
        <f t="shared" si="1"/>
        <v>0</v>
      </c>
    </row>
    <row r="43" spans="1:8">
      <c r="A43" s="653">
        <v>22</v>
      </c>
      <c r="B43" s="700" t="s">
        <v>777</v>
      </c>
      <c r="C43" s="635">
        <f>SUM(C6,C13,C18,C19,C20,C21,C22,C23,C24,C25,C26,C27,C28,C29,C32,C33,C34,C37,C40,C41,C42)</f>
        <v>-478179.45</v>
      </c>
      <c r="D43" s="635">
        <f>SUM(D6,D13,D18,D19,D20,D21,D22,D23,D24,D25,D26,D27,D28,D29,D32,D33,D34,D37,D40,D41,D42)</f>
        <v>304256.82000000007</v>
      </c>
      <c r="E43" s="687">
        <f t="shared" si="0"/>
        <v>-173922.62999999995</v>
      </c>
      <c r="F43" s="635">
        <f>SUM(F6,F13,F18,F19,F20,F21,F22,F23,F24,F25,F26,F27,F28,F29,F32,F33,F34,F37,F40,F41,F42)</f>
        <v>-4568.4100000000035</v>
      </c>
      <c r="G43" s="635">
        <f>SUM(G6,G13,G18,G19,G20,G21,G22,G23,G24,G25,G26,G27,G28,G29,G32,G33,G34,G37,G40,G41,G42)</f>
        <v>0</v>
      </c>
      <c r="H43" s="688">
        <f t="shared" si="1"/>
        <v>-4568.4100000000035</v>
      </c>
    </row>
    <row r="44" spans="1:8">
      <c r="A44" s="653">
        <v>23</v>
      </c>
      <c r="B44" s="700" t="s">
        <v>778</v>
      </c>
      <c r="C44" s="635"/>
      <c r="D44" s="635"/>
      <c r="E44" s="687">
        <f t="shared" si="0"/>
        <v>0</v>
      </c>
      <c r="F44" s="635">
        <v>0</v>
      </c>
      <c r="G44" s="635">
        <v>0</v>
      </c>
      <c r="H44" s="688">
        <f t="shared" si="1"/>
        <v>0</v>
      </c>
    </row>
    <row r="45" spans="1:8" ht="15" thickBot="1">
      <c r="A45" s="701">
        <v>24</v>
      </c>
      <c r="B45" s="702" t="s">
        <v>779</v>
      </c>
      <c r="C45" s="696">
        <f>C43-C44</f>
        <v>-478179.45</v>
      </c>
      <c r="D45" s="696">
        <f>D43-D44</f>
        <v>304256.82000000007</v>
      </c>
      <c r="E45" s="697">
        <f t="shared" si="0"/>
        <v>-173922.62999999995</v>
      </c>
      <c r="F45" s="696">
        <f>F43-F44</f>
        <v>-4568.4100000000035</v>
      </c>
      <c r="G45" s="696">
        <f>G43-G44</f>
        <v>0</v>
      </c>
      <c r="H45" s="698">
        <f>F45+G45</f>
        <v>-4568.4100000000035</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M28" sqref="M28"/>
    </sheetView>
  </sheetViews>
  <sheetFormatPr defaultRowHeight="14.4"/>
  <cols>
    <col min="1" max="1" width="8.88671875" style="363"/>
    <col min="2" max="2" width="87.6640625" bestFit="1" customWidth="1"/>
    <col min="3" max="8" width="12.88671875" customWidth="1"/>
  </cols>
  <sheetData>
    <row r="1" spans="1:8">
      <c r="A1" s="10" t="s">
        <v>97</v>
      </c>
      <c r="B1" s="232" t="str">
        <f>Info!C2</f>
        <v>სს პეივ ბანკ ჯორჯია</v>
      </c>
      <c r="C1" s="9"/>
      <c r="D1" s="1"/>
      <c r="E1" s="1"/>
      <c r="F1" s="1"/>
      <c r="G1" s="1"/>
    </row>
    <row r="2" spans="1:8">
      <c r="A2" s="10" t="s">
        <v>98</v>
      </c>
      <c r="B2" s="260">
        <f>'1. key ratios'!B2</f>
        <v>45747</v>
      </c>
      <c r="C2" s="9"/>
      <c r="D2" s="1"/>
      <c r="E2" s="1"/>
      <c r="F2" s="1"/>
      <c r="G2" s="1"/>
    </row>
    <row r="3" spans="1:8" ht="15" thickBot="1">
      <c r="A3" s="10"/>
      <c r="B3" s="9"/>
      <c r="C3" s="9"/>
      <c r="D3" s="1"/>
      <c r="E3" s="1"/>
      <c r="F3" s="1"/>
      <c r="G3" s="1"/>
    </row>
    <row r="4" spans="1:8">
      <c r="A4" s="727" t="s">
        <v>25</v>
      </c>
      <c r="B4" s="740" t="s">
        <v>140</v>
      </c>
      <c r="C4" s="742" t="s">
        <v>103</v>
      </c>
      <c r="D4" s="742"/>
      <c r="E4" s="742"/>
      <c r="F4" s="742" t="s">
        <v>104</v>
      </c>
      <c r="G4" s="742"/>
      <c r="H4" s="743"/>
    </row>
    <row r="5" spans="1:8">
      <c r="A5" s="728"/>
      <c r="B5" s="741"/>
      <c r="C5" s="683" t="s">
        <v>26</v>
      </c>
      <c r="D5" s="683" t="s">
        <v>77</v>
      </c>
      <c r="E5" s="683" t="s">
        <v>66</v>
      </c>
      <c r="F5" s="683" t="s">
        <v>26</v>
      </c>
      <c r="G5" s="683" t="s">
        <v>77</v>
      </c>
      <c r="H5" s="684" t="s">
        <v>66</v>
      </c>
    </row>
    <row r="6" spans="1:8">
      <c r="A6" s="686">
        <v>1</v>
      </c>
      <c r="B6" s="703" t="s">
        <v>780</v>
      </c>
      <c r="C6" s="562"/>
      <c r="D6" s="562"/>
      <c r="E6" s="704">
        <f t="shared" ref="E6:E43" si="0">C6+D6</f>
        <v>0</v>
      </c>
      <c r="F6" s="562"/>
      <c r="G6" s="562"/>
      <c r="H6" s="705">
        <f t="shared" ref="H6:H43" si="1">F6+G6</f>
        <v>0</v>
      </c>
    </row>
    <row r="7" spans="1:8">
      <c r="A7" s="686">
        <v>2</v>
      </c>
      <c r="B7" s="703" t="s">
        <v>166</v>
      </c>
      <c r="C7" s="562"/>
      <c r="D7" s="562"/>
      <c r="E7" s="704">
        <f t="shared" si="0"/>
        <v>0</v>
      </c>
      <c r="F7" s="562"/>
      <c r="G7" s="562"/>
      <c r="H7" s="705">
        <f t="shared" si="1"/>
        <v>0</v>
      </c>
    </row>
    <row r="8" spans="1:8">
      <c r="A8" s="686">
        <v>3</v>
      </c>
      <c r="B8" s="703" t="s">
        <v>168</v>
      </c>
      <c r="C8" s="562">
        <f>C9+C10</f>
        <v>0</v>
      </c>
      <c r="D8" s="562">
        <f>D9+D10</f>
        <v>0</v>
      </c>
      <c r="E8" s="704">
        <f t="shared" si="0"/>
        <v>0</v>
      </c>
      <c r="F8" s="562">
        <f>F9+F10</f>
        <v>0</v>
      </c>
      <c r="G8" s="562">
        <f>G9+G10</f>
        <v>0</v>
      </c>
      <c r="H8" s="705">
        <f t="shared" si="1"/>
        <v>0</v>
      </c>
    </row>
    <row r="9" spans="1:8">
      <c r="A9" s="686">
        <v>3.1</v>
      </c>
      <c r="B9" s="706" t="s">
        <v>781</v>
      </c>
      <c r="C9" s="562"/>
      <c r="D9" s="562"/>
      <c r="E9" s="704">
        <f t="shared" si="0"/>
        <v>0</v>
      </c>
      <c r="F9" s="562"/>
      <c r="G9" s="562"/>
      <c r="H9" s="705">
        <f t="shared" si="1"/>
        <v>0</v>
      </c>
    </row>
    <row r="10" spans="1:8">
      <c r="A10" s="686">
        <v>3.2</v>
      </c>
      <c r="B10" s="706" t="s">
        <v>782</v>
      </c>
      <c r="C10" s="562"/>
      <c r="D10" s="562"/>
      <c r="E10" s="704">
        <f t="shared" si="0"/>
        <v>0</v>
      </c>
      <c r="F10" s="562"/>
      <c r="G10" s="562"/>
      <c r="H10" s="705">
        <f t="shared" si="1"/>
        <v>0</v>
      </c>
    </row>
    <row r="11" spans="1:8">
      <c r="A11" s="686">
        <v>4</v>
      </c>
      <c r="B11" s="703" t="s">
        <v>167</v>
      </c>
      <c r="C11" s="562">
        <f>C12+C13</f>
        <v>0</v>
      </c>
      <c r="D11" s="562">
        <f>D12+D13</f>
        <v>0</v>
      </c>
      <c r="E11" s="704">
        <f t="shared" si="0"/>
        <v>0</v>
      </c>
      <c r="F11" s="562">
        <f>F12+F13</f>
        <v>0</v>
      </c>
      <c r="G11" s="562">
        <f>G12+G13</f>
        <v>0</v>
      </c>
      <c r="H11" s="705">
        <f t="shared" si="1"/>
        <v>0</v>
      </c>
    </row>
    <row r="12" spans="1:8">
      <c r="A12" s="686">
        <v>4.0999999999999996</v>
      </c>
      <c r="B12" s="706" t="s">
        <v>783</v>
      </c>
      <c r="C12" s="562"/>
      <c r="D12" s="562"/>
      <c r="E12" s="704">
        <f t="shared" si="0"/>
        <v>0</v>
      </c>
      <c r="F12" s="562"/>
      <c r="G12" s="562"/>
      <c r="H12" s="705">
        <f t="shared" si="1"/>
        <v>0</v>
      </c>
    </row>
    <row r="13" spans="1:8">
      <c r="A13" s="686">
        <v>4.2</v>
      </c>
      <c r="B13" s="706" t="s">
        <v>784</v>
      </c>
      <c r="C13" s="562"/>
      <c r="D13" s="562"/>
      <c r="E13" s="704">
        <f t="shared" si="0"/>
        <v>0</v>
      </c>
      <c r="F13" s="562"/>
      <c r="G13" s="562"/>
      <c r="H13" s="705">
        <f t="shared" si="1"/>
        <v>0</v>
      </c>
    </row>
    <row r="14" spans="1:8">
      <c r="A14" s="686">
        <v>5</v>
      </c>
      <c r="B14" s="707" t="s">
        <v>785</v>
      </c>
      <c r="C14" s="562">
        <f>C15+C16+C17+C23+C24+C25+C26</f>
        <v>0</v>
      </c>
      <c r="D14" s="562">
        <f>D15+D16+D17+D23+D24+D25+D26</f>
        <v>0</v>
      </c>
      <c r="E14" s="704">
        <f t="shared" si="0"/>
        <v>0</v>
      </c>
      <c r="F14" s="562">
        <f>F15+F16+F17+F23+F24+F25+F26</f>
        <v>0</v>
      </c>
      <c r="G14" s="562">
        <f>G15+G16+G17+G23+G24+G25+G26</f>
        <v>0</v>
      </c>
      <c r="H14" s="705">
        <f t="shared" si="1"/>
        <v>0</v>
      </c>
    </row>
    <row r="15" spans="1:8">
      <c r="A15" s="686">
        <v>5.0999999999999996</v>
      </c>
      <c r="B15" s="708" t="s">
        <v>786</v>
      </c>
      <c r="C15" s="562"/>
      <c r="D15" s="562"/>
      <c r="E15" s="704">
        <f t="shared" si="0"/>
        <v>0</v>
      </c>
      <c r="F15" s="562"/>
      <c r="G15" s="562"/>
      <c r="H15" s="705">
        <f t="shared" si="1"/>
        <v>0</v>
      </c>
    </row>
    <row r="16" spans="1:8">
      <c r="A16" s="686">
        <v>5.2</v>
      </c>
      <c r="B16" s="708" t="s">
        <v>787</v>
      </c>
      <c r="C16" s="562"/>
      <c r="D16" s="562"/>
      <c r="E16" s="704">
        <f t="shared" si="0"/>
        <v>0</v>
      </c>
      <c r="F16" s="562"/>
      <c r="G16" s="562"/>
      <c r="H16" s="705">
        <f t="shared" si="1"/>
        <v>0</v>
      </c>
    </row>
    <row r="17" spans="1:8">
      <c r="A17" s="686">
        <v>5.3</v>
      </c>
      <c r="B17" s="708" t="s">
        <v>788</v>
      </c>
      <c r="C17" s="562">
        <f>C18+C19+C20+C21+C22</f>
        <v>0</v>
      </c>
      <c r="D17" s="562">
        <f>D18+D19+D20+D21+D22</f>
        <v>0</v>
      </c>
      <c r="E17" s="704">
        <f t="shared" si="0"/>
        <v>0</v>
      </c>
      <c r="F17" s="562"/>
      <c r="G17" s="562"/>
      <c r="H17" s="705">
        <f t="shared" si="1"/>
        <v>0</v>
      </c>
    </row>
    <row r="18" spans="1:8">
      <c r="A18" s="686" t="s">
        <v>169</v>
      </c>
      <c r="B18" s="709" t="s">
        <v>789</v>
      </c>
      <c r="C18" s="562"/>
      <c r="D18" s="562"/>
      <c r="E18" s="704">
        <f t="shared" si="0"/>
        <v>0</v>
      </c>
      <c r="F18" s="562"/>
      <c r="G18" s="562"/>
      <c r="H18" s="705">
        <f t="shared" si="1"/>
        <v>0</v>
      </c>
    </row>
    <row r="19" spans="1:8">
      <c r="A19" s="686" t="s">
        <v>170</v>
      </c>
      <c r="B19" s="710" t="s">
        <v>790</v>
      </c>
      <c r="C19" s="562"/>
      <c r="D19" s="562"/>
      <c r="E19" s="704">
        <f t="shared" si="0"/>
        <v>0</v>
      </c>
      <c r="F19" s="562"/>
      <c r="G19" s="562"/>
      <c r="H19" s="705">
        <f t="shared" si="1"/>
        <v>0</v>
      </c>
    </row>
    <row r="20" spans="1:8">
      <c r="A20" s="686" t="s">
        <v>171</v>
      </c>
      <c r="B20" s="710" t="s">
        <v>791</v>
      </c>
      <c r="C20" s="562"/>
      <c r="D20" s="562"/>
      <c r="E20" s="704">
        <f t="shared" si="0"/>
        <v>0</v>
      </c>
      <c r="F20" s="562"/>
      <c r="G20" s="562"/>
      <c r="H20" s="705">
        <f t="shared" si="1"/>
        <v>0</v>
      </c>
    </row>
    <row r="21" spans="1:8">
      <c r="A21" s="686" t="s">
        <v>172</v>
      </c>
      <c r="B21" s="710" t="s">
        <v>792</v>
      </c>
      <c r="C21" s="562"/>
      <c r="D21" s="562"/>
      <c r="E21" s="704">
        <f t="shared" si="0"/>
        <v>0</v>
      </c>
      <c r="F21" s="562"/>
      <c r="G21" s="562"/>
      <c r="H21" s="705">
        <f t="shared" si="1"/>
        <v>0</v>
      </c>
    </row>
    <row r="22" spans="1:8">
      <c r="A22" s="686" t="s">
        <v>173</v>
      </c>
      <c r="B22" s="710" t="s">
        <v>510</v>
      </c>
      <c r="C22" s="562"/>
      <c r="D22" s="562"/>
      <c r="E22" s="704">
        <f t="shared" si="0"/>
        <v>0</v>
      </c>
      <c r="F22" s="562"/>
      <c r="G22" s="562"/>
      <c r="H22" s="705">
        <f t="shared" si="1"/>
        <v>0</v>
      </c>
    </row>
    <row r="23" spans="1:8">
      <c r="A23" s="686">
        <v>5.4</v>
      </c>
      <c r="B23" s="708" t="s">
        <v>793</v>
      </c>
      <c r="C23" s="562"/>
      <c r="D23" s="562"/>
      <c r="E23" s="704">
        <f t="shared" si="0"/>
        <v>0</v>
      </c>
      <c r="F23" s="562"/>
      <c r="G23" s="562"/>
      <c r="H23" s="705">
        <f t="shared" si="1"/>
        <v>0</v>
      </c>
    </row>
    <row r="24" spans="1:8">
      <c r="A24" s="686">
        <v>5.5</v>
      </c>
      <c r="B24" s="708" t="s">
        <v>794</v>
      </c>
      <c r="C24" s="562"/>
      <c r="D24" s="562"/>
      <c r="E24" s="704">
        <f t="shared" si="0"/>
        <v>0</v>
      </c>
      <c r="F24" s="562"/>
      <c r="G24" s="562"/>
      <c r="H24" s="705">
        <f t="shared" si="1"/>
        <v>0</v>
      </c>
    </row>
    <row r="25" spans="1:8">
      <c r="A25" s="686">
        <v>5.6</v>
      </c>
      <c r="B25" s="708" t="s">
        <v>795</v>
      </c>
      <c r="C25" s="562"/>
      <c r="D25" s="562"/>
      <c r="E25" s="704">
        <f t="shared" si="0"/>
        <v>0</v>
      </c>
      <c r="F25" s="562"/>
      <c r="G25" s="562"/>
      <c r="H25" s="705">
        <f t="shared" si="1"/>
        <v>0</v>
      </c>
    </row>
    <row r="26" spans="1:8">
      <c r="A26" s="686">
        <v>5.7</v>
      </c>
      <c r="B26" s="708" t="s">
        <v>510</v>
      </c>
      <c r="C26" s="562"/>
      <c r="D26" s="562"/>
      <c r="E26" s="704">
        <f t="shared" si="0"/>
        <v>0</v>
      </c>
      <c r="F26" s="562"/>
      <c r="G26" s="562"/>
      <c r="H26" s="705">
        <f t="shared" si="1"/>
        <v>0</v>
      </c>
    </row>
    <row r="27" spans="1:8">
      <c r="A27" s="686">
        <v>6</v>
      </c>
      <c r="B27" s="707" t="s">
        <v>796</v>
      </c>
      <c r="C27" s="562"/>
      <c r="D27" s="562"/>
      <c r="E27" s="704">
        <f t="shared" si="0"/>
        <v>0</v>
      </c>
      <c r="F27" s="562"/>
      <c r="G27" s="562"/>
      <c r="H27" s="705">
        <f t="shared" si="1"/>
        <v>0</v>
      </c>
    </row>
    <row r="28" spans="1:8">
      <c r="A28" s="686">
        <v>7</v>
      </c>
      <c r="B28" s="707" t="s">
        <v>797</v>
      </c>
      <c r="C28" s="562"/>
      <c r="D28" s="562"/>
      <c r="E28" s="704">
        <f t="shared" si="0"/>
        <v>0</v>
      </c>
      <c r="F28" s="562"/>
      <c r="G28" s="562"/>
      <c r="H28" s="705">
        <f t="shared" si="1"/>
        <v>0</v>
      </c>
    </row>
    <row r="29" spans="1:8">
      <c r="A29" s="686">
        <v>8</v>
      </c>
      <c r="B29" s="707" t="s">
        <v>798</v>
      </c>
      <c r="C29" s="562"/>
      <c r="D29" s="562"/>
      <c r="E29" s="704">
        <f t="shared" si="0"/>
        <v>0</v>
      </c>
      <c r="F29" s="562"/>
      <c r="G29" s="562"/>
      <c r="H29" s="705">
        <f t="shared" si="1"/>
        <v>0</v>
      </c>
    </row>
    <row r="30" spans="1:8">
      <c r="A30" s="686">
        <v>9</v>
      </c>
      <c r="B30" s="703" t="s">
        <v>174</v>
      </c>
      <c r="C30" s="562">
        <f>C31+C32+C33+C34+C35+C36+C37</f>
        <v>0</v>
      </c>
      <c r="D30" s="562">
        <f>D31+D32+D33+D34+D35+D36+D37</f>
        <v>0</v>
      </c>
      <c r="E30" s="704">
        <f t="shared" si="0"/>
        <v>0</v>
      </c>
      <c r="F30" s="562">
        <f>F31+F32+F33+F34+F35+F36+F37</f>
        <v>0</v>
      </c>
      <c r="G30" s="562">
        <f>G31+G32+G33+G34+G35+G36+G37</f>
        <v>0</v>
      </c>
      <c r="H30" s="705">
        <f t="shared" si="1"/>
        <v>0</v>
      </c>
    </row>
    <row r="31" spans="1:8" ht="27.6">
      <c r="A31" s="686">
        <v>9.1</v>
      </c>
      <c r="B31" s="706" t="s">
        <v>799</v>
      </c>
      <c r="C31" s="562"/>
      <c r="D31" s="562"/>
      <c r="E31" s="704">
        <f t="shared" si="0"/>
        <v>0</v>
      </c>
      <c r="F31" s="562"/>
      <c r="G31" s="562"/>
      <c r="H31" s="705">
        <f t="shared" si="1"/>
        <v>0</v>
      </c>
    </row>
    <row r="32" spans="1:8" ht="27.6">
      <c r="A32" s="686">
        <v>9.1999999999999993</v>
      </c>
      <c r="B32" s="706" t="s">
        <v>800</v>
      </c>
      <c r="C32" s="562"/>
      <c r="D32" s="562"/>
      <c r="E32" s="704">
        <f t="shared" si="0"/>
        <v>0</v>
      </c>
      <c r="F32" s="562"/>
      <c r="G32" s="562"/>
      <c r="H32" s="705">
        <f t="shared" si="1"/>
        <v>0</v>
      </c>
    </row>
    <row r="33" spans="1:8" ht="27.6">
      <c r="A33" s="686">
        <v>9.3000000000000007</v>
      </c>
      <c r="B33" s="706" t="s">
        <v>801</v>
      </c>
      <c r="C33" s="562"/>
      <c r="D33" s="562"/>
      <c r="E33" s="704">
        <f t="shared" si="0"/>
        <v>0</v>
      </c>
      <c r="F33" s="562"/>
      <c r="G33" s="562"/>
      <c r="H33" s="705">
        <f t="shared" si="1"/>
        <v>0</v>
      </c>
    </row>
    <row r="34" spans="1:8">
      <c r="A34" s="686">
        <v>9.4</v>
      </c>
      <c r="B34" s="706" t="s">
        <v>802</v>
      </c>
      <c r="C34" s="562"/>
      <c r="D34" s="562"/>
      <c r="E34" s="704">
        <f t="shared" si="0"/>
        <v>0</v>
      </c>
      <c r="F34" s="562"/>
      <c r="G34" s="562"/>
      <c r="H34" s="705">
        <f t="shared" si="1"/>
        <v>0</v>
      </c>
    </row>
    <row r="35" spans="1:8">
      <c r="A35" s="686">
        <v>9.5</v>
      </c>
      <c r="B35" s="706" t="s">
        <v>803</v>
      </c>
      <c r="C35" s="562"/>
      <c r="D35" s="562"/>
      <c r="E35" s="704">
        <f t="shared" si="0"/>
        <v>0</v>
      </c>
      <c r="F35" s="562"/>
      <c r="G35" s="562"/>
      <c r="H35" s="705">
        <f t="shared" si="1"/>
        <v>0</v>
      </c>
    </row>
    <row r="36" spans="1:8" ht="27.6">
      <c r="A36" s="686">
        <v>9.6</v>
      </c>
      <c r="B36" s="706" t="s">
        <v>804</v>
      </c>
      <c r="C36" s="562"/>
      <c r="D36" s="562"/>
      <c r="E36" s="704">
        <f t="shared" si="0"/>
        <v>0</v>
      </c>
      <c r="F36" s="562"/>
      <c r="G36" s="562"/>
      <c r="H36" s="705">
        <f t="shared" si="1"/>
        <v>0</v>
      </c>
    </row>
    <row r="37" spans="1:8" ht="27.6">
      <c r="A37" s="686">
        <v>9.6999999999999993</v>
      </c>
      <c r="B37" s="706" t="s">
        <v>805</v>
      </c>
      <c r="C37" s="562"/>
      <c r="D37" s="562"/>
      <c r="E37" s="704">
        <f t="shared" si="0"/>
        <v>0</v>
      </c>
      <c r="F37" s="562"/>
      <c r="G37" s="562"/>
      <c r="H37" s="705">
        <f t="shared" si="1"/>
        <v>0</v>
      </c>
    </row>
    <row r="38" spans="1:8">
      <c r="A38" s="686">
        <v>10</v>
      </c>
      <c r="B38" s="707" t="s">
        <v>806</v>
      </c>
      <c r="C38" s="562">
        <f>C41+C42</f>
        <v>0</v>
      </c>
      <c r="D38" s="562">
        <f>D41+D42</f>
        <v>0</v>
      </c>
      <c r="E38" s="704">
        <f t="shared" si="0"/>
        <v>0</v>
      </c>
      <c r="F38" s="562">
        <f>F41+F42</f>
        <v>0</v>
      </c>
      <c r="G38" s="562">
        <f>G41+G42</f>
        <v>0</v>
      </c>
      <c r="H38" s="705">
        <f t="shared" si="1"/>
        <v>0</v>
      </c>
    </row>
    <row r="39" spans="1:8">
      <c r="A39" s="686">
        <v>10.1</v>
      </c>
      <c r="B39" s="706" t="s">
        <v>807</v>
      </c>
      <c r="C39" s="562"/>
      <c r="D39" s="562"/>
      <c r="E39" s="704">
        <f t="shared" si="0"/>
        <v>0</v>
      </c>
      <c r="F39" s="562"/>
      <c r="G39" s="562"/>
      <c r="H39" s="705">
        <f t="shared" si="1"/>
        <v>0</v>
      </c>
    </row>
    <row r="40" spans="1:8" ht="27.6">
      <c r="A40" s="686">
        <v>10.199999999999999</v>
      </c>
      <c r="B40" s="706" t="s">
        <v>808</v>
      </c>
      <c r="C40" s="562"/>
      <c r="D40" s="562"/>
      <c r="E40" s="704">
        <f t="shared" si="0"/>
        <v>0</v>
      </c>
      <c r="F40" s="562"/>
      <c r="G40" s="562"/>
      <c r="H40" s="705">
        <f t="shared" si="1"/>
        <v>0</v>
      </c>
    </row>
    <row r="41" spans="1:8" ht="27.6">
      <c r="A41" s="686">
        <v>10.3</v>
      </c>
      <c r="B41" s="706" t="s">
        <v>809</v>
      </c>
      <c r="C41" s="562"/>
      <c r="D41" s="562"/>
      <c r="E41" s="704">
        <f t="shared" si="0"/>
        <v>0</v>
      </c>
      <c r="F41" s="562"/>
      <c r="G41" s="562"/>
      <c r="H41" s="705">
        <f t="shared" si="1"/>
        <v>0</v>
      </c>
    </row>
    <row r="42" spans="1:8" ht="27.6">
      <c r="A42" s="686">
        <v>10.4</v>
      </c>
      <c r="B42" s="706" t="s">
        <v>810</v>
      </c>
      <c r="C42" s="562"/>
      <c r="D42" s="562"/>
      <c r="E42" s="704">
        <f t="shared" si="0"/>
        <v>0</v>
      </c>
      <c r="F42" s="562"/>
      <c r="G42" s="562"/>
      <c r="H42" s="705">
        <f t="shared" si="1"/>
        <v>0</v>
      </c>
    </row>
    <row r="43" spans="1:8" ht="15" thickBot="1">
      <c r="A43" s="694">
        <v>11</v>
      </c>
      <c r="B43" s="711" t="s">
        <v>175</v>
      </c>
      <c r="C43" s="712"/>
      <c r="D43" s="712"/>
      <c r="E43" s="713">
        <f t="shared" si="0"/>
        <v>0</v>
      </c>
      <c r="F43" s="712"/>
      <c r="G43" s="712"/>
      <c r="H43" s="714">
        <f t="shared" si="1"/>
        <v>0</v>
      </c>
    </row>
    <row r="44" spans="1:8">
      <c r="C44" s="364"/>
      <c r="D44" s="364"/>
      <c r="E44" s="364"/>
      <c r="F44" s="364"/>
      <c r="G44" s="364"/>
      <c r="H44" s="364"/>
    </row>
    <row r="45" spans="1:8">
      <c r="C45" s="364"/>
      <c r="D45" s="364"/>
      <c r="E45" s="364"/>
      <c r="F45" s="364"/>
      <c r="G45" s="364"/>
      <c r="H45" s="364"/>
    </row>
    <row r="46" spans="1:8">
      <c r="C46" s="364"/>
      <c r="D46" s="364"/>
      <c r="E46" s="364"/>
      <c r="F46" s="364"/>
      <c r="G46" s="364"/>
      <c r="H46" s="364"/>
    </row>
    <row r="47" spans="1:8">
      <c r="C47" s="364"/>
      <c r="D47" s="364"/>
      <c r="E47" s="364"/>
      <c r="F47" s="364"/>
      <c r="G47" s="364"/>
      <c r="H47" s="36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F23" sqref="F23"/>
    </sheetView>
  </sheetViews>
  <sheetFormatPr defaultColWidth="9.109375" defaultRowHeight="13.8"/>
  <cols>
    <col min="1" max="1" width="9.44140625" style="1" bestFit="1" customWidth="1"/>
    <col min="2" max="2" width="93.44140625" style="1" customWidth="1"/>
    <col min="3" max="4" width="12.88671875" style="1" customWidth="1"/>
    <col min="5" max="8" width="9.88671875" style="5" customWidth="1"/>
    <col min="9" max="16384" width="9.109375" style="5"/>
  </cols>
  <sheetData>
    <row r="1" spans="1:7">
      <c r="A1" s="10" t="s">
        <v>97</v>
      </c>
      <c r="B1" s="9" t="str">
        <f>Info!C2</f>
        <v>სს პეივ ბანკ ჯორჯია</v>
      </c>
      <c r="C1" s="9"/>
    </row>
    <row r="2" spans="1:7">
      <c r="A2" s="10" t="s">
        <v>98</v>
      </c>
      <c r="B2" s="260">
        <f>'1. key ratios'!B2</f>
        <v>45747</v>
      </c>
      <c r="C2" s="9"/>
    </row>
    <row r="3" spans="1:7">
      <c r="A3" s="10"/>
      <c r="B3" s="9"/>
      <c r="C3" s="9"/>
    </row>
    <row r="4" spans="1:7" ht="15" customHeight="1" thickBot="1">
      <c r="A4" s="1" t="s">
        <v>242</v>
      </c>
      <c r="B4" s="19" t="s">
        <v>96</v>
      </c>
      <c r="C4" s="636" t="s">
        <v>76</v>
      </c>
    </row>
    <row r="5" spans="1:7" ht="15" customHeight="1">
      <c r="A5" s="643" t="s">
        <v>25</v>
      </c>
      <c r="B5" s="644"/>
      <c r="C5" s="244" t="str">
        <f>INT((MONTH($B$2))/3)&amp;"Q"&amp;"-"&amp;YEAR($B$2)</f>
        <v>1Q-2025</v>
      </c>
      <c r="D5" s="244" t="str">
        <f>IF(INT(MONTH($B$2))=3, "4"&amp;"Q"&amp;"-"&amp;YEAR($B$2)-1, IF(INT(MONTH($B$2))=6, "1"&amp;"Q"&amp;"-"&amp;YEAR($B$2), IF(INT(MONTH($B$2))=9, "2"&amp;"Q"&amp;"-"&amp;YEAR($B$2),IF(INT(MONTH($B$2))=12, "3"&amp;"Q"&amp;"-"&amp;YEAR($B$2), 0))))</f>
        <v>4Q-2024</v>
      </c>
      <c r="E5" s="244" t="str">
        <f>IF(INT(MONTH($B$2))=3, "3"&amp;"Q"&amp;"-"&amp;YEAR($B$2)-1, IF(INT(MONTH($B$2))=6, "4"&amp;"Q"&amp;"-"&amp;YEAR($B$2)-1, IF(INT(MONTH($B$2))=9, "1"&amp;"Q"&amp;"-"&amp;YEAR($B$2),IF(INT(MONTH($B$2))=12, "2"&amp;"Q"&amp;"-"&amp;YEAR($B$2), 0))))</f>
        <v>3Q-2024</v>
      </c>
      <c r="F5" s="244" t="str">
        <f>IF(INT(MONTH($B$2))=3, "2"&amp;"Q"&amp;"-"&amp;YEAR($B$2)-1, IF(INT(MONTH($B$2))=6, "3"&amp;"Q"&amp;"-"&amp;YEAR($B$2)-1, IF(INT(MONTH($B$2))=9, "4"&amp;"Q"&amp;"-"&amp;YEAR($B$2)-1,IF(INT(MONTH($B$2))=12, "1"&amp;"Q"&amp;"-"&amp;YEAR($B$2), 0))))</f>
        <v>2Q-2024</v>
      </c>
      <c r="G5" s="245" t="str">
        <f>IF(INT(MONTH($B$2))=3, "1"&amp;"Q"&amp;"-"&amp;YEAR($B$2)-1, IF(INT(MONTH($B$2))=6, "2"&amp;"Q"&amp;"-"&amp;YEAR($B$2)-1, IF(INT(MONTH($B$2))=9, "3"&amp;"Q"&amp;"-"&amp;YEAR($B$2)-1,IF(INT(MONTH($B$2))=12, "4"&amp;"Q"&amp;"-"&amp;YEAR($B$2)-1, 0))))</f>
        <v>1Q-2024</v>
      </c>
    </row>
    <row r="6" spans="1:7" ht="15" customHeight="1">
      <c r="A6" s="645">
        <v>1</v>
      </c>
      <c r="B6" s="637" t="s">
        <v>101</v>
      </c>
      <c r="C6" s="638">
        <f>C7+C9+C10</f>
        <v>21136257.579999998</v>
      </c>
      <c r="D6" s="638">
        <f>D7+D9+D10</f>
        <v>2491048.2879999997</v>
      </c>
      <c r="E6" s="638">
        <f t="shared" ref="E6:G6" si="0">E7+E9+E10</f>
        <v>8040672.950000002</v>
      </c>
      <c r="F6" s="638">
        <f t="shared" si="0"/>
        <v>8445428.2599999998</v>
      </c>
      <c r="G6" s="646">
        <f t="shared" si="0"/>
        <v>5280826</v>
      </c>
    </row>
    <row r="7" spans="1:7" ht="15" customHeight="1">
      <c r="A7" s="645">
        <v>1.1000000000000001</v>
      </c>
      <c r="B7" s="639" t="s">
        <v>995</v>
      </c>
      <c r="C7" s="640">
        <v>21136257.579999998</v>
      </c>
      <c r="D7" s="640">
        <v>2491048.2879999997</v>
      </c>
      <c r="E7" s="640">
        <v>8040672.950000002</v>
      </c>
      <c r="F7" s="640">
        <v>8445428.2599999998</v>
      </c>
      <c r="G7" s="647">
        <v>5280826</v>
      </c>
    </row>
    <row r="8" spans="1:7" ht="27.6">
      <c r="A8" s="645" t="s">
        <v>146</v>
      </c>
      <c r="B8" s="641" t="s">
        <v>239</v>
      </c>
      <c r="C8" s="640">
        <v>0</v>
      </c>
      <c r="D8" s="640">
        <v>0</v>
      </c>
      <c r="E8" s="640">
        <v>0</v>
      </c>
      <c r="F8" s="640">
        <v>0</v>
      </c>
      <c r="G8" s="647">
        <v>0</v>
      </c>
    </row>
    <row r="9" spans="1:7" ht="15" customHeight="1">
      <c r="A9" s="645">
        <v>1.2</v>
      </c>
      <c r="B9" s="639" t="s">
        <v>21</v>
      </c>
      <c r="C9" s="640">
        <v>0</v>
      </c>
      <c r="D9" s="640">
        <v>0</v>
      </c>
      <c r="E9" s="640">
        <v>0</v>
      </c>
      <c r="F9" s="640">
        <v>0</v>
      </c>
      <c r="G9" s="647">
        <v>0</v>
      </c>
    </row>
    <row r="10" spans="1:7" ht="15" customHeight="1">
      <c r="A10" s="645">
        <v>1.3</v>
      </c>
      <c r="B10" s="642" t="s">
        <v>73</v>
      </c>
      <c r="C10" s="640">
        <v>0</v>
      </c>
      <c r="D10" s="640">
        <v>0</v>
      </c>
      <c r="E10" s="640">
        <v>0</v>
      </c>
      <c r="F10" s="640">
        <v>0</v>
      </c>
      <c r="G10" s="647">
        <v>0</v>
      </c>
    </row>
    <row r="11" spans="1:7" ht="15" customHeight="1">
      <c r="A11" s="645">
        <v>2</v>
      </c>
      <c r="B11" s="637" t="s">
        <v>102</v>
      </c>
      <c r="C11" s="640">
        <v>490516.39999997796</v>
      </c>
      <c r="D11" s="640">
        <v>430596.87999999995</v>
      </c>
      <c r="E11" s="640">
        <v>837759.44010199956</v>
      </c>
      <c r="F11" s="640">
        <v>827136.84010200039</v>
      </c>
      <c r="G11" s="647">
        <v>206001</v>
      </c>
    </row>
    <row r="12" spans="1:7" ht="15" customHeight="1">
      <c r="A12" s="645">
        <v>3</v>
      </c>
      <c r="B12" s="637" t="s">
        <v>100</v>
      </c>
      <c r="C12" s="640">
        <v>204515.16175999999</v>
      </c>
      <c r="D12" s="640">
        <v>204515.16175999999</v>
      </c>
      <c r="E12" s="640">
        <v>0</v>
      </c>
      <c r="F12" s="640">
        <v>0</v>
      </c>
      <c r="G12" s="647">
        <v>0</v>
      </c>
    </row>
    <row r="13" spans="1:7" ht="15" customHeight="1" thickBot="1">
      <c r="A13" s="648">
        <v>4</v>
      </c>
      <c r="B13" s="649" t="s">
        <v>147</v>
      </c>
      <c r="C13" s="650">
        <f>C6+C11+C12</f>
        <v>21831289.141759973</v>
      </c>
      <c r="D13" s="650">
        <f>D6+D11+D12</f>
        <v>3126160.3297599996</v>
      </c>
      <c r="E13" s="650">
        <f t="shared" ref="E13:G13" si="1">E6+E11+E12</f>
        <v>8878432.3901020009</v>
      </c>
      <c r="F13" s="650">
        <f t="shared" si="1"/>
        <v>9272565.1001019999</v>
      </c>
      <c r="G13" s="651">
        <f t="shared" si="1"/>
        <v>5486827</v>
      </c>
    </row>
    <row r="14" spans="1:7">
      <c r="B14" s="14"/>
    </row>
    <row r="15" spans="1:7">
      <c r="B15" s="14"/>
    </row>
    <row r="16" spans="1:7">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0" zoomScaleNormal="80" workbookViewId="0">
      <pane xSplit="1" ySplit="4" topLeftCell="B5" activePane="bottomRight" state="frozen"/>
      <selection pane="topRight" activeCell="B1" sqref="B1"/>
      <selection pane="bottomLeft" activeCell="A4" sqref="A4"/>
      <selection pane="bottomRight" activeCell="G29" sqref="G29"/>
    </sheetView>
  </sheetViews>
  <sheetFormatPr defaultRowHeight="14.4"/>
  <cols>
    <col min="1" max="1" width="9.44140625" style="1" bestFit="1" customWidth="1"/>
    <col min="2" max="2" width="58.88671875" style="1" customWidth="1"/>
    <col min="3" max="3" width="34.109375" style="1" customWidth="1"/>
  </cols>
  <sheetData>
    <row r="1" spans="1:8">
      <c r="A1" s="1" t="s">
        <v>97</v>
      </c>
      <c r="B1" s="1" t="str">
        <f>Info!C2</f>
        <v>სს პეივ ბანკ ჯორჯია</v>
      </c>
    </row>
    <row r="2" spans="1:8">
      <c r="A2" s="1" t="s">
        <v>98</v>
      </c>
      <c r="B2" s="260">
        <f>'1. key ratios'!B2</f>
        <v>45747</v>
      </c>
    </row>
    <row r="4" spans="1:8" ht="25.5" customHeight="1" thickBot="1">
      <c r="A4" s="124" t="s">
        <v>243</v>
      </c>
      <c r="B4" s="20" t="s">
        <v>80</v>
      </c>
      <c r="C4" s="6"/>
    </row>
    <row r="5" spans="1:8">
      <c r="A5" s="4"/>
      <c r="B5" s="234" t="s">
        <v>81</v>
      </c>
      <c r="C5" s="242" t="s">
        <v>419</v>
      </c>
    </row>
    <row r="6" spans="1:8" ht="15">
      <c r="A6" s="7">
        <v>1</v>
      </c>
      <c r="B6" s="21" t="s">
        <v>1000</v>
      </c>
      <c r="C6" s="238" t="s">
        <v>1001</v>
      </c>
    </row>
    <row r="7" spans="1:8" ht="15">
      <c r="A7" s="7">
        <v>2</v>
      </c>
      <c r="B7" s="21" t="s">
        <v>1002</v>
      </c>
      <c r="C7" s="238" t="s">
        <v>1003</v>
      </c>
    </row>
    <row r="8" spans="1:8" ht="15">
      <c r="A8" s="7">
        <v>3</v>
      </c>
      <c r="B8" s="21" t="s">
        <v>1004</v>
      </c>
      <c r="C8" s="238" t="s">
        <v>1001</v>
      </c>
    </row>
    <row r="9" spans="1:8" ht="15">
      <c r="A9" s="7">
        <v>4</v>
      </c>
      <c r="B9" s="21"/>
      <c r="C9" s="238"/>
    </row>
    <row r="10" spans="1:8" ht="15">
      <c r="A10" s="7">
        <v>5</v>
      </c>
      <c r="B10" s="21"/>
      <c r="C10" s="238"/>
    </row>
    <row r="11" spans="1:8" ht="15">
      <c r="A11" s="7">
        <v>6</v>
      </c>
      <c r="B11" s="21"/>
      <c r="C11" s="238"/>
    </row>
    <row r="12" spans="1:8" ht="15">
      <c r="A12" s="7">
        <v>7</v>
      </c>
      <c r="B12" s="21"/>
      <c r="C12" s="238"/>
      <c r="H12" s="2"/>
    </row>
    <row r="13" spans="1:8" ht="15">
      <c r="A13" s="7">
        <v>8</v>
      </c>
      <c r="B13" s="21"/>
      <c r="C13" s="238"/>
    </row>
    <row r="14" spans="1:8" ht="15">
      <c r="A14" s="7">
        <v>9</v>
      </c>
      <c r="B14" s="21"/>
      <c r="C14" s="238"/>
    </row>
    <row r="15" spans="1:8" ht="15">
      <c r="A15" s="7">
        <v>10</v>
      </c>
      <c r="B15" s="21"/>
      <c r="C15" s="238"/>
    </row>
    <row r="16" spans="1:8" ht="15">
      <c r="A16" s="7"/>
      <c r="B16" s="744"/>
      <c r="C16" s="745"/>
    </row>
    <row r="17" spans="1:3" ht="55.2">
      <c r="A17" s="7"/>
      <c r="B17" s="235" t="s">
        <v>82</v>
      </c>
      <c r="C17" s="243" t="s">
        <v>420</v>
      </c>
    </row>
    <row r="18" spans="1:3">
      <c r="A18" s="7">
        <v>1</v>
      </c>
      <c r="B18" s="17" t="s">
        <v>1005</v>
      </c>
      <c r="C18" s="240" t="s">
        <v>1006</v>
      </c>
    </row>
    <row r="19" spans="1:3">
      <c r="A19" s="7">
        <v>2</v>
      </c>
      <c r="B19" s="17" t="s">
        <v>1007</v>
      </c>
      <c r="C19" s="240" t="s">
        <v>1008</v>
      </c>
    </row>
    <row r="20" spans="1:3">
      <c r="A20" s="7">
        <v>3</v>
      </c>
      <c r="B20" s="17" t="s">
        <v>1009</v>
      </c>
      <c r="C20" s="240" t="s">
        <v>1010</v>
      </c>
    </row>
    <row r="21" spans="1:3">
      <c r="A21" s="7">
        <v>4</v>
      </c>
      <c r="B21" s="17"/>
      <c r="C21" s="240"/>
    </row>
    <row r="22" spans="1:3">
      <c r="A22" s="7">
        <v>5</v>
      </c>
      <c r="B22" s="17"/>
      <c r="C22" s="240"/>
    </row>
    <row r="23" spans="1:3">
      <c r="A23" s="7">
        <v>6</v>
      </c>
      <c r="B23" s="17"/>
      <c r="C23" s="240"/>
    </row>
    <row r="24" spans="1:3">
      <c r="A24" s="7">
        <v>7</v>
      </c>
      <c r="B24" s="17"/>
      <c r="C24" s="240"/>
    </row>
    <row r="25" spans="1:3">
      <c r="A25" s="7">
        <v>8</v>
      </c>
      <c r="B25" s="17"/>
      <c r="C25" s="240"/>
    </row>
    <row r="26" spans="1:3">
      <c r="A26" s="7">
        <v>9</v>
      </c>
      <c r="B26" s="17"/>
      <c r="C26" s="240"/>
    </row>
    <row r="27" spans="1:3" ht="15.75" customHeight="1">
      <c r="A27" s="7">
        <v>10</v>
      </c>
      <c r="B27" s="17"/>
      <c r="C27" s="241"/>
    </row>
    <row r="28" spans="1:3" ht="15.75" customHeight="1">
      <c r="A28" s="7"/>
      <c r="B28" s="17"/>
      <c r="C28" s="18"/>
    </row>
    <row r="29" spans="1:3" ht="30" customHeight="1">
      <c r="A29" s="7"/>
      <c r="B29" s="746" t="s">
        <v>83</v>
      </c>
      <c r="C29" s="747"/>
    </row>
    <row r="30" spans="1:3" ht="15">
      <c r="A30" s="7">
        <v>1</v>
      </c>
      <c r="B30" s="21" t="s">
        <v>1011</v>
      </c>
      <c r="C30" s="617">
        <v>1</v>
      </c>
    </row>
    <row r="31" spans="1:3" ht="15.75" customHeight="1">
      <c r="A31" s="7"/>
      <c r="B31" s="21"/>
      <c r="C31" s="22"/>
    </row>
    <row r="32" spans="1:3" ht="29.25" customHeight="1">
      <c r="A32" s="7"/>
      <c r="B32" s="746" t="s">
        <v>163</v>
      </c>
      <c r="C32" s="747"/>
    </row>
    <row r="33" spans="1:3" ht="15">
      <c r="A33" s="7">
        <v>1</v>
      </c>
      <c r="B33" s="21" t="s">
        <v>1005</v>
      </c>
      <c r="C33" s="620">
        <v>0.7087</v>
      </c>
    </row>
    <row r="34" spans="1:3" ht="15">
      <c r="A34" s="618">
        <v>2</v>
      </c>
      <c r="B34" s="619" t="s">
        <v>1007</v>
      </c>
      <c r="C34" s="621">
        <v>0.12330000000000001</v>
      </c>
    </row>
    <row r="35" spans="1:3" ht="15">
      <c r="A35" s="618">
        <v>3</v>
      </c>
      <c r="B35" s="619" t="s">
        <v>1009</v>
      </c>
      <c r="C35" s="621">
        <v>0.16800000000000001</v>
      </c>
    </row>
    <row r="36" spans="1:3" ht="15.6" thickBot="1">
      <c r="A36" s="8"/>
      <c r="B36" s="23"/>
      <c r="C36" s="239"/>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F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H9" sqref="H9"/>
    </sheetView>
  </sheetViews>
  <sheetFormatPr defaultRowHeight="14.4"/>
  <cols>
    <col min="1" max="1" width="9.44140625" style="1" bestFit="1" customWidth="1"/>
    <col min="2" max="2" width="47.44140625" style="1" customWidth="1"/>
    <col min="3" max="3" width="28" style="1" customWidth="1"/>
    <col min="4" max="4" width="25.6640625" style="1" customWidth="1"/>
    <col min="5" max="5" width="18.88671875" style="1" customWidth="1"/>
    <col min="6" max="6" width="12" bestFit="1" customWidth="1"/>
  </cols>
  <sheetData>
    <row r="1" spans="1:5">
      <c r="A1" s="10" t="s">
        <v>97</v>
      </c>
      <c r="B1" s="9" t="str">
        <f>Info!C2</f>
        <v>სს პეივ ბანკ ჯორჯია</v>
      </c>
    </row>
    <row r="2" spans="1:5" s="10" customFormat="1" ht="15.75" customHeight="1">
      <c r="A2" s="10" t="s">
        <v>98</v>
      </c>
      <c r="B2" s="260">
        <f>'1. key ratios'!B2</f>
        <v>45747</v>
      </c>
    </row>
    <row r="3" spans="1:5" s="10" customFormat="1" ht="15.75" customHeight="1"/>
    <row r="4" spans="1:5" s="10" customFormat="1" ht="15.75" customHeight="1" thickBot="1">
      <c r="A4" s="125" t="s">
        <v>244</v>
      </c>
      <c r="B4" s="126" t="s">
        <v>157</v>
      </c>
      <c r="C4" s="95"/>
      <c r="D4" s="95"/>
      <c r="E4" s="96" t="s">
        <v>76</v>
      </c>
    </row>
    <row r="5" spans="1:5" s="56" customFormat="1" ht="17.55" customHeight="1">
      <c r="A5" s="196"/>
      <c r="B5" s="197"/>
      <c r="C5" s="94" t="s">
        <v>0</v>
      </c>
      <c r="D5" s="94" t="s">
        <v>1</v>
      </c>
      <c r="E5" s="198" t="s">
        <v>2</v>
      </c>
    </row>
    <row r="6" spans="1:5" ht="14.55" customHeight="1">
      <c r="A6" s="652"/>
      <c r="B6" s="748" t="s">
        <v>133</v>
      </c>
      <c r="C6" s="748" t="s">
        <v>824</v>
      </c>
      <c r="D6" s="749" t="s">
        <v>132</v>
      </c>
      <c r="E6" s="750"/>
    </row>
    <row r="7" spans="1:5" ht="99.6" customHeight="1">
      <c r="A7" s="652"/>
      <c r="B7" s="748"/>
      <c r="C7" s="748"/>
      <c r="D7" s="194" t="s">
        <v>131</v>
      </c>
      <c r="E7" s="195" t="s">
        <v>341</v>
      </c>
    </row>
    <row r="8" spans="1:5" ht="22.5" customHeight="1">
      <c r="A8" s="653">
        <v>1</v>
      </c>
      <c r="B8" s="654" t="s">
        <v>811</v>
      </c>
      <c r="C8" s="655">
        <f>SUM(C9:C11)</f>
        <v>30026833.66</v>
      </c>
      <c r="D8" s="655">
        <f t="shared" ref="D8:E8" si="0">SUM(D9:D11)</f>
        <v>0</v>
      </c>
      <c r="E8" s="656">
        <f t="shared" si="0"/>
        <v>30026833.66</v>
      </c>
    </row>
    <row r="9" spans="1:5">
      <c r="A9" s="653">
        <v>1.1000000000000001</v>
      </c>
      <c r="B9" s="657" t="s">
        <v>85</v>
      </c>
      <c r="C9" s="655">
        <f>'2. SOFP'!E8</f>
        <v>0</v>
      </c>
      <c r="D9" s="655"/>
      <c r="E9" s="656">
        <f>C9</f>
        <v>0</v>
      </c>
    </row>
    <row r="10" spans="1:5">
      <c r="A10" s="653">
        <v>1.2</v>
      </c>
      <c r="B10" s="657" t="s">
        <v>86</v>
      </c>
      <c r="C10" s="655">
        <f>'2. SOFP'!E9</f>
        <v>17024432.120000001</v>
      </c>
      <c r="D10" s="655"/>
      <c r="E10" s="656">
        <f>C10</f>
        <v>17024432.120000001</v>
      </c>
    </row>
    <row r="11" spans="1:5">
      <c r="A11" s="653">
        <v>1.3</v>
      </c>
      <c r="B11" s="657" t="s">
        <v>87</v>
      </c>
      <c r="C11" s="655">
        <f>'2. SOFP'!E10</f>
        <v>13002401.539999999</v>
      </c>
      <c r="D11" s="655"/>
      <c r="E11" s="656">
        <f>C11</f>
        <v>13002401.539999999</v>
      </c>
    </row>
    <row r="12" spans="1:5">
      <c r="A12" s="653">
        <v>2</v>
      </c>
      <c r="B12" s="658" t="s">
        <v>698</v>
      </c>
      <c r="C12" s="655">
        <f>'2. SOFP'!E11</f>
        <v>0</v>
      </c>
      <c r="D12" s="655"/>
      <c r="E12" s="656"/>
    </row>
    <row r="13" spans="1:5">
      <c r="A13" s="653">
        <v>2.1</v>
      </c>
      <c r="B13" s="659" t="s">
        <v>699</v>
      </c>
      <c r="C13" s="655">
        <f>'2. SOFP'!E12</f>
        <v>0</v>
      </c>
      <c r="D13" s="655"/>
      <c r="E13" s="656"/>
    </row>
    <row r="14" spans="1:5" ht="34.049999999999997" customHeight="1">
      <c r="A14" s="653">
        <v>3</v>
      </c>
      <c r="B14" s="331" t="s">
        <v>700</v>
      </c>
      <c r="C14" s="655">
        <f>'2. SOFP'!E13</f>
        <v>0</v>
      </c>
      <c r="D14" s="655"/>
      <c r="E14" s="656"/>
    </row>
    <row r="15" spans="1:5" ht="32.549999999999997" customHeight="1">
      <c r="A15" s="653">
        <v>4</v>
      </c>
      <c r="B15" s="332" t="s">
        <v>701</v>
      </c>
      <c r="C15" s="655">
        <f>'2. SOFP'!E14</f>
        <v>0</v>
      </c>
      <c r="D15" s="655"/>
      <c r="E15" s="656"/>
    </row>
    <row r="16" spans="1:5" ht="23.1" customHeight="1">
      <c r="A16" s="653">
        <v>5</v>
      </c>
      <c r="B16" s="332" t="s">
        <v>702</v>
      </c>
      <c r="C16" s="655">
        <f>SUM(C17:C19)</f>
        <v>0</v>
      </c>
      <c r="D16" s="655">
        <f t="shared" ref="D16:E16" si="1">SUM(D17:D19)</f>
        <v>0</v>
      </c>
      <c r="E16" s="656">
        <f t="shared" si="1"/>
        <v>0</v>
      </c>
    </row>
    <row r="17" spans="1:5">
      <c r="A17" s="653">
        <v>5.0999999999999996</v>
      </c>
      <c r="B17" s="333" t="s">
        <v>703</v>
      </c>
      <c r="C17" s="655">
        <f>'2. SOFP'!E16</f>
        <v>0</v>
      </c>
      <c r="D17" s="655"/>
      <c r="E17" s="656"/>
    </row>
    <row r="18" spans="1:5">
      <c r="A18" s="653">
        <v>5.2</v>
      </c>
      <c r="B18" s="333" t="s">
        <v>538</v>
      </c>
      <c r="C18" s="655">
        <f>'2. SOFP'!E17</f>
        <v>0</v>
      </c>
      <c r="D18" s="655"/>
      <c r="E18" s="656"/>
    </row>
    <row r="19" spans="1:5">
      <c r="A19" s="653">
        <v>5.3</v>
      </c>
      <c r="B19" s="333" t="s">
        <v>704</v>
      </c>
      <c r="C19" s="655"/>
      <c r="D19" s="655"/>
      <c r="E19" s="656"/>
    </row>
    <row r="20" spans="1:5" ht="20.399999999999999">
      <c r="A20" s="653">
        <v>6</v>
      </c>
      <c r="B20" s="331" t="s">
        <v>705</v>
      </c>
      <c r="C20" s="655">
        <f>SUM(C21:C22)</f>
        <v>0</v>
      </c>
      <c r="D20" s="655">
        <f t="shared" ref="D20:E20" si="2">SUM(D21:D22)</f>
        <v>0</v>
      </c>
      <c r="E20" s="656">
        <f t="shared" si="2"/>
        <v>0</v>
      </c>
    </row>
    <row r="21" spans="1:5">
      <c r="A21" s="653">
        <v>6.1</v>
      </c>
      <c r="B21" s="333" t="s">
        <v>538</v>
      </c>
      <c r="C21" s="660">
        <f>'2. SOFP'!E20</f>
        <v>0</v>
      </c>
      <c r="D21" s="660"/>
      <c r="E21" s="661"/>
    </row>
    <row r="22" spans="1:5">
      <c r="A22" s="653">
        <v>6.2</v>
      </c>
      <c r="B22" s="333" t="s">
        <v>704</v>
      </c>
      <c r="C22" s="660">
        <f>'2. SOFP'!E21</f>
        <v>0</v>
      </c>
      <c r="D22" s="660"/>
      <c r="E22" s="661"/>
    </row>
    <row r="23" spans="1:5" ht="20.399999999999999">
      <c r="A23" s="653">
        <v>7</v>
      </c>
      <c r="B23" s="334" t="s">
        <v>706</v>
      </c>
      <c r="C23" s="660">
        <f>'2. SOFP'!E22</f>
        <v>0</v>
      </c>
      <c r="D23" s="660"/>
      <c r="E23" s="661"/>
    </row>
    <row r="24" spans="1:5" ht="20.399999999999999">
      <c r="A24" s="653">
        <v>8</v>
      </c>
      <c r="B24" s="335" t="s">
        <v>707</v>
      </c>
      <c r="C24" s="660">
        <f>'2. SOFP'!E23</f>
        <v>0</v>
      </c>
      <c r="D24" s="660"/>
      <c r="E24" s="661"/>
    </row>
    <row r="25" spans="1:5">
      <c r="A25" s="653">
        <v>9</v>
      </c>
      <c r="B25" s="332" t="s">
        <v>708</v>
      </c>
      <c r="C25" s="660">
        <f>SUM(C26:C27)</f>
        <v>23847.22</v>
      </c>
      <c r="D25" s="660">
        <f t="shared" ref="D25:E25" si="3">SUM(D26:D27)</f>
        <v>0</v>
      </c>
      <c r="E25" s="661">
        <f t="shared" si="3"/>
        <v>23847.22</v>
      </c>
    </row>
    <row r="26" spans="1:5">
      <c r="A26" s="653">
        <v>9.1</v>
      </c>
      <c r="B26" s="336" t="s">
        <v>709</v>
      </c>
      <c r="C26" s="660">
        <f>'2. SOFP'!E25</f>
        <v>23847.22</v>
      </c>
      <c r="D26" s="660"/>
      <c r="E26" s="661">
        <f>C26</f>
        <v>23847.22</v>
      </c>
    </row>
    <row r="27" spans="1:5">
      <c r="A27" s="653">
        <v>9.1999999999999993</v>
      </c>
      <c r="B27" s="336" t="s">
        <v>710</v>
      </c>
      <c r="C27" s="660">
        <f>'2. SOFP'!E26</f>
        <v>0</v>
      </c>
      <c r="D27" s="660"/>
      <c r="E27" s="661"/>
    </row>
    <row r="28" spans="1:5">
      <c r="A28" s="653">
        <v>10</v>
      </c>
      <c r="B28" s="332" t="s">
        <v>36</v>
      </c>
      <c r="C28" s="660">
        <f>SUM(C29:C30)</f>
        <v>259105.8</v>
      </c>
      <c r="D28" s="660">
        <f t="shared" ref="D28:E28" si="4">SUM(D29:D30)</f>
        <v>259105.8</v>
      </c>
      <c r="E28" s="661">
        <f t="shared" si="4"/>
        <v>0</v>
      </c>
    </row>
    <row r="29" spans="1:5">
      <c r="A29" s="653">
        <v>10.1</v>
      </c>
      <c r="B29" s="336" t="s">
        <v>711</v>
      </c>
      <c r="C29" s="660">
        <f>'2. SOFP'!E28</f>
        <v>0</v>
      </c>
      <c r="D29" s="660"/>
      <c r="E29" s="661"/>
    </row>
    <row r="30" spans="1:5">
      <c r="A30" s="653">
        <v>10.199999999999999</v>
      </c>
      <c r="B30" s="336" t="s">
        <v>712</v>
      </c>
      <c r="C30" s="660">
        <f>'2. SOFP'!E29</f>
        <v>259105.8</v>
      </c>
      <c r="D30" s="660">
        <f>C30</f>
        <v>259105.8</v>
      </c>
      <c r="E30" s="661">
        <f>C30-D30</f>
        <v>0</v>
      </c>
    </row>
    <row r="31" spans="1:5">
      <c r="A31" s="653">
        <v>11</v>
      </c>
      <c r="B31" s="332" t="s">
        <v>713</v>
      </c>
      <c r="C31" s="660">
        <f>SUM(C32:C33)</f>
        <v>94887.16</v>
      </c>
      <c r="D31" s="660">
        <f t="shared" ref="D31:E31" si="5">SUM(D32:D33)</f>
        <v>0</v>
      </c>
      <c r="E31" s="661">
        <f t="shared" si="5"/>
        <v>94887.16</v>
      </c>
    </row>
    <row r="32" spans="1:5">
      <c r="A32" s="653">
        <v>11.1</v>
      </c>
      <c r="B32" s="336" t="s">
        <v>714</v>
      </c>
      <c r="C32" s="660">
        <f>'2. SOFP'!E31</f>
        <v>94887.16</v>
      </c>
      <c r="D32" s="660"/>
      <c r="E32" s="661">
        <f>C32</f>
        <v>94887.16</v>
      </c>
    </row>
    <row r="33" spans="1:6">
      <c r="A33" s="653">
        <v>11.2</v>
      </c>
      <c r="B33" s="336" t="s">
        <v>715</v>
      </c>
      <c r="C33" s="660">
        <f>'2. SOFP'!E32</f>
        <v>0</v>
      </c>
      <c r="D33" s="660"/>
      <c r="E33" s="661"/>
    </row>
    <row r="34" spans="1:6">
      <c r="A34" s="653">
        <v>13</v>
      </c>
      <c r="B34" s="332" t="s">
        <v>88</v>
      </c>
      <c r="C34" s="660">
        <f>'2. SOFP'!E33</f>
        <v>101498.91</v>
      </c>
      <c r="D34" s="660"/>
      <c r="E34" s="661">
        <f>C34</f>
        <v>101498.91</v>
      </c>
    </row>
    <row r="35" spans="1:6">
      <c r="A35" s="653">
        <v>13.1</v>
      </c>
      <c r="B35" s="662" t="s">
        <v>716</v>
      </c>
      <c r="C35" s="660">
        <f>'2. SOFP'!E34</f>
        <v>0</v>
      </c>
      <c r="D35" s="660"/>
      <c r="E35" s="661"/>
    </row>
    <row r="36" spans="1:6">
      <c r="A36" s="653">
        <v>13.2</v>
      </c>
      <c r="B36" s="662" t="s">
        <v>717</v>
      </c>
      <c r="C36" s="660">
        <f>'2. SOFP'!E35</f>
        <v>0</v>
      </c>
      <c r="D36" s="660"/>
      <c r="E36" s="661"/>
    </row>
    <row r="37" spans="1:6" ht="42" thickBot="1">
      <c r="A37" s="663"/>
      <c r="B37" s="199" t="s">
        <v>308</v>
      </c>
      <c r="C37" s="664">
        <f>SUM(C8,C12,C14,C15,C16,C20,C23,C24,C25,C28,C31,C34)</f>
        <v>30506172.75</v>
      </c>
      <c r="D37" s="664">
        <f t="shared" ref="D37:E37" si="6">SUM(D8,D12,D14,D15,D16,D20,D23,D24,D25,D28,D31,D34)</f>
        <v>259105.8</v>
      </c>
      <c r="E37" s="665">
        <f t="shared" si="6"/>
        <v>30247066.949999999</v>
      </c>
    </row>
    <row r="38" spans="1:6">
      <c r="A38"/>
      <c r="B38"/>
      <c r="C38"/>
      <c r="D38"/>
      <c r="E38"/>
    </row>
    <row r="39" spans="1:6">
      <c r="A39"/>
      <c r="B39"/>
      <c r="C39"/>
      <c r="D39"/>
      <c r="E39"/>
    </row>
    <row r="41" spans="1:6" s="1" customFormat="1">
      <c r="B41" s="25"/>
      <c r="F41"/>
    </row>
    <row r="42" spans="1:6" s="1" customFormat="1">
      <c r="B42" s="26"/>
      <c r="F42"/>
    </row>
    <row r="43" spans="1:6" s="1" customFormat="1">
      <c r="B43" s="25"/>
      <c r="F43"/>
    </row>
    <row r="44" spans="1:6" s="1" customFormat="1">
      <c r="B44" s="25"/>
      <c r="F44"/>
    </row>
    <row r="45" spans="1:6" s="1" customFormat="1">
      <c r="B45" s="25"/>
      <c r="F45"/>
    </row>
    <row r="46" spans="1:6" s="1" customFormat="1">
      <c r="B46" s="25"/>
      <c r="F46"/>
    </row>
    <row r="47" spans="1:6" s="1" customFormat="1">
      <c r="B47" s="25"/>
      <c r="F47"/>
    </row>
    <row r="48" spans="1:6" s="1" customFormat="1">
      <c r="B48" s="26"/>
      <c r="F48"/>
    </row>
    <row r="49" spans="2:6" s="1" customFormat="1">
      <c r="B49" s="26"/>
      <c r="F49"/>
    </row>
    <row r="50" spans="2:6" s="1" customFormat="1">
      <c r="B50" s="26"/>
      <c r="F50"/>
    </row>
    <row r="51" spans="2:6" s="1" customFormat="1">
      <c r="B51" s="26"/>
      <c r="F51"/>
    </row>
    <row r="52" spans="2:6" s="1" customFormat="1">
      <c r="B52" s="26"/>
      <c r="F52"/>
    </row>
    <row r="53" spans="2:6" s="1" customFormat="1">
      <c r="B53" s="26"/>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C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24" sqref="B24"/>
    </sheetView>
  </sheetViews>
  <sheetFormatPr defaultRowHeight="14.4" outlineLevelRow="1"/>
  <cols>
    <col min="1" max="1" width="9.44140625" style="1" bestFit="1" customWidth="1"/>
    <col min="2" max="2" width="114.109375" style="1" customWidth="1"/>
    <col min="3" max="3" width="18.88671875" customWidth="1"/>
  </cols>
  <sheetData>
    <row r="1" spans="1:3">
      <c r="A1" s="10" t="s">
        <v>97</v>
      </c>
      <c r="B1" s="9" t="str">
        <f>Info!C2</f>
        <v>სს პეივ ბანკ ჯორჯია</v>
      </c>
    </row>
    <row r="2" spans="1:3" s="10" customFormat="1" ht="15.75" customHeight="1">
      <c r="A2" s="10" t="s">
        <v>98</v>
      </c>
      <c r="B2" s="260">
        <f>'1. key ratios'!B2</f>
        <v>45747</v>
      </c>
      <c r="C2"/>
    </row>
    <row r="3" spans="1:3" s="10" customFormat="1" ht="15.75" customHeight="1">
      <c r="C3"/>
    </row>
    <row r="4" spans="1:3" s="10" customFormat="1" ht="28.2" thickBot="1">
      <c r="A4" s="10" t="s">
        <v>245</v>
      </c>
      <c r="B4" s="102" t="s">
        <v>160</v>
      </c>
      <c r="C4" s="96" t="s">
        <v>76</v>
      </c>
    </row>
    <row r="5" spans="1:3">
      <c r="A5" s="97">
        <v>1</v>
      </c>
      <c r="B5" s="98" t="s">
        <v>695</v>
      </c>
      <c r="C5" s="130">
        <f>'7. LI1'!E37</f>
        <v>30247066.949999999</v>
      </c>
    </row>
    <row r="6" spans="1:3">
      <c r="A6" s="55">
        <v>2.1</v>
      </c>
      <c r="B6" s="104" t="s">
        <v>829</v>
      </c>
      <c r="C6" s="131">
        <v>0</v>
      </c>
    </row>
    <row r="7" spans="1:3" s="2" customFormat="1" ht="27.6" outlineLevel="1">
      <c r="A7" s="103">
        <v>2.2000000000000002</v>
      </c>
      <c r="B7" s="99" t="s">
        <v>830</v>
      </c>
      <c r="C7" s="132">
        <v>0</v>
      </c>
    </row>
    <row r="8" spans="1:3" s="2" customFormat="1" ht="27.6">
      <c r="A8" s="103">
        <v>3</v>
      </c>
      <c r="B8" s="100" t="s">
        <v>696</v>
      </c>
      <c r="C8" s="133">
        <f>SUM(C5:C7)</f>
        <v>30247066.949999999</v>
      </c>
    </row>
    <row r="9" spans="1:3">
      <c r="A9" s="55">
        <v>4</v>
      </c>
      <c r="B9" s="107" t="s">
        <v>158</v>
      </c>
      <c r="C9" s="131"/>
    </row>
    <row r="10" spans="1:3" s="2" customFormat="1" ht="27.6" outlineLevel="1">
      <c r="A10" s="103">
        <v>5.0999999999999996</v>
      </c>
      <c r="B10" s="99" t="s">
        <v>164</v>
      </c>
      <c r="C10" s="132">
        <v>0</v>
      </c>
    </row>
    <row r="11" spans="1:3" s="2" customFormat="1" ht="27.6" outlineLevel="1">
      <c r="A11" s="103">
        <v>5.2</v>
      </c>
      <c r="B11" s="99" t="s">
        <v>165</v>
      </c>
      <c r="C11" s="132">
        <v>0</v>
      </c>
    </row>
    <row r="12" spans="1:3" s="2" customFormat="1">
      <c r="A12" s="103">
        <v>6</v>
      </c>
      <c r="B12" s="105" t="s">
        <v>996</v>
      </c>
      <c r="C12" s="132"/>
    </row>
    <row r="13" spans="1:3" s="2" customFormat="1" ht="15" thickBot="1">
      <c r="A13" s="106">
        <v>7</v>
      </c>
      <c r="B13" s="101" t="s">
        <v>159</v>
      </c>
      <c r="C13" s="134">
        <f>SUM(C8:C12)</f>
        <v>30247066.949999999</v>
      </c>
    </row>
    <row r="15" spans="1:3">
      <c r="B15" s="14"/>
    </row>
    <row r="17" spans="2:3" s="1" customFormat="1">
      <c r="B17" s="27"/>
      <c r="C17"/>
    </row>
    <row r="18" spans="2:3" s="1" customFormat="1">
      <c r="B18" s="24"/>
      <c r="C18"/>
    </row>
    <row r="19" spans="2:3" s="1" customFormat="1">
      <c r="B19" s="24"/>
      <c r="C19"/>
    </row>
    <row r="20" spans="2:3" s="1" customFormat="1">
      <c r="B20" s="26"/>
      <c r="C20"/>
    </row>
    <row r="21" spans="2:3" s="1" customFormat="1">
      <c r="B21" s="25"/>
      <c r="C21"/>
    </row>
    <row r="22" spans="2:3" s="1" customFormat="1">
      <c r="B22" s="26"/>
      <c r="C22"/>
    </row>
    <row r="23" spans="2:3" s="1" customFormat="1">
      <c r="B23" s="25"/>
      <c r="C23"/>
    </row>
    <row r="24" spans="2:3" s="1" customFormat="1">
      <c r="B24" s="25"/>
      <c r="C24"/>
    </row>
    <row r="25" spans="2:3" s="1" customFormat="1">
      <c r="B25" s="25"/>
      <c r="C25"/>
    </row>
    <row r="26" spans="2:3" s="1" customFormat="1">
      <c r="B26" s="25"/>
      <c r="C26"/>
    </row>
    <row r="27" spans="2:3" s="1" customFormat="1">
      <c r="B27" s="25"/>
      <c r="C27"/>
    </row>
    <row r="28" spans="2:3" s="1" customFormat="1">
      <c r="B28" s="26"/>
      <c r="C28"/>
    </row>
    <row r="29" spans="2:3" s="1" customFormat="1">
      <c r="B29" s="26"/>
      <c r="C29"/>
    </row>
    <row r="30" spans="2:3" s="1" customFormat="1">
      <c r="B30" s="26"/>
      <c r="C30"/>
    </row>
    <row r="31" spans="2:3" s="1" customFormat="1">
      <c r="B31" s="26"/>
      <c r="C31"/>
    </row>
    <row r="32" spans="2:3" s="1" customFormat="1">
      <c r="B32" s="26"/>
      <c r="C32"/>
    </row>
    <row r="33" spans="2:3" s="1" customFormat="1">
      <c r="B33" s="26"/>
      <c r="C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2025-04-30T15:28:37Z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