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35CC0818-C372-45E3-BE01-18F37A0686BE}" xr6:coauthVersionLast="47" xr6:coauthVersionMax="47" xr10:uidLastSave="{00000000-0000-0000-0000-000000000000}"/>
  <bookViews>
    <workbookView xWindow="-108" yWindow="-108" windowWidth="23256" windowHeight="12456"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7" l="1"/>
  <c r="B1" i="37"/>
  <c r="G18" i="80"/>
  <c r="F18" i="80"/>
  <c r="E18" i="80"/>
  <c r="D18" i="80"/>
  <c r="C18" i="80"/>
  <c r="F33" i="80"/>
  <c r="E33" i="80"/>
  <c r="D33" i="80"/>
  <c r="C33" i="80"/>
  <c r="C22" i="74"/>
  <c r="E35" i="72"/>
  <c r="D13" i="95" l="1"/>
  <c r="D12" i="96" l="1"/>
  <c r="E13" i="96" l="1"/>
  <c r="D13" i="96"/>
  <c r="C13" i="96"/>
  <c r="F14" i="95"/>
  <c r="E14" i="95"/>
  <c r="D14" i="95"/>
  <c r="D17" i="95"/>
  <c r="K7" i="103" l="1"/>
  <c r="D36" i="100"/>
  <c r="D33" i="102"/>
  <c r="E33" i="102"/>
  <c r="F33" i="102"/>
  <c r="G33" i="102"/>
  <c r="H33" i="102"/>
  <c r="I33" i="102"/>
  <c r="J33" i="102"/>
  <c r="K33" i="102"/>
  <c r="L33" i="102"/>
  <c r="C33" i="102"/>
  <c r="H22" i="100"/>
  <c r="D22" i="100"/>
  <c r="C22" i="100"/>
  <c r="D15" i="100"/>
  <c r="C15" i="100"/>
  <c r="AA15" i="100"/>
  <c r="Z15" i="100"/>
  <c r="Y15" i="100"/>
  <c r="X15" i="100"/>
  <c r="W15" i="100"/>
  <c r="V15" i="100"/>
  <c r="U15" i="100"/>
  <c r="T15" i="100"/>
  <c r="S15" i="100"/>
  <c r="R15" i="100"/>
  <c r="Q15" i="100"/>
  <c r="P15" i="100"/>
  <c r="O15" i="100"/>
  <c r="N15" i="100"/>
  <c r="M15" i="100"/>
  <c r="L15" i="100"/>
  <c r="K15" i="100"/>
  <c r="J15" i="100"/>
  <c r="I15" i="100"/>
  <c r="H15" i="100"/>
  <c r="G15" i="100"/>
  <c r="F15" i="100"/>
  <c r="E15"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D21" i="36"/>
  <c r="E21" i="36"/>
  <c r="F21" i="36"/>
  <c r="G21" i="36"/>
  <c r="G24" i="36" s="1"/>
  <c r="H21" i="36"/>
  <c r="H24" i="36" s="1"/>
  <c r="I21" i="36"/>
  <c r="J21" i="36"/>
  <c r="K21" i="36"/>
  <c r="C21" i="36"/>
  <c r="D16" i="36"/>
  <c r="E16" i="36"/>
  <c r="F16" i="36"/>
  <c r="G16" i="36"/>
  <c r="H16" i="36"/>
  <c r="I16" i="36"/>
  <c r="J16" i="36"/>
  <c r="K16" i="36"/>
  <c r="C16" i="36"/>
  <c r="J23" i="36"/>
  <c r="K23" i="36"/>
  <c r="I23" i="36"/>
  <c r="G23" i="36"/>
  <c r="H23" i="36"/>
  <c r="F23" i="36"/>
  <c r="K24" i="36" l="1"/>
  <c r="K25" i="36" s="1"/>
  <c r="J24" i="36"/>
  <c r="J25" i="36" s="1"/>
  <c r="I24" i="36"/>
  <c r="F24" i="36"/>
  <c r="F25" i="36" s="1"/>
  <c r="H25" i="36"/>
  <c r="I25" i="36"/>
  <c r="G25" i="36"/>
  <c r="F6" i="107" l="1"/>
  <c r="C6" i="107"/>
  <c r="D6" i="107"/>
  <c r="E6" i="107"/>
  <c r="D7" i="37" l="1"/>
  <c r="E7" i="37"/>
  <c r="E6" i="37" s="1"/>
  <c r="E9" i="37"/>
  <c r="D9" i="37"/>
  <c r="D8" i="37"/>
  <c r="E8" i="37"/>
  <c r="F8" i="37"/>
  <c r="G8" i="37"/>
  <c r="F9" i="37"/>
  <c r="G9" i="37"/>
  <c r="C37" i="69"/>
  <c r="C10" i="69"/>
  <c r="B2" i="107"/>
  <c r="D6" i="37" l="1"/>
  <c r="E34" i="72"/>
  <c r="E31" i="72"/>
  <c r="E30" i="72"/>
  <c r="E28" i="72" s="1"/>
  <c r="E27" i="72"/>
  <c r="E26" i="72"/>
  <c r="E24" i="72"/>
  <c r="E23" i="72"/>
  <c r="E22" i="72"/>
  <c r="E21" i="72"/>
  <c r="E20" i="72" s="1"/>
  <c r="E16" i="72"/>
  <c r="E13" i="72"/>
  <c r="E12" i="72" s="1"/>
  <c r="E11" i="72"/>
  <c r="E10" i="72"/>
  <c r="E9" i="72"/>
  <c r="G38" i="94"/>
  <c r="F38" i="94"/>
  <c r="G30" i="94"/>
  <c r="F30" i="94"/>
  <c r="G17" i="94"/>
  <c r="G14" i="94" s="1"/>
  <c r="F17" i="94"/>
  <c r="F14" i="94" s="1"/>
  <c r="G11" i="94"/>
  <c r="F11" i="94"/>
  <c r="G8" i="94"/>
  <c r="F8" i="94"/>
  <c r="G37" i="93"/>
  <c r="F37" i="93"/>
  <c r="G34" i="93"/>
  <c r="F34" i="93"/>
  <c r="G29" i="93"/>
  <c r="F29" i="93"/>
  <c r="G13" i="93"/>
  <c r="F13" i="93"/>
  <c r="G6" i="93"/>
  <c r="F6" i="93"/>
  <c r="C38" i="92"/>
  <c r="F67" i="92"/>
  <c r="G63" i="92"/>
  <c r="G59" i="92"/>
  <c r="G68" i="92" s="1"/>
  <c r="F59" i="92"/>
  <c r="G47" i="92"/>
  <c r="F47" i="92"/>
  <c r="G41" i="92"/>
  <c r="F41" i="92"/>
  <c r="F53" i="92" s="1"/>
  <c r="G30" i="92"/>
  <c r="F30" i="92"/>
  <c r="G27" i="92"/>
  <c r="F27" i="92"/>
  <c r="G24" i="92"/>
  <c r="F24" i="92"/>
  <c r="G19" i="92"/>
  <c r="F19" i="92"/>
  <c r="G15" i="92"/>
  <c r="F15" i="92"/>
  <c r="G11" i="92"/>
  <c r="F11" i="92"/>
  <c r="G7" i="92"/>
  <c r="F7" i="92"/>
  <c r="E25" i="72" l="1"/>
  <c r="G53" i="92"/>
  <c r="G69" i="92" s="1"/>
  <c r="E8" i="72"/>
  <c r="F43" i="93"/>
  <c r="F45" i="93" s="1"/>
  <c r="G43" i="93"/>
  <c r="G45" i="93" s="1"/>
  <c r="F68" i="92"/>
  <c r="F69" i="92" s="1"/>
  <c r="F36" i="92"/>
  <c r="G36" i="92"/>
  <c r="C38" i="94"/>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I15" i="37"/>
  <c r="I14" i="37"/>
  <c r="Q13" i="37"/>
  <c r="I13" i="37"/>
  <c r="Q12" i="37"/>
  <c r="I12" i="37"/>
  <c r="Q11" i="37"/>
  <c r="I11" i="37"/>
  <c r="I10" i="37"/>
  <c r="P9" i="37"/>
  <c r="O9" i="37"/>
  <c r="N9" i="37"/>
  <c r="M9" i="37"/>
  <c r="L9" i="37"/>
  <c r="K9" i="37"/>
  <c r="J9" i="37"/>
  <c r="I9" i="37"/>
  <c r="C9" i="37"/>
  <c r="P8" i="37"/>
  <c r="O8" i="37"/>
  <c r="N8" i="37"/>
  <c r="M8" i="37"/>
  <c r="L8" i="37"/>
  <c r="K8" i="37"/>
  <c r="J8" i="37"/>
  <c r="I8" i="37"/>
  <c r="C8" i="37"/>
  <c r="P7" i="37"/>
  <c r="O7" i="37"/>
  <c r="N7" i="37"/>
  <c r="M7" i="37"/>
  <c r="L7" i="37"/>
  <c r="K7" i="37"/>
  <c r="J7" i="37"/>
  <c r="G7" i="37"/>
  <c r="F7" i="37"/>
  <c r="F6" i="37" s="1"/>
  <c r="C7" i="37"/>
  <c r="C6" i="37" s="1"/>
  <c r="E34" i="37"/>
  <c r="C13" i="79" s="1"/>
  <c r="D34" i="37"/>
  <c r="C26" i="79"/>
  <c r="C22" i="79"/>
  <c r="C8" i="79"/>
  <c r="M6" i="37" l="1"/>
  <c r="M34" i="37" s="1"/>
  <c r="O6" i="37"/>
  <c r="O34" i="37" s="1"/>
  <c r="Q14" i="37"/>
  <c r="G6" i="37"/>
  <c r="G34" i="37" s="1"/>
  <c r="C11" i="79" s="1"/>
  <c r="J6" i="37"/>
  <c r="J34" i="37" s="1"/>
  <c r="K6" i="37"/>
  <c r="K34" i="37" s="1"/>
  <c r="N6" i="37"/>
  <c r="N34" i="37" s="1"/>
  <c r="L6" i="37"/>
  <c r="L34" i="37" s="1"/>
  <c r="Q30" i="37"/>
  <c r="Q18" i="37"/>
  <c r="P6" i="37"/>
  <c r="P34" i="37" s="1"/>
  <c r="Q22" i="37"/>
  <c r="I7" i="37"/>
  <c r="I6" i="37" s="1"/>
  <c r="Q10" i="37"/>
  <c r="C34" i="37"/>
  <c r="Q8" i="37"/>
  <c r="Q9" i="37"/>
  <c r="F34" i="37"/>
  <c r="C10" i="79" s="1"/>
  <c r="Q26" i="37"/>
  <c r="Q7" i="37"/>
  <c r="Q6" i="37" l="1"/>
  <c r="Q34" i="37" s="1"/>
  <c r="I34" i="37"/>
  <c r="C12" i="79" l="1"/>
  <c r="C14" i="79" s="1"/>
  <c r="C32" i="79" s="1"/>
  <c r="H8" i="74"/>
  <c r="C34" i="79" l="1"/>
  <c r="B19" i="105"/>
  <c r="D38" i="94"/>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C15" i="98" s="1"/>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H34" i="97"/>
  <c r="H22" i="95"/>
  <c r="H21" i="96"/>
  <c r="C62" i="69"/>
  <c r="C58" i="69"/>
  <c r="C46" i="69"/>
  <c r="C40" i="69"/>
  <c r="C29" i="69"/>
  <c r="C26" i="69"/>
  <c r="C23" i="69"/>
  <c r="C18" i="69"/>
  <c r="C14" i="69"/>
  <c r="C6" i="69"/>
  <c r="D8" i="72"/>
  <c r="D16" i="72"/>
  <c r="D20" i="72"/>
  <c r="D25" i="72"/>
  <c r="D28" i="72"/>
  <c r="D31" i="72"/>
  <c r="C31" i="72"/>
  <c r="C28" i="72"/>
  <c r="C25" i="72"/>
  <c r="C20" i="72"/>
  <c r="C16" i="72"/>
  <c r="C8" i="72"/>
  <c r="C35" i="69" l="1"/>
  <c r="C67" i="69"/>
  <c r="C52" i="69"/>
  <c r="C37" i="72"/>
  <c r="E37" i="72"/>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H13" i="94"/>
  <c r="E13" i="94"/>
  <c r="H12" i="94"/>
  <c r="E12" i="94"/>
  <c r="D11" i="94"/>
  <c r="C11" i="94"/>
  <c r="H10" i="94"/>
  <c r="E10" i="94"/>
  <c r="H9" i="94"/>
  <c r="E9" i="94"/>
  <c r="D8" i="94"/>
  <c r="C8" i="94"/>
  <c r="H7" i="94"/>
  <c r="E7" i="94"/>
  <c r="H6" i="94"/>
  <c r="E6" i="94"/>
  <c r="H44" i="93"/>
  <c r="E44" i="93"/>
  <c r="H42" i="93"/>
  <c r="E42" i="93"/>
  <c r="H41" i="93"/>
  <c r="E41" i="93"/>
  <c r="H40" i="93"/>
  <c r="E40" i="93"/>
  <c r="H39" i="93"/>
  <c r="E39" i="93"/>
  <c r="H38" i="93"/>
  <c r="E38" i="93"/>
  <c r="H37" i="93"/>
  <c r="E37" i="93"/>
  <c r="H36" i="93"/>
  <c r="E36" i="93"/>
  <c r="H35" i="93"/>
  <c r="E35"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H67" i="92"/>
  <c r="E67" i="92"/>
  <c r="H66" i="92"/>
  <c r="E66" i="92"/>
  <c r="H65" i="92"/>
  <c r="E65" i="92"/>
  <c r="H64" i="92"/>
  <c r="E64" i="92"/>
  <c r="H63" i="92"/>
  <c r="D63" i="92"/>
  <c r="C63" i="92"/>
  <c r="E63" i="92" s="1"/>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H47" i="92"/>
  <c r="D47" i="92"/>
  <c r="C47" i="92"/>
  <c r="H46" i="92"/>
  <c r="E46" i="92"/>
  <c r="H45" i="92"/>
  <c r="E45" i="92"/>
  <c r="H44" i="92"/>
  <c r="E44" i="92"/>
  <c r="H43" i="92"/>
  <c r="E43" i="92"/>
  <c r="H42" i="92"/>
  <c r="E42" i="92"/>
  <c r="H41" i="92"/>
  <c r="D41" i="92"/>
  <c r="C41" i="92"/>
  <c r="H40" i="92"/>
  <c r="E40" i="92"/>
  <c r="H39" i="92"/>
  <c r="E39" i="92"/>
  <c r="H38" i="92"/>
  <c r="E38" i="92"/>
  <c r="H35" i="92"/>
  <c r="E35" i="92"/>
  <c r="H34" i="92"/>
  <c r="E34" i="92"/>
  <c r="H33" i="92"/>
  <c r="E33" i="92"/>
  <c r="H32" i="92"/>
  <c r="E32" i="92"/>
  <c r="H31" i="92"/>
  <c r="E31" i="92"/>
  <c r="D30" i="92"/>
  <c r="C30" i="92"/>
  <c r="E30" i="92" s="1"/>
  <c r="H29" i="92"/>
  <c r="E29" i="92"/>
  <c r="H28" i="92"/>
  <c r="E28" i="92"/>
  <c r="H27" i="92"/>
  <c r="D27" i="92"/>
  <c r="C27" i="92"/>
  <c r="E27" i="92" s="1"/>
  <c r="H26" i="92"/>
  <c r="E26" i="92"/>
  <c r="H25" i="92"/>
  <c r="E25" i="92"/>
  <c r="D24" i="92"/>
  <c r="C24" i="92"/>
  <c r="E24" i="92" s="1"/>
  <c r="H23" i="92"/>
  <c r="E23" i="92"/>
  <c r="H22" i="92"/>
  <c r="E22" i="92"/>
  <c r="H21" i="92"/>
  <c r="E21" i="92"/>
  <c r="H20" i="92"/>
  <c r="E20" i="92"/>
  <c r="H19" i="92"/>
  <c r="D19" i="92"/>
  <c r="C19" i="92"/>
  <c r="E19" i="92" s="1"/>
  <c r="H18" i="92"/>
  <c r="E18" i="92"/>
  <c r="H17" i="92"/>
  <c r="E17" i="92"/>
  <c r="H16" i="92"/>
  <c r="E16" i="92"/>
  <c r="H15" i="92"/>
  <c r="D15" i="92"/>
  <c r="C15" i="92"/>
  <c r="H14" i="92"/>
  <c r="E14" i="92"/>
  <c r="H13" i="92"/>
  <c r="E13" i="92"/>
  <c r="H12" i="92"/>
  <c r="E12" i="92"/>
  <c r="H11" i="92"/>
  <c r="E11" i="92"/>
  <c r="H10" i="92"/>
  <c r="E10" i="92"/>
  <c r="H9" i="92"/>
  <c r="E9" i="92"/>
  <c r="H8" i="92"/>
  <c r="E8" i="92"/>
  <c r="H7" i="92"/>
  <c r="D7" i="92"/>
  <c r="C7" i="92"/>
  <c r="C68" i="69" l="1"/>
  <c r="E15" i="92"/>
  <c r="D53" i="92"/>
  <c r="E47" i="92"/>
  <c r="E59" i="92"/>
  <c r="E41" i="92"/>
  <c r="C68" i="92"/>
  <c r="E6" i="93"/>
  <c r="H45" i="93"/>
  <c r="D68" i="92"/>
  <c r="D36" i="92"/>
  <c r="C36" i="92"/>
  <c r="H34" i="93"/>
  <c r="H36" i="92"/>
  <c r="H30" i="92"/>
  <c r="H8" i="94"/>
  <c r="E8" i="94"/>
  <c r="E14" i="94"/>
  <c r="H38" i="94"/>
  <c r="E30" i="94"/>
  <c r="E11" i="94"/>
  <c r="E17" i="94"/>
  <c r="H11" i="94"/>
  <c r="H14" i="94"/>
  <c r="H6" i="93"/>
  <c r="H69" i="92"/>
  <c r="C53" i="92"/>
  <c r="H68" i="92"/>
  <c r="H53" i="92"/>
  <c r="E7" i="92"/>
  <c r="H24" i="92"/>
  <c r="D69" i="92" l="1"/>
  <c r="E36" i="92"/>
  <c r="H43" i="93"/>
  <c r="E68" i="92"/>
  <c r="E45" i="93"/>
  <c r="E43" i="93"/>
  <c r="C69" i="92"/>
  <c r="E53" i="92"/>
  <c r="E69" i="92" l="1"/>
  <c r="B1" i="80"/>
  <c r="G24" i="80"/>
  <c r="G37" i="80" s="1"/>
  <c r="F24" i="80"/>
  <c r="E24" i="80"/>
  <c r="D24" i="80"/>
  <c r="C24"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s="1"/>
  <c r="B18" i="105" s="1"/>
  <c r="B1" i="79" l="1"/>
  <c r="B1" i="36"/>
  <c r="B1" i="74"/>
  <c r="B1" i="64"/>
  <c r="B1" i="35"/>
  <c r="B1" i="69"/>
  <c r="B1" i="77"/>
  <c r="B1" i="28"/>
  <c r="B1" i="73"/>
  <c r="B1" i="72"/>
  <c r="B1" i="52"/>
  <c r="B1" i="71"/>
  <c r="B1" i="6"/>
  <c r="B1" i="107" s="1"/>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9" i="74"/>
  <c r="H10" i="74"/>
  <c r="H11" i="74"/>
  <c r="H12" i="74"/>
  <c r="H13" i="74"/>
  <c r="H15" i="74"/>
  <c r="H16" i="74"/>
  <c r="H17" i="74"/>
  <c r="H18" i="74"/>
  <c r="H19" i="74"/>
  <c r="H20" i="74"/>
  <c r="H21" i="7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<sst xmlns="http://schemas.openxmlformats.org/spreadsheetml/2006/main" count="1642" uniqueCount="1029">
  <si>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</si>
  <si>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</si>
  <si>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</si>
  <si>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</si>
  <si>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</si>
  <si>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</si>
  <si>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</si>
  <si>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</si>
  <si>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</si>
  <si>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</si>
  <si>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</si>
  <si>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</si>
  <si>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</si>
  <si>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</si>
  <si>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</si>
  <si>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</si>
  <si>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</si>
  <si>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</si>
  <si>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</si>
  <si>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</si>
  <si>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</si>
  <si>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</si>
  <si>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</si>
  <si>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</si>
  <si>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</si>
  <si>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</si>
  <si>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</si>
  <si>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</si>
  <si>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</si>
  <si>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</si>
  <si>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</si>
  <si>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</si>
  <si>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</si>
  <si>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</si>
  <si>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</si>
  <si>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</si>
  <si>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</si>
  <si>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</si>
  <si>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</si>
  <si>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</si>
  <si>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</si>
  <si>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</si>
  <si>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</si>
  <si>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</si>
  <si>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</si>
  <si>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</si>
  <si>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</si>
  <si>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</si>
  <si>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</si>
  <si>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</si>
  <si>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</si>
  <si>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</si>
  <si>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</si>
  <si>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</si>
  <si>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</si>
  <si>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</si>
  <si>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</si>
  <si>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</si>
  <si>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</si>
  <si>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</si>
  <si>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</si>
  <si>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</si>
  <si>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</si>
  <si>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</si>
  <si>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</si>
  <si>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</si>
  <si>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</si>
  <si>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</si>
  <si>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</si>
  <si>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</si>
  <si>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</si>
  <si>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</si>
  <si>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</si>
  <si>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</si>
  <si>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</si>
  <si>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</si>
  <si>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</si>
  <si>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</si>
  <si>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</si>
  <si>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</si>
  <si>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</si>
  <si>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</si>
  <si>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</si>
  <si>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</si>
  <si>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</si>
  <si>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</si>
  <si>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</si>
  <si>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</si>
  <si>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</si>
  <si>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</si>
  <si>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</si>
  <si>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</si>
  <si>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</si>
  <si>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</si>
  <si>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</si>
  <si>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</si>
  <si>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</si>
  <si>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</si>
  <si>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</si>
  <si>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</si>
  <si>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</si>
  <si>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</si>
  <si>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</si>
  <si>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</si>
  <si>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</si>
  <si>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</si>
  <si>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</si>
  <si>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</si>
  <si>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</si>
  <si>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</si>
  <si>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</si>
  <si>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</si>
  <si>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</si>
  <si>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</si>
  <si>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</si>
  <si>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</si>
  <si>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</si>
  <si>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</si>
  <si>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</si>
  <si>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</si>
  <si>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</si>
  <si>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</si>
  <si>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</si>
  <si>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</si>
  <si>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</si>
  <si>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</si>
  <si>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</si>
  <si>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</si>
  <si>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</si>
  <si>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</si>
  <si>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</si>
  <si>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</si>
  <si>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</si>
  <si>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</si>
  <si>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</si>
  <si>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</si>
  <si>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</si>
  <si>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</si>
  <si>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</si>
  <si>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</si>
  <si>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</si>
  <si>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</si>
  <si>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</si>
  <si>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</si>
  <si>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</si>
  <si>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</si>
  <si>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</si>
  <si>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</si>
  <si>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</si>
  <si>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</si>
  <si>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</si>
  <si>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</si>
  <si>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</si>
  <si>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</si>
  <si>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</si>
  <si>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</si>
  <si>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</si>
  <si>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</si>
  <si>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</si>
  <si>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</si>
  <si>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</si>
  <si>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</si>
  <si>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</si>
  <si>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</si>
  <si>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</si>
  <si>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</si>
  <si>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</si>
  <si>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</si>
  <si>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</si>
  <si>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</si>
  <si>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</si>
  <si>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</si>
  <si>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</si>
  <si>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</si>
  <si>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</si>
  <si>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</si>
  <si>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</si>
  <si>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</si>
  <si>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</si>
  <si>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</si>
  <si>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</si>
  <si>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</si>
  <si>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</si>
  <si>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</si>
  <si>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</si>
  <si>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</si>
  <si>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</si>
  <si>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</si>
  <si>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</si>
  <si>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</si>
  <si>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</si>
  <si>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</si>
  <si>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</si>
  <si>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</si>
  <si>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</si>
  <si>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</si>
  <si>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</si>
  <si>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</si>
  <si>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</si>
  <si>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</si>
  <si>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</si>
  <si>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</si>
  <si>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</si>
  <si>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</si>
  <si>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</si>
  <si>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</si>
  <si>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</si>
  <si>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</si>
  <si>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</si>
  <si>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</si>
  <si>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</si>
  <si>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</si>
  <si>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</si>
  <si>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</si>
  <si>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</si>
  <si>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</si>
  <si>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</si>
  <si>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</si>
  <si>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</si>
  <si>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</si>
  <si>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</si>
  <si>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</si>
  <si>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</si>
  <si>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</si>
  <si>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</si>
  <si>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</si>
  <si>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</si>
  <si>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</si>
  <si>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</si>
  <si>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</si>
  <si>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</si>
  <si>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</si>
  <si>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</si>
  <si>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</si>
  <si>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</si>
  <si>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</si>
  <si>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</si>
  <si>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</si>
  <si>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</si>
  <si>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</si>
  <si>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</si>
  <si>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</si>
  <si>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</si>
  <si>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</si>
  <si>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</si>
  <si>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</si>
  <si>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</si>
  <si>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</si>
  <si>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</si>
  <si>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</si>
  <si>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</si>
  <si>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</si>
  <si>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</si>
  <si>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</si>
  <si>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</si>
  <si>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</si>
  <si>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</si>
  <si>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</si>
  <si>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</si>
  <si>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</si>
  <si>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</si>
  <si>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</si>
  <si>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</si>
  <si>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</si>
  <si>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</si>
  <si>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</si>
  <si>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</si>
  <si>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</si>
  <si>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</si>
  <si>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</si>
  <si>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</si>
  <si>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</si>
  <si>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</si>
  <si>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</si>
  <si>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</si>
  <si>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</si>
  <si>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</si>
  <si>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</si>
  <si>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</si>
  <si>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</si>
  <si>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</si>
  <si>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</si>
  <si>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</si>
  <si>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</si>
  <si>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</si>
  <si>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</si>
  <si>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</si>
  <si>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</si>
  <si>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</si>
  <si>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</si>
  <si>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</si>
  <si>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</si>
  <si>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</si>
  <si>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</si>
  <si>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</si>
  <si>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</si>
  <si>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</si>
  <si>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</si>
  <si>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</si>
  <si>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</si>
  <si>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</si>
  <si>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</si>
  <si>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</si>
  <si>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</si>
  <si>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</si>
  <si>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</si>
  <si>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</si>
  <si>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</si>
  <si>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</si>
  <si>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</si>
  <si>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</si>
  <si>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</si>
  <si>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</si>
  <si>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</si>
  <si>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</si>
  <si>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</si>
  <si>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</si>
  <si>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</si>
  <si>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</si>
  <si>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</si>
  <si>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</si>
  <si>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</si>
  <si>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</si>
  <si>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</si>
  <si>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</si>
  <si>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</si>
  <si>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</si>
  <si>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</si>
  <si>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</si>
  <si>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</si>
  <si>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</si>
  <si>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</si>
  <si>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</si>
  <si>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</si>
  <si>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</si>
  <si>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</si>
  <si>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</si>
  <si>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</si>
  <si>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</si>
  <si>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</si>
  <si>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</si>
  <si>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</si>
  <si>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</si>
  <si>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</si>
  <si>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</si>
  <si>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</si>
  <si>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</si>
  <si>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</si>
  <si>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</si>
  <si>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</si>
  <si>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</si>
  <si>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</si>
  <si>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</si>
  <si>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</si>
  <si>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</si>
  <si>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</si>
  <si>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</si>
  <si>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</si>
  <si>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</si>
  <si>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</si>
  <si>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</si>
  <si>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</si>
  <si>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</si>
  <si>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</si>
  <si>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</si>
  <si>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</si>
  <si>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</si>
  <si>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</si>
  <si>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</si>
  <si>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</si>
  <si>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</si>
  <si>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</si>
  <si>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</si>
  <si>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</si>
  <si>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</si>
  <si>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</si>
  <si>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</si>
  <si>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</si>
  <si>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</si>
  <si>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</si>
  <si>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</si>
  <si>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</si>
  <si>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</si>
  <si>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</si>
  <si>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</si>
  <si>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</si>
  <si>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</si>
  <si>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</si>
  <si>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</si>
  <si>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</si>
  <si>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</si>
  <si>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</si>
  <si>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</si>
  <si>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</si>
  <si>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</si>
  <si>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</si>
  <si>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</si>
  <si>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</si>
  <si>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</si>
  <si>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</si>
  <si>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</si>
  <si>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</si>
  <si>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</si>
  <si>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</si>
  <si>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</si>
  <si>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</si>
  <si>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</si>
  <si>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</si>
  <si>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</si>
  <si>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</si>
  <si>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</si>
  <si>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</si>
  <si>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</si>
  <si>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</si>
  <si>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</si>
  <si>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</si>
  <si>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</si>
  <si>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</si>
  <si>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</si>
  <si>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</si>
  <si>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</si>
  <si>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</si>
  <si>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</si>
  <si>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</si>
  <si>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</si>
  <si>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</si>
  <si>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</si>
  <si>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</si>
  <si>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</si>
  <si>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</si>
  <si>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</si>
  <si>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</si>
  <si>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</si>
  <si>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</si>
  <si>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</si>
  <si>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</si>
  <si>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</si>
  <si>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</si>
  <si>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</si>
  <si>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</si>
  <si>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</si>
  <si>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</si>
  <si>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</si>
  <si>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</si>
  <si>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</si>
  <si>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</si>
  <si>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</si>
  <si>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</si>
  <si>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</si>
  <si>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</si>
  <si>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</si>
  <si>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</si>
  <si>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</si>
  <si>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</si>
  <si>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</si>
  <si>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</si>
  <si>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</si>
  <si>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</si>
  <si>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</si>
  <si>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</si>
  <si>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</si>
  <si>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</si>
  <si>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</si>
  <si>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</si>
  <si>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</si>
  <si>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</si>
  <si>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</si>
  <si>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</si>
  <si>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</si>
  <si>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</si>
  <si>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</si>
  <si>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</si>
  <si>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</si>
  <si>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</si>
  <si>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</si>
  <si>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</si>
  <si>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</si>
  <si>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</si>
  <si>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</si>
  <si>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</si>
  <si>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</si>
  <si>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</si>
  <si>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</si>
  <si>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</si>
  <si>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</si>
  <si>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</si>
  <si>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</si>
  <si>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</si>
  <si>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</si>
  <si>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</si>
  <si>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</si>
  <si>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</si>
  <si>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</si>
  <si>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</si>
  <si>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</si>
  <si>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</si>
  <si>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</si>
  <si>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</si>
  <si>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</si>
  <si>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</si>
  <si>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</si>
  <si>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</si>
  <si>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</si>
  <si>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</si>
  <si>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</si>
  <si>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</si>
  <si>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</si>
  <si>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</si>
  <si>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</si>
  <si>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</si>
  <si>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</si>
  <si>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</si>
  <si>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</si>
  <si>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</si>
  <si>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</si>
  <si>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</si>
  <si>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</si>
  <si>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</si>
  <si>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</si>
  <si>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</si>
  <si>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</si>
  <si>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</si>
  <si>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</si>
  <si>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</si>
  <si>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</si>
  <si>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</si>
  <si>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</si>
  <si>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</si>
  <si>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</si>
  <si>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</si>
  <si>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</si>
  <si>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</si>
  <si>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</si>
  <si>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</si>
  <si>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</si>
  <si>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</si>
  <si>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</si>
  <si>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</si>
  <si>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</si>
  <si>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</si>
  <si>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</si>
  <si>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</si>
  <si>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</si>
  <si>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</si>
  <si>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</si>
  <si>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</si>
  <si>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</si>
  <si>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</si>
  <si>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</si>
  <si>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</si>
  <si>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</si>
  <si>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</si>
  <si>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</si>
  <si>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</si>
  <si>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</si>
  <si>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</si>
  <si>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</si>
  <si>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</si>
  <si>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</si>
  <si>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</si>
  <si>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</si>
  <si>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</si>
  <si>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</si>
  <si>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</si>
  <si>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</si>
  <si>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</si>
  <si>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</si>
  <si>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</si>
  <si>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</si>
  <si>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</si>
  <si>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</si>
  <si>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</si>
  <si>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</si>
  <si>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</si>
  <si>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</si>
  <si>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</si>
  <si>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</si>
  <si>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</si>
  <si>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</si>
  <si>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</si>
  <si>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</si>
  <si>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</si>
  <si>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</si>
  <si>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</si>
  <si>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</si>
  <si>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</si>
  <si>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</si>
  <si>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</si>
  <si>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</si>
  <si>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</si>
  <si>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</si>
  <si>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</si>
  <si>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</si>
  <si>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</si>
  <si>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</si>
  <si>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</si>
  <si>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</si>
  <si>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</si>
  <si>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</si>
  <si>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</si>
  <si>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</si>
  <si>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</si>
  <si>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</si>
  <si>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</si>
  <si>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</si>
  <si>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</si>
  <si>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</si>
  <si>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</si>
  <si>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</si>
  <si>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</si>
  <si>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</si>
  <si>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</si>
  <si>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</si>
  <si>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</si>
  <si>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</si>
  <si>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</si>
  <si>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</si>
  <si>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</si>
  <si>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</si>
  <si>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</si>
  <si>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</si>
  <si>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</si>
  <si>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</si>
  <si>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</si>
  <si>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</si>
  <si>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</si>
  <si>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</si>
  <si>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</si>
  <si>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</si>
  <si>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</si>
  <si>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</si>
  <si>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</si>
  <si>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</si>
  <si>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</si>
  <si>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</si>
  <si>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</si>
  <si>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</si>
  <si>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</si>
  <si>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</si>
  <si>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</si>
  <si>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</si>
  <si>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</si>
  <si>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</si>
  <si>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</si>
  <si>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</si>
  <si>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</si>
  <si>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</si>
  <si>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</si>
  <si>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</si>
  <si>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</si>
  <si>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</si>
  <si>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</si>
  <si>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</si>
  <si>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</si>
  <si>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</si>
  <si>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</si>
  <si>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</si>
  <si>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</si>
  <si>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</si>
  <si>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</si>
  <si>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</si>
  <si>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</si>
  <si>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</si>
  <si>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</si>
  <si>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</si>
  <si>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</si>
  <si>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</si>
  <si>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</si>
  <si>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</si>
  <si>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</si>
  <si>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</si>
  <si>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</si>
  <si>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</si>
  <si>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</si>
  <si>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</si>
  <si>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</si>
  <si>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</si>
  <si>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</si>
  <si>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</si>
  <si>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</si>
  <si>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</si>
  <si>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</si>
  <si>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</si>
  <si>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</si>
  <si>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</si>
  <si>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</si>
  <si>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</si>
  <si>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</si>
  <si>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</si>
  <si>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</si>
  <si>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</si>
  <si>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</si>
  <si>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</si>
  <si>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</si>
  <si>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</si>
  <si>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</si>
  <si>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</si>
  <si>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</si>
  <si>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</si>
  <si>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</si>
  <si>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</si>
  <si>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</si>
  <si>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</si>
  <si>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</si>
  <si>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</si>
  <si>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</si>
  <si>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</si>
  <si>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</si>
  <si>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</si>
  <si>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</si>
  <si>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</si>
  <si>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</si>
  <si>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</si>
  <si>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</si>
  <si>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</si>
  <si>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</si>
  <si>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</si>
  <si>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</si>
  <si>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</si>
  <si>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</si>
  <si>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</si>
  <si>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</si>
  <si>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</si>
  <si>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</si>
  <si>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</si>
  <si>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</si>
  <si>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</si>
  <si>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</si>
  <si>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</si>
  <si>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</si>
  <si>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</si>
  <si>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</si>
  <si>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</si>
  <si>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</si>
  <si>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</si>
  <si>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</si>
  <si>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</si>
  <si>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</si>
  <si>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</si>
  <si>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</si>
  <si>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</si>
  <si>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</si>
  <si>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</si>
  <si>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</si>
  <si>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</si>
  <si>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</si>
  <si>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</si>
  <si>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</si>
  <si>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</si>
  <si>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</si>
  <si>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</si>
  <si>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</si>
  <si>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</si>
  <si>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</si>
  <si>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</si>
  <si>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</si>
  <si>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</si>
  <si>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</si>
  <si>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</si>
  <si>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</si>
  <si>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</si>
  <si>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</si>
  <si>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</si>
  <si>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</si>
  <si>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</si>
  <si>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</si>
  <si>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</si>
  <si>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</si>
  <si>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</si>
  <si>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</si>
  <si>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</si>
  <si>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</si>
  <si>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</si>
  <si>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</si>
  <si>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</si>
  <si>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</si>
  <si>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</si>
  <si>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</si>
  <si>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</si>
  <si>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</si>
  <si>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</si>
  <si>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</si>
  <si>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</si>
  <si>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</si>
  <si>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</si>
  <si>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</si>
  <si>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</si>
  <si>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</si>
  <si>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</si>
  <si>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</si>
  <si>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</si>
  <si>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</si>
  <si>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</si>
  <si>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</si>
  <si>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</si>
  <si>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</si>
  <si>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</si>
  <si>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</si>
  <si>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</si>
  <si>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</si>
  <si>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</si>
  <si>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</si>
  <si>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</si>
  <si>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</si>
  <si>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</si>
  <si>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</si>
  <si>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</si>
  <si>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</si>
  <si>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</si>
  <si>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</si>
  <si>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</si>
  <si>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</si>
  <si>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</si>
  <si>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</si>
  <si>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</si>
  <si>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</si>
  <si>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</si>
  <si>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</si>
  <si>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</si>
  <si>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</si>
  <si>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</si>
  <si>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</si>
  <si>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</si>
  <si>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</si>
  <si>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</si>
  <si>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</si>
  <si>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</si>
  <si>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</si>
  <si>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</si>
  <si>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</si>
  <si>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</si>
  <si>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</si>
  <si>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</si>
  <si>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</si>
  <si>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</si>
  <si>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</si>
  <si>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</si>
  <si>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</si>
  <si>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</si>
  <si>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</si>
  <si>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</si>
  <si>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</si>
  <si>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</si>
  <si>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</si>
  <si>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</si>
  <si>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</si>
  <si>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</si>
  <si>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</si>
  <si>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</si>
  <si>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</si>
  <si>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</si>
  <si>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</si>
  <si>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</si>
  <si>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</si>
  <si>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</si>
  <si>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</si>
  <si>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</si>
  <si>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</si>
  <si>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</si>
  <si>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</si>
  <si>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</si>
  <si>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</si>
  <si>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</si>
  <si>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</si>
  <si>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</si>
  <si>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</si>
  <si>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</si>
  <si>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</si>
  <si>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</si>
  <si>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</si>
  <si>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</si>
  <si>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</si>
  <si>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</si>
  <si>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</si>
  <si>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</si>
  <si>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</si>
  <si>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</si>
  <si>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</si>
  <si>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</si>
  <si>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</si>
  <si>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</si>
  <si>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</si>
  <si>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</si>
  <si>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</si>
  <si>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</si>
  <si>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</si>
  <si>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</si>
  <si>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</si>
  <si>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</si>
  <si>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</si>
  <si>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</si>
  <si>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</si>
  <si>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</si>
  <si>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</si>
  <si>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</si>
  <si>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</si>
  <si>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</si>
  <si>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</si>
  <si>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</si>
  <si>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</si>
  <si>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</si>
  <si>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</si>
  <si>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</si>
  <si>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</si>
  <si>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</si>
  <si>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</si>
  <si>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</si>
  <si>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</si>
  <si>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</si>
  <si>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</si>
  <si>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</si>
  <si>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</si>
  <si>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</si>
  <si>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</si>
  <si>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</si>
  <si>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</si>
  <si>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</si>
  <si>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</si>
  <si>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</si>
  <si>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</si>
  <si>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</si>
  <si>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</si>
  <si>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</si>
  <si>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</si>
  <si>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</si>
  <si>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</si>
  <si>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</si>
  <si>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</si>
  <si>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</si>
  <si>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</si>
  <si>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</si>
  <si>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</si>
  <si>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</si>
  <si>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</si>
  <si>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</si>
  <si>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</si>
  <si>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</si>
  <si>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</si>
  <si>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</si>
  <si>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</si>
  <si>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</si>
  <si>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</si>
  <si>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</si>
  <si>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</si>
  <si>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</si>
  <si>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</si>
  <si>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</si>
  <si>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</si>
  <si>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</si>
  <si>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</si>
  <si>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</si>
  <si>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</si>
  <si>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</si>
  <si>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</si>
  <si>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</si>
  <si>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</si>
  <si>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</si>
  <si>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</si>
  <si>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</si>
  <si>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</si>
  <si>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</si>
  <si>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</si>
  <si>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</si>
  <si>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</si>
  <si>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</si>
  <si>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</si>
  <si>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</si>
  <si>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</si>
  <si>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</si>
  <si>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</si>
  <si>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</si>
  <si>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</si>
  <si>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</si>
  <si>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</si>
  <si>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</si>
  <si>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</si>
  <si>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</si>
  <si>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</si>
  <si>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</si>
  <si>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</si>
  <si>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</si>
  <si>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</si>
  <si>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</si>
  <si>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</si>
  <si>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</si>
  <si>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</si>
  <si>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</si>
  <si>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</si>
  <si>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</si>
  <si>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</si>
  <si>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</si>
  <si>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</si>
  <si>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</si>
  <si>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</si>
  <si>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</si>
  <si>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</si>
  <si>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</si>
  <si>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</si>
  <si>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</si>
  <si>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</si>
  <si>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 პაშა ბანკი საქართველო"</t>
  </si>
  <si>
    <t>როვშან ალაჰვერდიევი</t>
  </si>
  <si>
    <t>რამილ იმამოვ</t>
  </si>
  <si>
    <t>www.pashabank.ge</t>
  </si>
  <si>
    <t>შაჰინ მამმადოვი</t>
  </si>
  <si>
    <t>არადამოუკიდებელ წევრი</t>
  </si>
  <si>
    <t>გიორგი ღლონტი</t>
  </si>
  <si>
    <t>დამოუკიდებელი წევრი</t>
  </si>
  <si>
    <t>ებრუ ოღან კნოტნერუს</t>
  </si>
  <si>
    <t>კამალა ნურიევა</t>
  </si>
  <si>
    <t>როვშან ალლაჰვერდიევ</t>
  </si>
  <si>
    <t>არადამოუკიდებელი თავმჯდომარე</t>
  </si>
  <si>
    <t>დირექტორთა საბჭოს თავჯდომარე/გენერალური დირექტორი</t>
  </si>
  <si>
    <t>პარვინ მამმადოვ</t>
  </si>
  <si>
    <t>ფინანსური დირექტორი</t>
  </si>
  <si>
    <t>ლევან ალადაშვილი</t>
  </si>
  <si>
    <t>რისკების დირექტორი</t>
  </si>
  <si>
    <t>ანზორ მანწკავა</t>
  </si>
  <si>
    <t>საოპერაციო დირექტორი</t>
  </si>
  <si>
    <t xml:space="preserve">ღსს "პაშა ბანკი" </t>
  </si>
  <si>
    <t>შპს პაშა ჰოლდინგ</t>
  </si>
  <si>
    <t xml:space="preserve">არიფ პაშაევი </t>
  </si>
  <si>
    <t xml:space="preserve">არზუ ალიევა </t>
  </si>
  <si>
    <t xml:space="preserve">ლეილა ალიევა </t>
  </si>
  <si>
    <t>მირ ჯამალ პაშაევი</t>
  </si>
  <si>
    <t xml:space="preserve"> ცხრილი 9 (Capital), N38</t>
  </si>
  <si>
    <t xml:space="preserve"> ცხრილი 9 (Capital), N2</t>
  </si>
  <si>
    <t xml:space="preserve"> ცხრილი 9 (Capital), N6</t>
  </si>
  <si>
    <t xml:space="preserve"> ცხრილი 9 (Capital), N15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</si>
</sst>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5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medium">
        <color indexed="64"/>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69"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68"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68"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88" fontId="2" fillId="69" borderId="96" applyFont="0">
      <alignment horizontal="right" vertical="center"/>
    </xf>
    <xf numFmtId="3" fontId="2" fillId="69" borderId="96" applyFont="0">
      <alignment horizontal="right" vertical="center"/>
    </xf>
    <xf numFmtId="0" fontId="83" fillId="63" borderId="100" applyNumberFormat="0" applyAlignment="0" applyProtection="0"/>
    <xf numFmtId="168" fontId="85" fillId="63" borderId="100" applyNumberFormat="0" applyAlignment="0" applyProtection="0"/>
    <xf numFmtId="169" fontId="85" fillId="63" borderId="100" applyNumberFormat="0" applyAlignment="0" applyProtection="0"/>
    <xf numFmtId="168" fontId="85" fillId="63" borderId="100" applyNumberFormat="0" applyAlignment="0" applyProtection="0"/>
    <xf numFmtId="168" fontId="85" fillId="63" borderId="100" applyNumberFormat="0" applyAlignment="0" applyProtection="0"/>
    <xf numFmtId="169" fontId="85" fillId="63" borderId="100" applyNumberFormat="0" applyAlignment="0" applyProtection="0"/>
    <xf numFmtId="168" fontId="85" fillId="63" borderId="100" applyNumberFormat="0" applyAlignment="0" applyProtection="0"/>
    <xf numFmtId="168" fontId="85" fillId="63" borderId="100" applyNumberFormat="0" applyAlignment="0" applyProtection="0"/>
    <xf numFmtId="169" fontId="85" fillId="63" borderId="100" applyNumberFormat="0" applyAlignment="0" applyProtection="0"/>
    <xf numFmtId="168" fontId="85" fillId="63" borderId="100" applyNumberFormat="0" applyAlignment="0" applyProtection="0"/>
    <xf numFmtId="168" fontId="85" fillId="63" borderId="100" applyNumberFormat="0" applyAlignment="0" applyProtection="0"/>
    <xf numFmtId="169" fontId="85" fillId="63" borderId="100" applyNumberFormat="0" applyAlignment="0" applyProtection="0"/>
    <xf numFmtId="168" fontId="85"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169" fontId="85"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168" fontId="85"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168" fontId="85"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0" fontId="83" fillId="63" borderId="100" applyNumberFormat="0" applyAlignment="0" applyProtection="0"/>
    <xf numFmtId="3" fontId="2" fillId="74" borderId="96" applyFont="0">
      <alignment horizontal="right" vertical="center"/>
      <protection locked="0"/>
    </xf>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 fillId="73" borderId="99" applyNumberFormat="0" applyFont="0" applyAlignment="0" applyProtection="0"/>
    <xf numFmtId="0" fontId="27"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0" fontId="27" fillId="73" borderId="99" applyNumberFormat="0" applyFont="0" applyAlignment="0" applyProtection="0"/>
    <xf numFmtId="3" fontId="2" fillId="71" borderId="96" applyFont="0">
      <alignment horizontal="right" vertical="center"/>
      <protection locked="0"/>
    </xf>
    <xf numFmtId="0" fontId="66" fillId="42" borderId="98" applyNumberFormat="0" applyAlignment="0" applyProtection="0"/>
    <xf numFmtId="168" fontId="68" fillId="42" borderId="98" applyNumberFormat="0" applyAlignment="0" applyProtection="0"/>
    <xf numFmtId="169" fontId="68" fillId="42" borderId="98" applyNumberFormat="0" applyAlignment="0" applyProtection="0"/>
    <xf numFmtId="168" fontId="68" fillId="42" borderId="98" applyNumberFormat="0" applyAlignment="0" applyProtection="0"/>
    <xf numFmtId="168" fontId="68" fillId="42" borderId="98" applyNumberFormat="0" applyAlignment="0" applyProtection="0"/>
    <xf numFmtId="169" fontId="68" fillId="42" borderId="98" applyNumberFormat="0" applyAlignment="0" applyProtection="0"/>
    <xf numFmtId="168" fontId="68" fillId="42" borderId="98" applyNumberFormat="0" applyAlignment="0" applyProtection="0"/>
    <xf numFmtId="168" fontId="68" fillId="42" borderId="98" applyNumberFormat="0" applyAlignment="0" applyProtection="0"/>
    <xf numFmtId="169" fontId="68" fillId="42" borderId="98" applyNumberFormat="0" applyAlignment="0" applyProtection="0"/>
    <xf numFmtId="168" fontId="68" fillId="42" borderId="98" applyNumberFormat="0" applyAlignment="0" applyProtection="0"/>
    <xf numFmtId="168" fontId="68" fillId="42" borderId="98" applyNumberFormat="0" applyAlignment="0" applyProtection="0"/>
    <xf numFmtId="169" fontId="68" fillId="42" borderId="98" applyNumberFormat="0" applyAlignment="0" applyProtection="0"/>
    <xf numFmtId="168" fontId="68"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169" fontId="68"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168" fontId="68"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168" fontId="68"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66" fillId="42" borderId="98" applyNumberFormat="0" applyAlignment="0" applyProtection="0"/>
    <xf numFmtId="0" fontId="2" fillId="70" borderId="97" applyNumberFormat="0" applyFont="0" applyBorder="0" applyProtection="0">
      <alignment horizontal="left" vertical="center"/>
    </xf>
    <xf numFmtId="9" fontId="2" fillId="70" borderId="96" applyFont="0" applyProtection="0">
      <alignment horizontal="right" vertical="center"/>
    </xf>
    <xf numFmtId="3" fontId="2" fillId="70" borderId="96" applyFont="0" applyProtection="0">
      <alignment horizontal="right" vertical="center"/>
    </xf>
    <xf numFmtId="0" fontId="62" fillId="69" borderId="97" applyFont="0" applyBorder="0">
      <alignment horizontal="center" wrapText="1"/>
    </xf>
    <xf numFmtId="168" fontId="54" fillId="0" borderId="94">
      <alignment horizontal="left" vertical="center"/>
    </xf>
    <xf numFmtId="0" fontId="54" fillId="0" borderId="94">
      <alignment horizontal="left" vertical="center"/>
    </xf>
    <xf numFmtId="0" fontId="54" fillId="0" borderId="94">
      <alignment horizontal="left" vertical="center"/>
    </xf>
    <xf numFmtId="0" fontId="2" fillId="68" borderId="96" applyNumberFormat="0" applyFont="0" applyBorder="0" applyProtection="0">
      <alignment horizontal="center" vertical="center"/>
    </xf>
    <xf numFmtId="0" fontId="36" fillId="0" borderId="96" applyNumberFormat="0" applyAlignment="0">
      <alignment horizontal="right"/>
      <protection locked="0"/>
    </xf>
    <xf numFmtId="0" fontId="36" fillId="0" borderId="96" applyNumberFormat="0" applyAlignment="0">
      <alignment horizontal="right"/>
      <protection locked="0"/>
    </xf>
    <xf numFmtId="0" fontId="36" fillId="0" borderId="96" applyNumberFormat="0" applyAlignment="0">
      <alignment horizontal="right"/>
      <protection locked="0"/>
    </xf>
    <xf numFmtId="0" fontId="36" fillId="0" borderId="96" applyNumberFormat="0" applyAlignment="0">
      <alignment horizontal="right"/>
      <protection locked="0"/>
    </xf>
    <xf numFmtId="0" fontId="36" fillId="0" borderId="96" applyNumberFormat="0" applyAlignment="0">
      <alignment horizontal="right"/>
      <protection locked="0"/>
    </xf>
    <xf numFmtId="0" fontId="36" fillId="0" borderId="96" applyNumberFormat="0" applyAlignment="0">
      <alignment horizontal="right"/>
      <protection locked="0"/>
    </xf>
    <xf numFmtId="0" fontId="36" fillId="0" borderId="96" applyNumberFormat="0" applyAlignment="0">
      <alignment horizontal="right"/>
      <protection locked="0"/>
    </xf>
    <xf numFmtId="0" fontId="36" fillId="0" borderId="96" applyNumberFormat="0" applyAlignment="0">
      <alignment horizontal="right"/>
      <protection locked="0"/>
    </xf>
    <xf numFmtId="0" fontId="36" fillId="0" borderId="96" applyNumberFormat="0" applyAlignment="0">
      <alignment horizontal="right"/>
      <protection locked="0"/>
    </xf>
    <xf numFmtId="0" fontId="36" fillId="0" borderId="96" applyNumberFormat="0" applyAlignment="0">
      <alignment horizontal="right"/>
      <protection locked="0"/>
    </xf>
    <xf numFmtId="0" fontId="38" fillId="63" borderId="98" applyNumberFormat="0" applyAlignment="0" applyProtection="0"/>
    <xf numFmtId="168" fontId="40" fillId="63" borderId="98" applyNumberFormat="0" applyAlignment="0" applyProtection="0"/>
    <xf numFmtId="169" fontId="40" fillId="63" borderId="98" applyNumberFormat="0" applyAlignment="0" applyProtection="0"/>
    <xf numFmtId="168" fontId="40" fillId="63" borderId="98" applyNumberFormat="0" applyAlignment="0" applyProtection="0"/>
    <xf numFmtId="168" fontId="40" fillId="63" borderId="98" applyNumberFormat="0" applyAlignment="0" applyProtection="0"/>
    <xf numFmtId="169" fontId="40" fillId="63" borderId="98" applyNumberFormat="0" applyAlignment="0" applyProtection="0"/>
    <xf numFmtId="168" fontId="40" fillId="63" borderId="98" applyNumberFormat="0" applyAlignment="0" applyProtection="0"/>
    <xf numFmtId="168" fontId="40" fillId="63" borderId="98" applyNumberFormat="0" applyAlignment="0" applyProtection="0"/>
    <xf numFmtId="169" fontId="40" fillId="63" borderId="98" applyNumberFormat="0" applyAlignment="0" applyProtection="0"/>
    <xf numFmtId="168" fontId="40" fillId="63" borderId="98" applyNumberFormat="0" applyAlignment="0" applyProtection="0"/>
    <xf numFmtId="168" fontId="40" fillId="63" borderId="98" applyNumberFormat="0" applyAlignment="0" applyProtection="0"/>
    <xf numFmtId="169" fontId="40" fillId="63" borderId="98" applyNumberFormat="0" applyAlignment="0" applyProtection="0"/>
    <xf numFmtId="168" fontId="40"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169" fontId="40"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168" fontId="40"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168" fontId="40"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38" fillId="63" borderId="98"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49">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0"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1"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106" fillId="0" borderId="0" xfId="0" applyFont="1"/>
    <xf numFmtId="49" fontId="106" fillId="0" borderId="7" xfId="0" applyNumberFormat="1" applyFont="1" applyBorder="1" applyAlignment="1">
      <alignment horizontal="right" vertical="center"/>
    </xf>
    <xf numFmtId="49" fontId="106" fillId="0" borderId="74" xfId="0" applyNumberFormat="1" applyFont="1" applyBorder="1" applyAlignment="1">
      <alignment horizontal="right" vertical="center"/>
    </xf>
    <xf numFmtId="49" fontId="106" fillId="0" borderId="77" xfId="0" applyNumberFormat="1" applyFont="1" applyBorder="1" applyAlignment="1">
      <alignment horizontal="right" vertical="center"/>
    </xf>
    <xf numFmtId="49" fontId="106" fillId="0" borderId="82" xfId="0" applyNumberFormat="1" applyFont="1" applyBorder="1" applyAlignment="1">
      <alignment horizontal="right" vertical="center"/>
    </xf>
    <xf numFmtId="0" fontId="106" fillId="0" borderId="0" xfId="0" applyFont="1" applyAlignment="1">
      <alignment horizontal="left"/>
    </xf>
    <xf numFmtId="0" fontId="106" fillId="0" borderId="82"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4" fillId="0" borderId="3" xfId="0" applyNumberFormat="1" applyFont="1" applyBorder="1"/>
    <xf numFmtId="193" fontId="4" fillId="35"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5" borderId="51" xfId="0" applyNumberFormat="1" applyFont="1" applyFill="1" applyBorder="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xf numFmtId="0" fontId="4" fillId="0" borderId="26" xfId="0" applyFont="1" applyBorder="1" applyAlignment="1">
      <alignment wrapText="1"/>
    </xf>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67" fontId="4" fillId="0" borderId="20" xfId="0" applyNumberFormat="1" applyFont="1" applyBorder="1"/>
    <xf numFmtId="0" fontId="4" fillId="35" borderId="24" xfId="0" applyFont="1" applyFill="1" applyBorder="1"/>
    <xf numFmtId="167"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6" borderId="0" xfId="20"/>
    <xf numFmtId="169" fontId="26" fillId="36" borderId="90" xfId="20" applyBorder="1"/>
    <xf numFmtId="0" fontId="4" fillId="0" borderId="7" xfId="0" applyFont="1" applyBorder="1" applyAlignment="1">
      <alignment vertical="center"/>
    </xf>
    <xf numFmtId="0" fontId="4" fillId="0" borderId="53" xfId="0" applyFont="1" applyBorder="1" applyAlignment="1">
      <alignment vertical="center"/>
    </xf>
    <xf numFmtId="0" fontId="4" fillId="0" borderId="17" xfId="0" applyFont="1" applyBorder="1" applyAlignment="1">
      <alignment vertical="center"/>
    </xf>
    <xf numFmtId="0" fontId="4" fillId="0" borderId="93" xfId="0" applyFont="1" applyBorder="1" applyAlignment="1">
      <alignment vertical="center"/>
    </xf>
    <xf numFmtId="0" fontId="4" fillId="0" borderId="62" xfId="0" applyFont="1" applyBorder="1" applyAlignment="1">
      <alignment vertical="center"/>
    </xf>
    <xf numFmtId="0" fontId="4" fillId="0" borderId="16" xfId="0" applyFont="1" applyBorder="1" applyAlignment="1">
      <alignment horizontal="center" vertical="center"/>
    </xf>
    <xf numFmtId="0" fontId="4" fillId="0" borderId="103" xfId="0" applyFont="1" applyBorder="1" applyAlignment="1">
      <alignment horizontal="center" vertical="center"/>
    </xf>
    <xf numFmtId="0" fontId="4" fillId="0" borderId="105" xfId="0" applyFont="1" applyBorder="1" applyAlignment="1">
      <alignment horizontal="center" vertical="center"/>
    </xf>
    <xf numFmtId="169" fontId="26" fillId="36" borderId="29" xfId="20" applyBorder="1"/>
    <xf numFmtId="169" fontId="26" fillId="36" borderId="106" xfId="20" applyBorder="1"/>
    <xf numFmtId="169" fontId="26" fillId="36" borderId="55" xfId="20" applyBorder="1"/>
    <xf numFmtId="0" fontId="4" fillId="3" borderId="61" xfId="0" applyFont="1" applyFill="1" applyBorder="1" applyAlignment="1">
      <alignment horizontal="center" vertical="center"/>
    </xf>
    <xf numFmtId="0" fontId="4" fillId="0" borderId="67" xfId="0" applyFont="1" applyBorder="1" applyAlignment="1">
      <alignment horizontal="center" vertical="center"/>
    </xf>
    <xf numFmtId="0" fontId="14" fillId="3" borderId="107" xfId="0" applyFont="1" applyFill="1" applyBorder="1" applyAlignment="1">
      <alignment horizontal="left"/>
    </xf>
    <xf numFmtId="0" fontId="106" fillId="0" borderId="84" xfId="0" applyFont="1" applyBorder="1" applyAlignment="1">
      <alignment horizontal="right" vertical="center"/>
    </xf>
    <xf numFmtId="0" fontId="6" fillId="3" borderId="109" xfId="0" applyFont="1" applyFill="1" applyBorder="1" applyAlignment="1">
      <alignment vertical="center"/>
    </xf>
    <xf numFmtId="0" fontId="4" fillId="3" borderId="21" xfId="0" applyFont="1" applyFill="1" applyBorder="1" applyAlignment="1">
      <alignment vertical="center"/>
    </xf>
    <xf numFmtId="169" fontId="26" fillId="36" borderId="25" xfId="20" applyBorder="1"/>
    <xf numFmtId="0" fontId="4" fillId="0" borderId="7" xfId="0" applyFont="1" applyBorder="1" applyAlignment="1">
      <alignment horizontal="center" vertical="center" wrapText="1"/>
    </xf>
    <xf numFmtId="0" fontId="4" fillId="0" borderId="62"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0" xfId="0" applyBorder="1"/>
    <xf numFmtId="0" fontId="0" fillId="0" borderId="22" xfId="0" applyBorder="1"/>
    <xf numFmtId="0" fontId="6" fillId="35" borderId="111"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0" xfId="0" applyFont="1" applyFill="1" applyBorder="1" applyAlignment="1">
      <alignment horizontal="left" vertical="center" wrapText="1"/>
    </xf>
    <xf numFmtId="0" fontId="6" fillId="35" borderId="96" xfId="0" applyFont="1" applyFill="1" applyBorder="1" applyAlignment="1">
      <alignment horizontal="left" vertical="center" wrapText="1"/>
    </xf>
    <xf numFmtId="0" fontId="6" fillId="35" borderId="108" xfId="0" applyFont="1" applyFill="1" applyBorder="1" applyAlignment="1">
      <alignment horizontal="left" vertical="center" wrapText="1"/>
    </xf>
    <xf numFmtId="0" fontId="4" fillId="0" borderId="110" xfId="0" applyFont="1" applyBorder="1" applyAlignment="1">
      <alignment horizontal="right" vertical="center" wrapText="1"/>
    </xf>
    <xf numFmtId="0" fontId="4" fillId="0" borderId="96" xfId="0" applyFont="1" applyBorder="1" applyAlignment="1">
      <alignment horizontal="left" vertical="center" wrapText="1"/>
    </xf>
    <xf numFmtId="0" fontId="109" fillId="0" borderId="110" xfId="0" applyFont="1" applyBorder="1" applyAlignment="1">
      <alignment horizontal="right" vertical="center" wrapText="1"/>
    </xf>
    <xf numFmtId="0" fontId="109" fillId="0" borderId="96" xfId="0" applyFont="1" applyBorder="1" applyAlignment="1">
      <alignment horizontal="left" vertical="center" wrapText="1"/>
    </xf>
    <xf numFmtId="0" fontId="6" fillId="0" borderId="110"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0" xfId="0" applyFont="1" applyBorder="1" applyAlignment="1">
      <alignment horizontal="center" vertical="center" wrapText="1"/>
    </xf>
    <xf numFmtId="3" fontId="21" fillId="35" borderId="96" xfId="0" applyNumberFormat="1" applyFont="1" applyFill="1" applyBorder="1" applyAlignment="1">
      <alignment vertical="center" wrapText="1"/>
    </xf>
    <xf numFmtId="3" fontId="21" fillId="35" borderId="108" xfId="0" applyNumberFormat="1" applyFont="1" applyFill="1" applyBorder="1" applyAlignment="1">
      <alignment vertical="center" wrapText="1"/>
    </xf>
    <xf numFmtId="14" fontId="7" fillId="3" borderId="96" xfId="8" quotePrefix="1" applyNumberFormat="1" applyFont="1" applyFill="1" applyBorder="1" applyAlignment="1" applyProtection="1">
      <alignment horizontal="left" vertical="center" wrapText="1" indent="2"/>
      <protection locked="0"/>
    </xf>
    <xf numFmtId="3" fontId="21" fillId="0" borderId="96" xfId="0" applyNumberFormat="1" applyFont="1" applyBorder="1" applyAlignment="1">
      <alignment vertical="center" wrapText="1"/>
    </xf>
    <xf numFmtId="14" fontId="7" fillId="3" borderId="96" xfId="8" quotePrefix="1" applyNumberFormat="1" applyFont="1" applyFill="1" applyBorder="1" applyAlignment="1" applyProtection="1">
      <alignment horizontal="left" vertical="center" wrapText="1" indent="3"/>
      <protection locked="0"/>
    </xf>
    <xf numFmtId="0" fontId="11" fillId="0" borderId="96" xfId="17" applyFill="1" applyBorder="1" applyAlignment="1" applyProtection="1"/>
    <xf numFmtId="49" fontId="109" fillId="0" borderId="110" xfId="0" applyNumberFormat="1" applyFont="1" applyBorder="1" applyAlignment="1">
      <alignment horizontal="right" vertical="center" wrapText="1"/>
    </xf>
    <xf numFmtId="0" fontId="7" fillId="3" borderId="96" xfId="20960" applyFont="1" applyFill="1" applyBorder="1"/>
    <xf numFmtId="0" fontId="103" fillId="0" borderId="96" xfId="20960" applyFont="1" applyBorder="1" applyAlignment="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9" fillId="0" borderId="96" xfId="0" applyNumberFormat="1" applyFont="1" applyBorder="1" applyAlignment="1">
      <alignment horizontal="right" vertical="center" wrapText="1"/>
    </xf>
    <xf numFmtId="0" fontId="11" fillId="0" borderId="96" xfId="17" applyFill="1" applyBorder="1" applyAlignment="1" applyProtection="1">
      <alignment horizontal="left" vertical="center"/>
    </xf>
    <xf numFmtId="1" fontId="4" fillId="0" borderId="108" xfId="0" applyNumberFormat="1" applyFont="1" applyBorder="1" applyAlignment="1">
      <alignment horizontal="right" vertical="center" wrapText="1"/>
    </xf>
    <xf numFmtId="1" fontId="6" fillId="35" borderId="108" xfId="0" applyNumberFormat="1" applyFont="1" applyFill="1" applyBorder="1" applyAlignment="1">
      <alignment horizontal="right" vertical="center" wrapText="1"/>
    </xf>
    <xf numFmtId="1" fontId="109" fillId="0" borderId="108" xfId="0" applyNumberFormat="1" applyFont="1" applyBorder="1" applyAlignment="1">
      <alignment horizontal="right" vertical="center" wrapText="1"/>
    </xf>
    <xf numFmtId="1" fontId="6" fillId="35" borderId="108" xfId="0" applyNumberFormat="1" applyFont="1" applyFill="1" applyBorder="1" applyAlignment="1">
      <alignment horizontal="center" vertical="center" wrapText="1"/>
    </xf>
    <xf numFmtId="1" fontId="7" fillId="0" borderId="24" xfId="1" applyNumberFormat="1" applyFont="1" applyFill="1" applyBorder="1" applyAlignment="1" applyProtection="1">
      <alignment horizontal="right" vertical="center"/>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left" vertical="center" wrapText="1"/>
    </xf>
    <xf numFmtId="10" fontId="109" fillId="0" borderId="96" xfId="20961" applyNumberFormat="1" applyFont="1" applyFill="1" applyBorder="1" applyAlignment="1">
      <alignment horizontal="left" vertical="center" wrapText="1"/>
    </xf>
    <xf numFmtId="10" fontId="6" fillId="35"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0" xfId="0" applyFont="1" applyBorder="1" applyAlignment="1">
      <alignment horizontal="right" vertical="center" wrapText="1"/>
    </xf>
    <xf numFmtId="0" fontId="7" fillId="0" borderId="96" xfId="0" applyFont="1" applyBorder="1" applyAlignment="1">
      <alignment vertical="center" wrapText="1"/>
    </xf>
    <xf numFmtId="0" fontId="4" fillId="0" borderId="96" xfId="0" applyFont="1" applyBorder="1" applyAlignment="1">
      <alignment vertical="center" wrapText="1"/>
    </xf>
    <xf numFmtId="0" fontId="4" fillId="0" borderId="96" xfId="0" applyFont="1" applyBorder="1" applyAlignment="1">
      <alignment horizontal="left" vertical="center" wrapText="1" indent="2"/>
    </xf>
    <xf numFmtId="3" fontId="21" fillId="35" borderId="97"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97" xfId="0" applyNumberFormat="1" applyFont="1" applyBorder="1" applyAlignment="1">
      <alignment vertical="center" wrapText="1"/>
    </xf>
    <xf numFmtId="3" fontId="21" fillId="0" borderId="21" xfId="0" applyNumberFormat="1" applyFont="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08" xfId="0" applyFont="1" applyBorder="1"/>
    <xf numFmtId="0" fontId="4" fillId="0" borderId="24" xfId="0" applyFont="1" applyBorder="1"/>
    <xf numFmtId="0" fontId="9" fillId="0" borderId="108" xfId="0" applyFont="1" applyBorder="1"/>
    <xf numFmtId="0" fontId="9" fillId="0" borderId="108" xfId="0" applyFont="1" applyBorder="1" applyAlignment="1">
      <alignment wrapText="1"/>
    </xf>
    <xf numFmtId="0" fontId="10" fillId="0" borderId="18" xfId="0" applyFont="1" applyBorder="1" applyAlignment="1">
      <alignment horizontal="center"/>
    </xf>
    <xf numFmtId="0" fontId="10" fillId="0" borderId="108"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0" xfId="0" applyFont="1" applyBorder="1" applyAlignment="1">
      <alignment horizontal="center" vertical="center" wrapText="1"/>
    </xf>
    <xf numFmtId="0" fontId="15" fillId="0" borderId="96" xfId="0" applyFont="1" applyBorder="1" applyAlignment="1">
      <alignment horizontal="center" vertical="center" wrapText="1"/>
    </xf>
    <xf numFmtId="0" fontId="16" fillId="0" borderId="96" xfId="0" applyFont="1" applyBorder="1" applyAlignment="1">
      <alignment horizontal="left" vertical="center" wrapText="1"/>
    </xf>
    <xf numFmtId="193" fontId="7" fillId="0" borderId="96" xfId="0" applyNumberFormat="1" applyFont="1" applyBorder="1" applyAlignment="1" applyProtection="1">
      <alignment vertical="center" wrapText="1"/>
      <protection locked="0"/>
    </xf>
    <xf numFmtId="193" fontId="4" fillId="0" borderId="96" xfId="0" applyNumberFormat="1" applyFont="1" applyBorder="1" applyAlignment="1" applyProtection="1">
      <alignment vertical="center" wrapText="1"/>
      <protection locked="0"/>
    </xf>
    <xf numFmtId="193" fontId="4" fillId="0" borderId="108" xfId="0" applyNumberFormat="1" applyFont="1" applyBorder="1" applyAlignment="1" applyProtection="1">
      <alignment vertical="center" wrapText="1"/>
      <protection locked="0"/>
    </xf>
    <xf numFmtId="193" fontId="7" fillId="0" borderId="96" xfId="0" applyNumberFormat="1" applyFont="1" applyBorder="1" applyAlignment="1" applyProtection="1">
      <alignment horizontal="right" vertical="center" wrapText="1"/>
      <protection locked="0"/>
    </xf>
    <xf numFmtId="0" fontId="9" fillId="2" borderId="110"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193" fontId="17" fillId="2" borderId="96"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193" fontId="9" fillId="2" borderId="108" xfId="0" applyNumberFormat="1" applyFont="1" applyFill="1" applyBorder="1" applyAlignment="1" applyProtection="1">
      <alignment vertical="center"/>
      <protection locked="0"/>
    </xf>
    <xf numFmtId="0" fontId="15" fillId="0" borderId="110" xfId="0" applyFont="1" applyBorder="1" applyAlignment="1">
      <alignment horizontal="center" vertical="center" wrapText="1"/>
    </xf>
    <xf numFmtId="14" fontId="4" fillId="0" borderId="0" xfId="0" applyNumberFormat="1" applyFont="1"/>
    <xf numFmtId="10" fontId="4" fillId="0" borderId="96" xfId="20961" applyNumberFormat="1" applyFont="1" applyFill="1" applyBorder="1" applyAlignment="1" applyProtection="1">
      <alignment horizontal="right" vertical="center" wrapText="1"/>
      <protection locked="0"/>
    </xf>
    <xf numFmtId="10" fontId="4" fillId="0" borderId="96" xfId="20961" applyNumberFormat="1" applyFont="1" applyBorder="1" applyAlignment="1" applyProtection="1">
      <alignment vertical="center" wrapText="1"/>
      <protection locked="0"/>
    </xf>
    <xf numFmtId="10" fontId="4" fillId="0" borderId="108" xfId="20961" applyNumberFormat="1" applyFont="1" applyBorder="1" applyAlignment="1" applyProtection="1">
      <alignment vertical="center" wrapText="1"/>
      <protection locked="0"/>
    </xf>
    <xf numFmtId="0" fontId="4" fillId="3" borderId="54" xfId="0" applyFont="1" applyFill="1" applyBorder="1"/>
    <xf numFmtId="0" fontId="4" fillId="3" borderId="113" xfId="0" applyFont="1" applyFill="1" applyBorder="1" applyAlignment="1">
      <alignment wrapText="1"/>
    </xf>
    <xf numFmtId="0" fontId="4" fillId="3" borderId="114" xfId="0" applyFont="1" applyFill="1" applyBorder="1"/>
    <xf numFmtId="0" fontId="6" fillId="3" borderId="11" xfId="0" applyFont="1" applyFill="1" applyBorder="1" applyAlignment="1">
      <alignment horizontal="center" wrapText="1"/>
    </xf>
    <xf numFmtId="0" fontId="4" fillId="0" borderId="96" xfId="0" applyFont="1" applyBorder="1" applyAlignment="1">
      <alignment horizontal="center"/>
    </xf>
    <xf numFmtId="0" fontId="4" fillId="3" borderId="61"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0" xfId="0" applyFont="1" applyFill="1" applyBorder="1" applyAlignment="1">
      <alignment horizontal="center" vertical="center" wrapText="1"/>
    </xf>
    <xf numFmtId="0" fontId="4" fillId="0" borderId="110" xfId="0" applyFont="1" applyBorder="1"/>
    <xf numFmtId="0" fontId="4" fillId="0" borderId="96" xfId="0" applyFont="1" applyBorder="1" applyAlignment="1">
      <alignment wrapText="1"/>
    </xf>
    <xf numFmtId="164" fontId="4" fillId="0" borderId="96" xfId="7" applyNumberFormat="1" applyFont="1" applyBorder="1"/>
    <xf numFmtId="164" fontId="4" fillId="0" borderId="108" xfId="7" applyNumberFormat="1" applyFont="1" applyBorder="1"/>
    <xf numFmtId="0" fontId="14" fillId="0" borderId="96" xfId="0" applyFont="1" applyBorder="1" applyAlignment="1">
      <alignment horizontal="left" wrapText="1" indent="2"/>
    </xf>
    <xf numFmtId="169" fontId="26" fillId="36" borderId="96" xfId="20" applyBorder="1"/>
    <xf numFmtId="164" fontId="4" fillId="0" borderId="96" xfId="7" applyNumberFormat="1" applyFont="1" applyBorder="1" applyAlignment="1">
      <alignment vertical="center"/>
    </xf>
    <xf numFmtId="0" fontId="6" fillId="0" borderId="110" xfId="0" applyFont="1" applyBorder="1"/>
    <xf numFmtId="0" fontId="6" fillId="0" borderId="96" xfId="0" applyFont="1" applyBorder="1" applyAlignment="1">
      <alignment wrapText="1"/>
    </xf>
    <xf numFmtId="164" fontId="6" fillId="0" borderId="108"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4" fillId="0" borderId="96"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6" fillId="36" borderId="111" xfId="20" applyBorder="1"/>
    <xf numFmtId="10" fontId="6" fillId="0" borderId="24" xfId="20961" applyNumberFormat="1" applyFont="1" applyBorder="1"/>
    <xf numFmtId="0" fontId="9" fillId="2" borderId="103" xfId="0" applyFont="1" applyFill="1" applyBorder="1" applyAlignment="1">
      <alignment horizontal="right" vertical="center"/>
    </xf>
    <xf numFmtId="0" fontId="9" fillId="2" borderId="92" xfId="0" applyFont="1" applyFill="1" applyBorder="1" applyAlignment="1">
      <alignment vertical="center"/>
    </xf>
    <xf numFmtId="193" fontId="9" fillId="2" borderId="92" xfId="0" applyNumberFormat="1" applyFont="1" applyFill="1" applyBorder="1" applyAlignment="1" applyProtection="1">
      <alignment vertical="center"/>
      <protection locked="0"/>
    </xf>
    <xf numFmtId="193" fontId="17" fillId="2" borderId="92" xfId="0" applyNumberFormat="1" applyFont="1" applyFill="1" applyBorder="1" applyAlignment="1" applyProtection="1">
      <alignment vertical="center"/>
      <protection locked="0"/>
    </xf>
    <xf numFmtId="193" fontId="17" fillId="2" borderId="104" xfId="0" applyNumberFormat="1" applyFont="1" applyFill="1" applyBorder="1" applyAlignment="1" applyProtection="1">
      <alignment vertical="center"/>
      <protection locked="0"/>
    </xf>
    <xf numFmtId="0" fontId="9" fillId="0" borderId="96" xfId="0" applyFont="1" applyBorder="1" applyAlignment="1">
      <alignment horizontal="left" vertical="center" wrapText="1"/>
    </xf>
    <xf numFmtId="0" fontId="6" fillId="3" borderId="0" xfId="0" applyFont="1" applyFill="1" applyAlignment="1">
      <alignment horizontal="center"/>
    </xf>
    <xf numFmtId="0" fontId="106" fillId="0" borderId="84" xfId="0" applyFont="1" applyBorder="1" applyAlignment="1">
      <alignment horizontal="left" vertical="center"/>
    </xf>
    <xf numFmtId="0" fontId="106" fillId="0" borderId="82" xfId="0" applyFont="1" applyBorder="1" applyAlignment="1">
      <alignment vertical="center" wrapText="1"/>
    </xf>
    <xf numFmtId="0" fontId="106" fillId="0" borderId="82"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4" xfId="0" applyFont="1" applyBorder="1" applyAlignment="1">
      <alignment horizontal="left" vertical="center" wrapText="1"/>
    </xf>
    <xf numFmtId="0" fontId="125" fillId="0" borderId="0" xfId="0" applyFont="1"/>
    <xf numFmtId="49" fontId="106" fillId="0" borderId="96"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3" fontId="7" fillId="3" borderId="108" xfId="2" applyNumberFormat="1" applyFont="1" applyFill="1" applyBorder="1" applyAlignment="1" applyProtection="1">
      <alignment vertical="top" wrapText="1"/>
      <protection locked="0"/>
    </xf>
    <xf numFmtId="0" fontId="130" fillId="3" borderId="96" xfId="21414" applyFont="1" applyFill="1" applyBorder="1" applyAlignment="1">
      <alignment horizontal="left" vertical="center" wrapText="1"/>
    </xf>
    <xf numFmtId="0" fontId="131" fillId="0" borderId="96" xfId="21414" applyFont="1" applyBorder="1" applyAlignment="1">
      <alignment horizontal="left" vertical="center" wrapText="1" indent="1"/>
    </xf>
    <xf numFmtId="0" fontId="132" fillId="3" borderId="96" xfId="21414" applyFont="1" applyFill="1" applyBorder="1" applyAlignment="1">
      <alignment horizontal="left" vertical="center" wrapText="1"/>
    </xf>
    <xf numFmtId="0" fontId="133" fillId="0" borderId="96" xfId="21414" applyFont="1" applyBorder="1" applyAlignment="1">
      <alignment horizontal="left" vertical="center" wrapText="1" indent="1"/>
    </xf>
    <xf numFmtId="0" fontId="132" fillId="3" borderId="131" xfId="0" applyFont="1" applyFill="1" applyBorder="1" applyAlignment="1">
      <alignment horizontal="left" vertical="center" wrapText="1"/>
    </xf>
    <xf numFmtId="0" fontId="135" fillId="0" borderId="132" xfId="0" applyFont="1" applyBorder="1" applyAlignment="1">
      <alignment horizontal="left"/>
    </xf>
    <xf numFmtId="0" fontId="132" fillId="0" borderId="132" xfId="0" applyFont="1" applyBorder="1" applyAlignment="1">
      <alignment horizontal="left" vertical="center" wrapText="1"/>
    </xf>
    <xf numFmtId="0" fontId="0" fillId="0" borderId="0" xfId="0" applyAlignment="1">
      <alignment horizontal="left" vertical="center"/>
    </xf>
    <xf numFmtId="0" fontId="9" fillId="0" borderId="132" xfId="0" applyFont="1" applyBorder="1" applyAlignment="1">
      <alignment horizontal="center" vertical="center" wrapText="1"/>
    </xf>
    <xf numFmtId="0" fontId="9" fillId="0" borderId="108" xfId="0" applyFont="1" applyBorder="1" applyAlignment="1">
      <alignment horizontal="center" vertical="center" wrapText="1"/>
    </xf>
    <xf numFmtId="0" fontId="0" fillId="0" borderId="132" xfId="0" applyBorder="1" applyAlignment="1">
      <alignment horizontal="center"/>
    </xf>
    <xf numFmtId="193" fontId="9" fillId="0" borderId="132" xfId="0" applyNumberFormat="1" applyFont="1" applyBorder="1" applyAlignment="1">
      <alignment horizontal="right"/>
    </xf>
    <xf numFmtId="193" fontId="9" fillId="35" borderId="132" xfId="0" applyNumberFormat="1" applyFont="1" applyFill="1" applyBorder="1" applyAlignment="1">
      <alignment horizontal="right"/>
    </xf>
    <xf numFmtId="193" fontId="9" fillId="35" borderId="108" xfId="0" applyNumberFormat="1" applyFont="1" applyFill="1" applyBorder="1" applyAlignment="1">
      <alignment horizontal="right"/>
    </xf>
    <xf numFmtId="0" fontId="15" fillId="0" borderId="132" xfId="0" applyFont="1" applyBorder="1" applyAlignment="1">
      <alignment vertical="center" wrapText="1"/>
    </xf>
    <xf numFmtId="0" fontId="7" fillId="0" borderId="132" xfId="0" applyFont="1" applyBorder="1" applyAlignment="1">
      <alignment horizontal="left" vertical="center" wrapText="1" indent="1"/>
    </xf>
    <xf numFmtId="0" fontId="3" fillId="0" borderId="132" xfId="0" applyFont="1" applyBorder="1" applyAlignment="1">
      <alignment vertical="center"/>
    </xf>
    <xf numFmtId="0" fontId="136" fillId="0" borderId="132" xfId="0" applyFont="1" applyBorder="1" applyAlignment="1" applyProtection="1">
      <alignment horizontal="left" vertical="center" indent="1"/>
      <protection locked="0"/>
    </xf>
    <xf numFmtId="0" fontId="137" fillId="0" borderId="132" xfId="0" applyFont="1" applyBorder="1" applyAlignment="1" applyProtection="1">
      <alignment horizontal="left" vertical="center" indent="3"/>
      <protection locked="0"/>
    </xf>
    <xf numFmtId="0" fontId="138" fillId="0" borderId="132" xfId="0" applyFont="1" applyBorder="1" applyAlignment="1" applyProtection="1">
      <alignment horizontal="left" vertical="center" indent="3"/>
      <protection locked="0"/>
    </xf>
    <xf numFmtId="0" fontId="3" fillId="0" borderId="132" xfId="0" applyFont="1" applyBorder="1"/>
    <xf numFmtId="0" fontId="0" fillId="0" borderId="0" xfId="0" applyAlignment="1">
      <alignment horizontal="center"/>
    </xf>
    <xf numFmtId="193" fontId="9" fillId="0" borderId="0" xfId="0" applyNumberFormat="1" applyFont="1" applyAlignment="1">
      <alignment horizontal="right"/>
    </xf>
    <xf numFmtId="49" fontId="106" fillId="0" borderId="132" xfId="0" applyNumberFormat="1" applyFont="1" applyBorder="1" applyAlignment="1">
      <alignment horizontal="right" vertical="center"/>
    </xf>
    <xf numFmtId="0" fontId="0" fillId="0" borderId="132" xfId="0" applyBorder="1" applyAlignment="1">
      <alignment horizontal="center" vertical="center"/>
    </xf>
    <xf numFmtId="43" fontId="4" fillId="0" borderId="132" xfId="7" applyFont="1" applyFill="1" applyBorder="1" applyAlignment="1">
      <alignment vertical="center" wrapText="1"/>
    </xf>
    <xf numFmtId="43" fontId="4" fillId="0" borderId="96" xfId="7" applyFont="1" applyBorder="1" applyAlignment="1">
      <alignment vertical="center"/>
    </xf>
    <xf numFmtId="43" fontId="4" fillId="0" borderId="132" xfId="7" applyFont="1" applyBorder="1" applyAlignment="1">
      <alignment vertical="center"/>
    </xf>
    <xf numFmtId="0" fontId="0" fillId="0" borderId="136" xfId="0" applyBorder="1" applyAlignment="1">
      <alignment horizontal="center"/>
    </xf>
    <xf numFmtId="0" fontId="131" fillId="0" borderId="132" xfId="0" applyFont="1" applyBorder="1" applyAlignment="1">
      <alignment horizontal="left" vertical="center" wrapText="1" indent="1"/>
    </xf>
    <xf numFmtId="0" fontId="133" fillId="3" borderId="132" xfId="0" applyFont="1" applyFill="1" applyBorder="1" applyAlignment="1">
      <alignment horizontal="left" vertical="center" wrapText="1" indent="1"/>
    </xf>
    <xf numFmtId="0" fontId="133" fillId="0" borderId="132" xfId="0" applyFont="1" applyBorder="1" applyAlignment="1">
      <alignment horizontal="left" vertical="center" wrapText="1" indent="1"/>
    </xf>
    <xf numFmtId="167" fontId="22" fillId="0" borderId="56" xfId="0" applyNumberFormat="1" applyFont="1" applyBorder="1" applyAlignment="1">
      <alignment horizontal="center"/>
    </xf>
    <xf numFmtId="167" fontId="18" fillId="0" borderId="58" xfId="0" applyNumberFormat="1" applyFont="1" applyBorder="1" applyAlignment="1">
      <alignment horizontal="center"/>
    </xf>
    <xf numFmtId="0" fontId="120" fillId="0" borderId="132" xfId="0" applyFont="1" applyBorder="1"/>
    <xf numFmtId="49" fontId="122" fillId="0" borderId="132" xfId="5" applyNumberFormat="1" applyFont="1" applyBorder="1" applyAlignment="1" applyProtection="1">
      <alignment horizontal="right" vertical="center"/>
      <protection locked="0"/>
    </xf>
    <xf numFmtId="0" fontId="121" fillId="3" borderId="132" xfId="13" applyFont="1" applyFill="1" applyBorder="1" applyAlignment="1" applyProtection="1">
      <alignment horizontal="left" vertical="center" wrapText="1"/>
      <protection locked="0"/>
    </xf>
    <xf numFmtId="49" fontId="121" fillId="3" borderId="132" xfId="5" applyNumberFormat="1" applyFont="1" applyFill="1" applyBorder="1" applyAlignment="1" applyProtection="1">
      <alignment horizontal="right" vertical="center"/>
      <protection locked="0"/>
    </xf>
    <xf numFmtId="0" fontId="121" fillId="0" borderId="132" xfId="13" applyFont="1" applyBorder="1" applyAlignment="1" applyProtection="1">
      <alignment horizontal="left" vertical="center" wrapText="1"/>
      <protection locked="0"/>
    </xf>
    <xf numFmtId="49" fontId="121" fillId="0" borderId="132" xfId="5" applyNumberFormat="1" applyFont="1" applyBorder="1" applyAlignment="1" applyProtection="1">
      <alignment horizontal="right" vertical="center"/>
      <protection locked="0"/>
    </xf>
    <xf numFmtId="0" fontId="123" fillId="0" borderId="132" xfId="13" applyFont="1" applyBorder="1" applyAlignment="1" applyProtection="1">
      <alignment horizontal="left" vertical="center" wrapText="1"/>
      <protection locked="0"/>
    </xf>
    <xf numFmtId="0" fontId="120" fillId="0" borderId="132" xfId="0" applyFont="1" applyBorder="1" applyAlignment="1">
      <alignment horizontal="center" vertical="center" wrapText="1"/>
    </xf>
    <xf numFmtId="166" fontId="116" fillId="35" borderId="139" xfId="21413" applyFont="1" applyFill="1" applyBorder="1"/>
    <xf numFmtId="0" fontId="116" fillId="0" borderId="139" xfId="0" applyFont="1" applyBorder="1"/>
    <xf numFmtId="0" fontId="116" fillId="0" borderId="139" xfId="0" applyFont="1" applyBorder="1" applyAlignment="1">
      <alignment horizontal="left" indent="8"/>
    </xf>
    <xf numFmtId="0" fontId="116" fillId="0" borderId="139" xfId="0" applyFont="1" applyBorder="1" applyAlignment="1">
      <alignment wrapText="1"/>
    </xf>
    <xf numFmtId="0" fontId="119" fillId="0" borderId="139" xfId="0" applyFont="1" applyBorder="1"/>
    <xf numFmtId="49" fontId="122" fillId="0" borderId="139" xfId="5" applyNumberFormat="1" applyFont="1" applyBorder="1" applyAlignment="1" applyProtection="1">
      <alignment horizontal="right" vertical="center" wrapText="1"/>
      <protection locked="0"/>
    </xf>
    <xf numFmtId="49" fontId="121" fillId="3" borderId="139" xfId="5" applyNumberFormat="1" applyFont="1" applyFill="1" applyBorder="1" applyAlignment="1" applyProtection="1">
      <alignment horizontal="right" vertical="center" wrapText="1"/>
      <protection locked="0"/>
    </xf>
    <xf numFmtId="49" fontId="121" fillId="0" borderId="139" xfId="5" applyNumberFormat="1" applyFont="1" applyBorder="1" applyAlignment="1" applyProtection="1">
      <alignment horizontal="right" vertical="center" wrapText="1"/>
      <protection locked="0"/>
    </xf>
    <xf numFmtId="0" fontId="116" fillId="0" borderId="139" xfId="0" applyFont="1" applyBorder="1" applyAlignment="1">
      <alignment horizontal="center" vertical="center" wrapText="1"/>
    </xf>
    <xf numFmtId="0" fontId="116" fillId="0" borderId="140" xfId="0" applyFont="1" applyBorder="1" applyAlignment="1">
      <alignment horizontal="center" vertical="center" wrapText="1"/>
    </xf>
    <xf numFmtId="0" fontId="116" fillId="0" borderId="139"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39" xfId="0" applyFont="1" applyBorder="1" applyAlignment="1">
      <alignment horizontal="left" vertical="center" wrapText="1"/>
    </xf>
    <xf numFmtId="0" fontId="119" fillId="0" borderId="139" xfId="0" applyFont="1" applyBorder="1" applyAlignment="1">
      <alignment horizontal="left" wrapText="1" indent="1"/>
    </xf>
    <xf numFmtId="0" fontId="119" fillId="0" borderId="139" xfId="0" applyFont="1" applyBorder="1" applyAlignment="1">
      <alignment horizontal="left" vertical="center" indent="1"/>
    </xf>
    <xf numFmtId="0" fontId="116" fillId="0" borderId="139" xfId="0" applyFont="1" applyBorder="1" applyAlignment="1">
      <alignment horizontal="left" wrapText="1" indent="1"/>
    </xf>
    <xf numFmtId="0" fontId="116" fillId="0" borderId="139" xfId="0" applyFont="1" applyBorder="1" applyAlignment="1">
      <alignment horizontal="left" indent="1"/>
    </xf>
    <xf numFmtId="0" fontId="116" fillId="0" borderId="139" xfId="0" applyFont="1" applyBorder="1" applyAlignment="1">
      <alignment horizontal="left" wrapText="1" indent="4"/>
    </xf>
    <xf numFmtId="0" fontId="116" fillId="0" borderId="139" xfId="0" applyFont="1" applyBorder="1" applyAlignment="1">
      <alignment horizontal="left" indent="3"/>
    </xf>
    <xf numFmtId="0" fontId="119" fillId="0" borderId="139" xfId="0" applyFont="1" applyBorder="1" applyAlignment="1">
      <alignment horizontal="left" indent="1"/>
    </xf>
    <xf numFmtId="0" fontId="120" fillId="0" borderId="139" xfId="0" applyFont="1" applyBorder="1" applyAlignment="1">
      <alignment horizontal="center" vertical="center" wrapText="1"/>
    </xf>
    <xf numFmtId="0" fontId="116" fillId="78" borderId="139" xfId="0" applyFont="1" applyFill="1" applyBorder="1"/>
    <xf numFmtId="0" fontId="119" fillId="0" borderId="7" xfId="0" applyFont="1" applyBorder="1"/>
    <xf numFmtId="0" fontId="116" fillId="0" borderId="139" xfId="0" applyFont="1" applyBorder="1" applyAlignment="1">
      <alignment horizontal="left" wrapText="1" indent="2"/>
    </xf>
    <xf numFmtId="0" fontId="116" fillId="0" borderId="139" xfId="0" applyFont="1" applyBorder="1" applyAlignment="1">
      <alignment horizontal="left" wrapText="1"/>
    </xf>
    <xf numFmtId="0" fontId="116" fillId="0" borderId="139"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38" xfId="0" applyFont="1" applyBorder="1" applyAlignment="1">
      <alignment horizontal="center" vertical="center" wrapText="1"/>
    </xf>
    <xf numFmtId="0" fontId="116" fillId="0" borderId="141" xfId="0" applyFont="1" applyBorder="1" applyAlignment="1">
      <alignment horizontal="center" vertical="center" wrapText="1"/>
    </xf>
    <xf numFmtId="0" fontId="116" fillId="0" borderId="137" xfId="0" applyFont="1" applyBorder="1" applyAlignment="1">
      <alignment horizontal="center" vertical="center" wrapText="1"/>
    </xf>
    <xf numFmtId="49" fontId="116" fillId="0" borderId="145" xfId="0" applyNumberFormat="1" applyFont="1" applyBorder="1" applyAlignment="1">
      <alignment horizontal="left" wrapText="1" indent="1"/>
    </xf>
    <xf numFmtId="0" fontId="116" fillId="0" borderId="147" xfId="0" applyFont="1" applyBorder="1" applyAlignment="1">
      <alignment horizontal="left" wrapText="1" indent="1"/>
    </xf>
    <xf numFmtId="49" fontId="116" fillId="0" borderId="148" xfId="0" applyNumberFormat="1" applyFont="1" applyBorder="1" applyAlignment="1">
      <alignment horizontal="left" wrapText="1" indent="1"/>
    </xf>
    <xf numFmtId="0" fontId="116" fillId="0" borderId="149" xfId="0" applyFont="1" applyBorder="1" applyAlignment="1">
      <alignment horizontal="left" wrapText="1" indent="1"/>
    </xf>
    <xf numFmtId="49" fontId="116" fillId="0" borderId="149" xfId="0" applyNumberFormat="1" applyFont="1" applyBorder="1" applyAlignment="1">
      <alignment horizontal="left" wrapText="1" indent="3"/>
    </xf>
    <xf numFmtId="49" fontId="116" fillId="0" borderId="148" xfId="0" applyNumberFormat="1" applyFont="1" applyBorder="1" applyAlignment="1">
      <alignment horizontal="left" wrapText="1" indent="3"/>
    </xf>
    <xf numFmtId="49" fontId="116" fillId="0" borderId="149" xfId="0" applyNumberFormat="1" applyFont="1" applyBorder="1" applyAlignment="1">
      <alignment horizontal="left" wrapText="1" indent="2"/>
    </xf>
    <xf numFmtId="49" fontId="116" fillId="0" borderId="148" xfId="0" applyNumberFormat="1" applyFont="1" applyBorder="1" applyAlignment="1">
      <alignment horizontal="left" wrapText="1" indent="2"/>
    </xf>
    <xf numFmtId="49" fontId="116" fillId="0" borderId="148" xfId="0" applyNumberFormat="1" applyFont="1" applyBorder="1" applyAlignment="1">
      <alignment horizontal="left" vertical="top" wrapText="1" indent="2"/>
    </xf>
    <xf numFmtId="49" fontId="116" fillId="0" borderId="148" xfId="0" applyNumberFormat="1" applyFont="1" applyBorder="1" applyAlignment="1">
      <alignment horizontal="left" indent="1"/>
    </xf>
    <xf numFmtId="0" fontId="116" fillId="0" borderId="149" xfId="0" applyFont="1" applyBorder="1" applyAlignment="1">
      <alignment horizontal="left" indent="1"/>
    </xf>
    <xf numFmtId="49" fontId="116" fillId="0" borderId="149" xfId="0" applyNumberFormat="1" applyFont="1" applyBorder="1" applyAlignment="1">
      <alignment horizontal="left" indent="1"/>
    </xf>
    <xf numFmtId="49" fontId="116" fillId="0" borderId="149" xfId="0" applyNumberFormat="1" applyFont="1" applyBorder="1" applyAlignment="1">
      <alignment horizontal="left" indent="3"/>
    </xf>
    <xf numFmtId="49" fontId="116" fillId="0" borderId="148" xfId="0" applyNumberFormat="1" applyFont="1" applyBorder="1" applyAlignment="1">
      <alignment horizontal="left" indent="3"/>
    </xf>
    <xf numFmtId="0" fontId="116" fillId="0" borderId="149" xfId="0" applyFont="1" applyBorder="1" applyAlignment="1">
      <alignment horizontal="left" indent="2"/>
    </xf>
    <xf numFmtId="0" fontId="116" fillId="0" borderId="148" xfId="0" applyFont="1" applyBorder="1" applyAlignment="1">
      <alignment horizontal="left" indent="2"/>
    </xf>
    <xf numFmtId="0" fontId="116" fillId="0" borderId="148" xfId="0" applyFont="1" applyBorder="1" applyAlignment="1">
      <alignment horizontal="left" indent="1"/>
    </xf>
    <xf numFmtId="0" fontId="119" fillId="0" borderId="62" xfId="0" applyFont="1" applyBorder="1"/>
    <xf numFmtId="0" fontId="116" fillId="0" borderId="67" xfId="0" applyFont="1" applyBorder="1"/>
    <xf numFmtId="0" fontId="116" fillId="0" borderId="0" xfId="0" applyFont="1" applyAlignment="1">
      <alignment horizontal="left"/>
    </xf>
    <xf numFmtId="0" fontId="119" fillId="0" borderId="139" xfId="0" applyFont="1" applyBorder="1" applyAlignment="1">
      <alignment horizontal="left" vertical="center" wrapText="1"/>
    </xf>
    <xf numFmtId="0" fontId="9" fillId="0" borderId="0" xfId="0" applyFont="1" applyAlignment="1">
      <alignment wrapText="1"/>
    </xf>
    <xf numFmtId="0" fontId="121" fillId="0" borderId="139" xfId="0" applyFont="1" applyBorder="1"/>
    <xf numFmtId="0" fontId="119" fillId="0" borderId="139"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29" xfId="0" applyFont="1" applyBorder="1" applyAlignment="1">
      <alignment horizontal="left" vertical="center" wrapText="1" indent="1" readingOrder="1"/>
    </xf>
    <xf numFmtId="0" fontId="121" fillId="0" borderId="139" xfId="0" applyFont="1" applyBorder="1" applyAlignment="1">
      <alignment horizontal="left" indent="3"/>
    </xf>
    <xf numFmtId="0" fontId="119" fillId="0" borderId="139" xfId="0" applyFont="1" applyBorder="1" applyAlignment="1">
      <alignment vertical="center" wrapText="1" readingOrder="1"/>
    </xf>
    <xf numFmtId="0" fontId="121" fillId="0" borderId="139" xfId="0" applyFont="1" applyBorder="1" applyAlignment="1">
      <alignment horizontal="left" indent="2"/>
    </xf>
    <xf numFmtId="0" fontId="121" fillId="0" borderId="140" xfId="0" applyFont="1" applyBorder="1"/>
    <xf numFmtId="0" fontId="116" fillId="0" borderId="130" xfId="0" applyFont="1" applyBorder="1" applyAlignment="1">
      <alignment vertical="center" wrapText="1" readingOrder="1"/>
    </xf>
    <xf numFmtId="0" fontId="121" fillId="0" borderId="140" xfId="0" applyFont="1" applyBorder="1" applyAlignment="1">
      <alignment horizontal="left" indent="2"/>
    </xf>
    <xf numFmtId="0" fontId="116" fillId="0" borderId="129" xfId="0" applyFont="1" applyBorder="1" applyAlignment="1">
      <alignment vertical="center" wrapText="1" readingOrder="1"/>
    </xf>
    <xf numFmtId="0" fontId="116" fillId="0" borderId="128" xfId="0" applyFont="1" applyBorder="1" applyAlignment="1">
      <alignment vertical="center" wrapText="1" readingOrder="1"/>
    </xf>
    <xf numFmtId="0" fontId="139" fillId="0" borderId="7" xfId="0" applyFont="1" applyBorder="1"/>
    <xf numFmtId="0" fontId="106" fillId="0" borderId="139" xfId="0" applyFont="1" applyBorder="1" applyAlignment="1">
      <alignment vertical="center" wrapText="1"/>
    </xf>
    <xf numFmtId="0" fontId="106" fillId="0" borderId="139" xfId="0" applyFont="1" applyBorder="1" applyAlignment="1">
      <alignment horizontal="left" vertical="center" wrapText="1"/>
    </xf>
    <xf numFmtId="0" fontId="106" fillId="0" borderId="139" xfId="0" applyFont="1" applyBorder="1" applyAlignment="1">
      <alignment horizontal="left" indent="2"/>
    </xf>
    <xf numFmtId="0" fontId="106" fillId="0" borderId="139" xfId="0" applyFont="1" applyBorder="1" applyAlignment="1">
      <alignment horizontal="left" vertical="center" indent="1"/>
    </xf>
    <xf numFmtId="0" fontId="106" fillId="0" borderId="139" xfId="0" applyFont="1" applyBorder="1" applyAlignment="1">
      <alignment horizontal="left" vertical="center" wrapText="1" indent="1"/>
    </xf>
    <xf numFmtId="0" fontId="106" fillId="0" borderId="139" xfId="0" applyFont="1" applyBorder="1" applyAlignment="1">
      <alignment horizontal="right" vertical="center"/>
    </xf>
    <xf numFmtId="49" fontId="106" fillId="0" borderId="139" xfId="0" applyNumberFormat="1" applyFont="1" applyBorder="1" applyAlignment="1">
      <alignment horizontal="right" vertical="center"/>
    </xf>
    <xf numFmtId="49" fontId="106" fillId="0" borderId="139" xfId="0" applyNumberFormat="1" applyFont="1" applyBorder="1" applyAlignment="1">
      <alignment vertical="top" wrapText="1"/>
    </xf>
    <xf numFmtId="49" fontId="106" fillId="0" borderId="139" xfId="0" applyNumberFormat="1" applyFont="1" applyBorder="1" applyAlignment="1">
      <alignment horizontal="left" vertical="top" wrapText="1" indent="2"/>
    </xf>
    <xf numFmtId="49" fontId="106" fillId="0" borderId="139" xfId="0" applyNumberFormat="1" applyFont="1" applyBorder="1" applyAlignment="1">
      <alignment horizontal="left" vertical="center" wrapText="1" indent="3"/>
    </xf>
    <xf numFmtId="49" fontId="106" fillId="0" borderId="139" xfId="0" applyNumberFormat="1" applyFont="1" applyBorder="1" applyAlignment="1">
      <alignment horizontal="left" wrapText="1" indent="2"/>
    </xf>
    <xf numFmtId="49" fontId="106" fillId="0" borderId="139" xfId="0" applyNumberFormat="1" applyFont="1" applyBorder="1" applyAlignment="1">
      <alignment horizontal="left" vertical="top" wrapText="1"/>
    </xf>
    <xf numFmtId="49" fontId="106" fillId="0" borderId="139" xfId="0" applyNumberFormat="1" applyFont="1" applyBorder="1" applyAlignment="1">
      <alignment horizontal="left" wrapText="1" indent="3"/>
    </xf>
    <xf numFmtId="49" fontId="106" fillId="0" borderId="139" xfId="0" applyNumberFormat="1" applyFont="1" applyBorder="1" applyAlignment="1">
      <alignment vertical="center"/>
    </xf>
    <xf numFmtId="49" fontId="106" fillId="0" borderId="139" xfId="0" applyNumberFormat="1" applyFont="1" applyBorder="1" applyAlignment="1">
      <alignment horizontal="left" indent="3"/>
    </xf>
    <xf numFmtId="0" fontId="106" fillId="0" borderId="139" xfId="0" applyFont="1" applyBorder="1" applyAlignment="1">
      <alignment horizontal="left" indent="1"/>
    </xf>
    <xf numFmtId="0" fontId="106" fillId="0" borderId="139" xfId="0" applyFont="1" applyBorder="1" applyAlignment="1">
      <alignment horizontal="left" wrapText="1" indent="2"/>
    </xf>
    <xf numFmtId="0" fontId="106" fillId="0" borderId="139" xfId="0" applyFont="1" applyBorder="1" applyAlignment="1">
      <alignment horizontal="left" vertical="top" wrapText="1"/>
    </xf>
    <xf numFmtId="0" fontId="105" fillId="0" borderId="7" xfId="0" applyFont="1" applyBorder="1" applyAlignment="1">
      <alignment wrapText="1"/>
    </xf>
    <xf numFmtId="0" fontId="106" fillId="0" borderId="139" xfId="0" applyFont="1" applyBorder="1" applyAlignment="1">
      <alignment horizontal="left" vertical="top" wrapText="1" indent="2"/>
    </xf>
    <xf numFmtId="0" fontId="106" fillId="0" borderId="139" xfId="0" applyFont="1" applyBorder="1" applyAlignment="1">
      <alignment horizontal="left" wrapText="1"/>
    </xf>
    <xf numFmtId="0" fontId="106" fillId="0" borderId="139" xfId="12672" applyFont="1" applyBorder="1" applyAlignment="1">
      <alignment horizontal="left" vertical="center" wrapText="1" indent="2"/>
    </xf>
    <xf numFmtId="0" fontId="106" fillId="0" borderId="139" xfId="0" applyFont="1" applyBorder="1" applyAlignment="1">
      <alignment wrapText="1"/>
    </xf>
    <xf numFmtId="0" fontId="106" fillId="0" borderId="139" xfId="0" applyFont="1" applyBorder="1"/>
    <xf numFmtId="0" fontId="106" fillId="0" borderId="139" xfId="12672" applyFont="1" applyBorder="1" applyAlignment="1">
      <alignment horizontal="left" vertical="center" wrapText="1"/>
    </xf>
    <xf numFmtId="0" fontId="105" fillId="0" borderId="139" xfId="0" applyFont="1" applyBorder="1" applyAlignment="1">
      <alignment wrapText="1"/>
    </xf>
    <xf numFmtId="0" fontId="106" fillId="0" borderId="141" xfId="0" applyFont="1" applyBorder="1" applyAlignment="1">
      <alignment horizontal="left" vertical="center" wrapText="1"/>
    </xf>
    <xf numFmtId="0" fontId="106" fillId="3" borderId="139" xfId="5" applyFont="1" applyFill="1" applyBorder="1" applyAlignment="1" applyProtection="1">
      <alignment horizontal="right" vertical="center"/>
      <protection locked="0"/>
    </xf>
    <xf numFmtId="2" fontId="106" fillId="3" borderId="139" xfId="5" applyNumberFormat="1" applyFont="1" applyFill="1" applyBorder="1" applyAlignment="1" applyProtection="1">
      <alignment horizontal="right" vertical="center"/>
      <protection locked="0"/>
    </xf>
    <xf numFmtId="0" fontId="106" fillId="0" borderId="139" xfId="0" applyFont="1" applyBorder="1" applyAlignment="1">
      <alignment vertical="center"/>
    </xf>
    <xf numFmtId="0" fontId="106" fillId="0" borderId="141" xfId="13" applyFont="1" applyBorder="1" applyAlignment="1" applyProtection="1">
      <alignment horizontal="left" vertical="top" wrapText="1"/>
      <protection locked="0"/>
    </xf>
    <xf numFmtId="0" fontId="106" fillId="0" borderId="142" xfId="13" applyFont="1" applyBorder="1" applyAlignment="1" applyProtection="1">
      <alignment horizontal="left" vertical="top" wrapText="1"/>
      <protection locked="0"/>
    </xf>
    <xf numFmtId="0" fontId="106" fillId="0" borderId="140"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0" xfId="0" applyFont="1" applyBorder="1" applyAlignment="1">
      <alignment horizontal="left" indent="2"/>
    </xf>
    <xf numFmtId="0" fontId="106" fillId="0" borderId="130" xfId="0" applyFont="1" applyBorder="1" applyAlignment="1">
      <alignment horizontal="left" vertical="center" wrapText="1" readingOrder="1"/>
    </xf>
    <xf numFmtId="0" fontId="106" fillId="0" borderId="139" xfId="0" applyFont="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6"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39" xfId="0" applyFont="1" applyFill="1" applyBorder="1" applyAlignment="1">
      <alignment horizontal="left" vertical="center"/>
    </xf>
    <xf numFmtId="49" fontId="145" fillId="0" borderId="139" xfId="0" applyNumberFormat="1" applyFont="1" applyBorder="1" applyAlignment="1">
      <alignment horizontal="left" vertical="center"/>
    </xf>
    <xf numFmtId="0" fontId="145" fillId="0" borderId="139" xfId="0" applyFont="1" applyBorder="1" applyAlignment="1">
      <alignment horizontal="left" vertical="center"/>
    </xf>
    <xf numFmtId="0" fontId="144" fillId="0" borderId="139" xfId="0" applyFont="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48" xfId="7" applyNumberFormat="1" applyFont="1" applyFill="1" applyBorder="1" applyAlignment="1">
      <alignment horizontal="left" vertical="center"/>
    </xf>
    <xf numFmtId="194" fontId="145" fillId="0" borderId="148" xfId="7" applyNumberFormat="1" applyFont="1" applyFill="1" applyBorder="1" applyAlignment="1">
      <alignment horizontal="left" vertical="center"/>
    </xf>
    <xf numFmtId="10" fontId="7" fillId="0" borderId="148" xfId="0" applyNumberFormat="1" applyFont="1" applyBorder="1" applyAlignment="1">
      <alignment horizontal="right" vertical="center" wrapText="1"/>
    </xf>
    <xf numFmtId="0" fontId="148" fillId="84" borderId="146" xfId="0" applyFont="1" applyFill="1" applyBorder="1" applyAlignment="1">
      <alignment horizontal="left" vertical="center"/>
    </xf>
    <xf numFmtId="10" fontId="149" fillId="86" borderId="145" xfId="0" applyNumberFormat="1" applyFont="1" applyFill="1" applyBorder="1" applyAlignment="1">
      <alignment horizontal="right" vertical="center" wrapText="1"/>
    </xf>
    <xf numFmtId="0" fontId="0" fillId="0" borderId="1" xfId="0" applyBorder="1"/>
    <xf numFmtId="0" fontId="4" fillId="85" borderId="139" xfId="0" applyFont="1" applyFill="1" applyBorder="1" applyAlignment="1">
      <alignment horizontal="center" vertical="center" wrapText="1"/>
    </xf>
    <xf numFmtId="0" fontId="6" fillId="86" borderId="139" xfId="0" applyFont="1" applyFill="1" applyBorder="1" applyAlignment="1">
      <alignment vertical="center" wrapText="1"/>
    </xf>
    <xf numFmtId="194" fontId="6" fillId="86" borderId="139" xfId="7" applyNumberFormat="1" applyFont="1" applyFill="1" applyBorder="1" applyAlignment="1">
      <alignment vertical="center"/>
    </xf>
    <xf numFmtId="194" fontId="6" fillId="86" borderId="148" xfId="7" applyNumberFormat="1" applyFont="1" applyFill="1" applyBorder="1" applyAlignment="1">
      <alignment vertical="center"/>
    </xf>
    <xf numFmtId="0" fontId="145" fillId="82" borderId="139" xfId="0" applyFont="1" applyFill="1" applyBorder="1" applyAlignment="1">
      <alignment horizontal="left" vertical="center" wrapText="1" indent="3"/>
    </xf>
    <xf numFmtId="194" fontId="6" fillId="35" borderId="139" xfId="7" applyNumberFormat="1" applyFont="1" applyFill="1" applyBorder="1" applyAlignment="1">
      <alignment vertical="center"/>
    </xf>
    <xf numFmtId="0" fontId="152" fillId="82" borderId="139" xfId="0" applyFont="1" applyFill="1" applyBorder="1" applyAlignment="1">
      <alignment horizontal="left" vertical="center" wrapText="1" indent="5"/>
    </xf>
    <xf numFmtId="0" fontId="153" fillId="83" borderId="139" xfId="0" applyFont="1" applyFill="1" applyBorder="1" applyAlignment="1">
      <alignment horizontal="left" vertical="center" wrapText="1" indent="1"/>
    </xf>
    <xf numFmtId="194" fontId="153" fillId="83" borderId="139" xfId="7" applyNumberFormat="1" applyFont="1" applyFill="1" applyBorder="1" applyAlignment="1">
      <alignment vertical="center"/>
    </xf>
    <xf numFmtId="194" fontId="153" fillId="84" borderId="148" xfId="7" applyNumberFormat="1" applyFont="1" applyFill="1" applyBorder="1" applyAlignment="1">
      <alignment vertical="center"/>
    </xf>
    <xf numFmtId="194" fontId="154" fillId="82" borderId="139" xfId="7" applyNumberFormat="1" applyFont="1" applyFill="1" applyBorder="1" applyAlignment="1">
      <alignment vertical="center"/>
    </xf>
    <xf numFmtId="194" fontId="154" fillId="84" borderId="148" xfId="7" applyNumberFormat="1" applyFont="1" applyFill="1" applyBorder="1" applyAlignment="1">
      <alignment vertical="center"/>
    </xf>
    <xf numFmtId="0" fontId="152" fillId="82" borderId="146" xfId="0" applyFont="1" applyFill="1" applyBorder="1" applyAlignment="1">
      <alignment horizontal="left" vertical="center" wrapText="1" indent="5"/>
    </xf>
    <xf numFmtId="194" fontId="154" fillId="82" borderId="146" xfId="7" applyNumberFormat="1" applyFont="1" applyFill="1" applyBorder="1" applyAlignment="1">
      <alignment vertical="center"/>
    </xf>
    <xf numFmtId="194" fontId="154" fillId="84" borderId="145" xfId="7" applyNumberFormat="1" applyFont="1" applyFill="1" applyBorder="1" applyAlignment="1">
      <alignment vertical="center"/>
    </xf>
    <xf numFmtId="0" fontId="7" fillId="0" borderId="139"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6" xfId="0" applyNumberFormat="1" applyFont="1" applyBorder="1" applyAlignment="1">
      <alignment horizontal="right" vertical="center"/>
    </xf>
    <xf numFmtId="0" fontId="155" fillId="0" borderId="139" xfId="12672" applyFont="1" applyBorder="1" applyAlignment="1">
      <alignment horizontal="left" vertical="center" wrapText="1"/>
    </xf>
    <xf numFmtId="0" fontId="155" fillId="0" borderId="140" xfId="0" applyFont="1" applyBorder="1" applyAlignment="1">
      <alignment horizontal="left" vertical="top" wrapText="1"/>
    </xf>
    <xf numFmtId="0" fontId="155" fillId="0" borderId="139" xfId="0" applyFont="1" applyBorder="1" applyAlignment="1">
      <alignment vertical="center" wrapText="1"/>
    </xf>
    <xf numFmtId="0" fontId="132" fillId="0" borderId="139" xfId="21414" applyFont="1" applyBorder="1" applyAlignment="1">
      <alignment horizontal="left" vertical="center" wrapText="1"/>
    </xf>
    <xf numFmtId="193" fontId="9" fillId="0" borderId="139" xfId="0" applyNumberFormat="1" applyFont="1" applyBorder="1" applyAlignment="1">
      <alignment horizontal="right"/>
    </xf>
    <xf numFmtId="0" fontId="4" fillId="0" borderId="139" xfId="0" applyFont="1" applyBorder="1"/>
    <xf numFmtId="0" fontId="11" fillId="0" borderId="139" xfId="17" applyFill="1" applyBorder="1" applyAlignment="1" applyProtection="1"/>
    <xf numFmtId="0" fontId="139" fillId="3" borderId="139" xfId="5" applyFont="1" applyFill="1" applyBorder="1" applyProtection="1">
      <protection locked="0"/>
    </xf>
    <xf numFmtId="0" fontId="139" fillId="0" borderId="139" xfId="21416" applyFont="1" applyBorder="1" applyAlignment="1" applyProtection="1">
      <alignment horizontal="center" vertical="top" wrapText="1"/>
      <protection locked="0"/>
    </xf>
    <xf numFmtId="0" fontId="156" fillId="3" borderId="139" xfId="21416" applyFont="1" applyFill="1" applyBorder="1" applyAlignment="1" applyProtection="1">
      <alignment wrapText="1"/>
      <protection locked="0"/>
    </xf>
    <xf numFmtId="3" fontId="139" fillId="80" borderId="139" xfId="5" applyNumberFormat="1" applyFont="1" applyFill="1" applyBorder="1"/>
    <xf numFmtId="0" fontId="137" fillId="3" borderId="139" xfId="21416" applyFont="1" applyFill="1" applyBorder="1" applyAlignment="1" applyProtection="1">
      <alignment horizontal="right" wrapText="1"/>
      <protection locked="0"/>
    </xf>
    <xf numFmtId="3" fontId="139" fillId="0" borderId="139" xfId="5" applyNumberFormat="1" applyFont="1" applyBorder="1"/>
    <xf numFmtId="0" fontId="157" fillId="0" borderId="0" xfId="21415" applyFont="1" applyAlignment="1" applyProtection="1">
      <alignment vertical="center"/>
      <protection locked="0"/>
    </xf>
    <xf numFmtId="0" fontId="112" fillId="76" borderId="142" xfId="21412" applyFont="1" applyFill="1" applyBorder="1" applyAlignment="1" applyProtection="1">
      <alignment vertical="center" wrapText="1"/>
      <protection locked="0"/>
    </xf>
    <xf numFmtId="0" fontId="62" fillId="76" borderId="141" xfId="21412" applyFont="1" applyFill="1" applyBorder="1" applyProtection="1">
      <alignment vertical="center"/>
      <protection locked="0"/>
    </xf>
    <xf numFmtId="0" fontId="113" fillId="69" borderId="140" xfId="21412" applyFont="1" applyFill="1" applyBorder="1" applyAlignment="1" applyProtection="1">
      <alignment horizontal="center" vertical="center"/>
      <protection locked="0"/>
    </xf>
    <xf numFmtId="0" fontId="113" fillId="0" borderId="141" xfId="21412" applyFont="1" applyBorder="1" applyAlignment="1" applyProtection="1">
      <alignment horizontal="left" vertical="center" wrapText="1"/>
      <protection locked="0"/>
    </xf>
    <xf numFmtId="164" fontId="113" fillId="0" borderId="139" xfId="948" applyNumberFormat="1" applyFont="1" applyFill="1" applyBorder="1" applyAlignment="1" applyProtection="1">
      <alignment horizontal="right" vertical="center"/>
      <protection locked="0"/>
    </xf>
    <xf numFmtId="0" fontId="112" fillId="77" borderId="139" xfId="21412" applyFont="1" applyFill="1" applyBorder="1" applyAlignment="1" applyProtection="1">
      <alignment horizontal="center" vertical="center"/>
      <protection locked="0"/>
    </xf>
    <xf numFmtId="0" fontId="112" fillId="77" borderId="141" xfId="21412" applyFont="1" applyFill="1" applyBorder="1" applyAlignment="1" applyProtection="1">
      <alignment vertical="top" wrapText="1"/>
      <protection locked="0"/>
    </xf>
    <xf numFmtId="164" fontId="113" fillId="77" borderId="139" xfId="948" applyNumberFormat="1" applyFont="1" applyFill="1" applyBorder="1" applyAlignment="1" applyProtection="1">
      <alignment horizontal="right" vertical="center"/>
    </xf>
    <xf numFmtId="0" fontId="112" fillId="76" borderId="142" xfId="21412" applyFont="1" applyFill="1" applyBorder="1" applyProtection="1">
      <alignment vertical="center"/>
      <protection locked="0"/>
    </xf>
    <xf numFmtId="164" fontId="62" fillId="76" borderId="141" xfId="948" applyNumberFormat="1" applyFont="1" applyFill="1" applyBorder="1" applyAlignment="1" applyProtection="1">
      <alignment horizontal="right" vertical="center"/>
      <protection locked="0"/>
    </xf>
    <xf numFmtId="0" fontId="114" fillId="69" borderId="140" xfId="21412" applyFont="1" applyFill="1" applyBorder="1" applyAlignment="1" applyProtection="1">
      <alignment horizontal="center" vertical="center"/>
      <protection locked="0"/>
    </xf>
    <xf numFmtId="0" fontId="113" fillId="69" borderId="139" xfId="21412" applyFont="1" applyFill="1" applyBorder="1" applyAlignment="1" applyProtection="1">
      <alignment vertical="center" wrapText="1"/>
      <protection locked="0"/>
    </xf>
    <xf numFmtId="0" fontId="113" fillId="69" borderId="139" xfId="21412" applyFont="1" applyFill="1" applyBorder="1" applyAlignment="1" applyProtection="1">
      <alignment horizontal="left" vertical="center" wrapText="1"/>
      <protection locked="0"/>
    </xf>
    <xf numFmtId="0" fontId="113" fillId="0" borderId="139" xfId="21412" applyFont="1" applyBorder="1" applyAlignment="1" applyProtection="1">
      <alignment horizontal="left" vertical="center" wrapText="1"/>
      <protection locked="0"/>
    </xf>
    <xf numFmtId="0" fontId="114" fillId="3" borderId="140" xfId="21412" applyFont="1" applyFill="1" applyBorder="1" applyAlignment="1" applyProtection="1">
      <alignment horizontal="center" vertical="center"/>
      <protection locked="0"/>
    </xf>
    <xf numFmtId="0" fontId="113" fillId="0" borderId="139" xfId="21412" applyFont="1" applyBorder="1" applyAlignment="1" applyProtection="1">
      <alignment vertical="center" wrapText="1"/>
      <protection locked="0"/>
    </xf>
    <xf numFmtId="0" fontId="115" fillId="77" borderId="139" xfId="21412" applyFont="1" applyFill="1" applyBorder="1" applyAlignment="1" applyProtection="1">
      <alignment horizontal="center" vertical="center"/>
      <protection locked="0"/>
    </xf>
    <xf numFmtId="0" fontId="112" fillId="77" borderId="141" xfId="21412" applyFont="1" applyFill="1" applyBorder="1" applyAlignment="1" applyProtection="1">
      <alignment vertical="center" wrapText="1"/>
      <protection locked="0"/>
    </xf>
    <xf numFmtId="164" fontId="112" fillId="76" borderId="141" xfId="948" applyNumberFormat="1" applyFont="1" applyFill="1" applyBorder="1" applyAlignment="1" applyProtection="1">
      <alignment horizontal="right" vertical="center"/>
      <protection locked="0"/>
    </xf>
    <xf numFmtId="0" fontId="113" fillId="69" borderId="141" xfId="21412" applyFont="1" applyFill="1" applyBorder="1" applyAlignment="1" applyProtection="1">
      <alignment vertical="center" wrapText="1"/>
      <protection locked="0"/>
    </xf>
    <xf numFmtId="0" fontId="62" fillId="76" borderId="142" xfId="21412" applyFont="1" applyFill="1" applyBorder="1" applyProtection="1">
      <alignment vertical="center"/>
      <protection locked="0"/>
    </xf>
    <xf numFmtId="164" fontId="113" fillId="3" borderId="139" xfId="948" applyNumberFormat="1" applyFont="1" applyFill="1" applyBorder="1" applyAlignment="1" applyProtection="1">
      <alignment horizontal="right" vertical="center"/>
      <protection locked="0"/>
    </xf>
    <xf numFmtId="0" fontId="114" fillId="3" borderId="139" xfId="21412" applyFont="1" applyFill="1" applyBorder="1" applyAlignment="1" applyProtection="1">
      <alignment horizontal="center" vertical="center"/>
      <protection locked="0"/>
    </xf>
    <xf numFmtId="0" fontId="113" fillId="69" borderId="141"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39" xfId="5" applyFont="1" applyFill="1" applyBorder="1" applyAlignment="1" applyProtection="1">
      <alignment vertical="center" wrapText="1"/>
      <protection locked="0"/>
    </xf>
    <xf numFmtId="0" fontId="139" fillId="0" borderId="139" xfId="21416" applyFont="1" applyBorder="1" applyAlignment="1" applyProtection="1">
      <alignment horizontal="center" vertical="center" wrapText="1"/>
      <protection locked="0"/>
    </xf>
    <xf numFmtId="3" fontId="139" fillId="3" borderId="139" xfId="1" applyNumberFormat="1" applyFont="1" applyFill="1" applyBorder="1" applyAlignment="1" applyProtection="1">
      <alignment horizontal="center" vertical="center" wrapText="1"/>
      <protection locked="0"/>
    </xf>
    <xf numFmtId="9" fontId="139" fillId="3" borderId="139" xfId="15" applyNumberFormat="1" applyFont="1" applyFill="1" applyBorder="1" applyAlignment="1" applyProtection="1">
      <alignment horizontal="center" vertical="center" wrapText="1"/>
      <protection locked="0"/>
    </xf>
    <xf numFmtId="0" fontId="139" fillId="3" borderId="139" xfId="21416" applyFont="1" applyFill="1" applyBorder="1" applyAlignment="1" applyProtection="1">
      <alignment horizontal="center" vertical="center" wrapText="1"/>
      <protection locked="0"/>
    </xf>
    <xf numFmtId="0" fontId="156" fillId="3" borderId="139" xfId="21416" applyFont="1" applyFill="1" applyBorder="1" applyProtection="1">
      <protection locked="0"/>
    </xf>
    <xf numFmtId="0" fontId="159" fillId="3" borderId="139" xfId="21416" applyFont="1" applyFill="1" applyBorder="1" applyAlignment="1" applyProtection="1">
      <alignment horizontal="right"/>
      <protection locked="0"/>
    </xf>
    <xf numFmtId="195" fontId="139" fillId="80" borderId="139" xfId="5" applyNumberFormat="1" applyFont="1" applyFill="1" applyBorder="1" applyProtection="1">
      <protection locked="0"/>
    </xf>
    <xf numFmtId="164" fontId="139" fillId="80" borderId="139" xfId="1" applyNumberFormat="1" applyFont="1" applyFill="1" applyBorder="1" applyAlignment="1" applyProtection="1"/>
    <xf numFmtId="0" fontId="139" fillId="3" borderId="139" xfId="21416" applyFont="1" applyFill="1" applyBorder="1" applyAlignment="1" applyProtection="1">
      <alignment horizontal="left" vertical="center"/>
      <protection locked="0"/>
    </xf>
    <xf numFmtId="3" fontId="139" fillId="3" borderId="139" xfId="5" applyNumberFormat="1" applyFont="1" applyFill="1" applyBorder="1" applyProtection="1">
      <protection locked="0"/>
    </xf>
    <xf numFmtId="0" fontId="137" fillId="3" borderId="139" xfId="21416" applyFont="1" applyFill="1" applyBorder="1" applyAlignment="1" applyProtection="1">
      <alignment horizontal="right"/>
      <protection locked="0"/>
    </xf>
    <xf numFmtId="0" fontId="139" fillId="0" borderId="139" xfId="21416" applyFont="1" applyBorder="1" applyAlignment="1" applyProtection="1">
      <alignment horizontal="left" vertical="center"/>
      <protection locked="0"/>
    </xf>
    <xf numFmtId="0" fontId="156" fillId="3" borderId="139" xfId="16" applyFont="1" applyFill="1" applyBorder="1" applyProtection="1">
      <protection locked="0"/>
    </xf>
    <xf numFmtId="3" fontId="156" fillId="76" borderId="139" xfId="16" applyNumberFormat="1" applyFont="1" applyFill="1" applyBorder="1"/>
    <xf numFmtId="10" fontId="17" fillId="2" borderId="96" xfId="20961" applyNumberFormat="1" applyFont="1" applyFill="1" applyBorder="1" applyAlignment="1" applyProtection="1">
      <alignment vertical="center"/>
      <protection locked="0"/>
    </xf>
    <xf numFmtId="10" fontId="17" fillId="2" borderId="108" xfId="20961" applyNumberFormat="1" applyFont="1" applyFill="1" applyBorder="1" applyAlignment="1" applyProtection="1">
      <alignment vertical="center"/>
      <protection locked="0"/>
    </xf>
    <xf numFmtId="10" fontId="9" fillId="2" borderId="96" xfId="20961" applyNumberFormat="1" applyFont="1" applyFill="1" applyBorder="1" applyAlignment="1" applyProtection="1">
      <alignment vertical="center"/>
      <protection locked="0"/>
    </xf>
    <xf numFmtId="10" fontId="9" fillId="2" borderId="108"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0" fontId="9" fillId="0" borderId="149" xfId="0" applyFont="1" applyBorder="1" applyAlignment="1">
      <alignment vertical="center"/>
    </xf>
    <xf numFmtId="0" fontId="13" fillId="0" borderId="142" xfId="0" applyFont="1" applyBorder="1" applyAlignment="1">
      <alignment wrapText="1"/>
    </xf>
    <xf numFmtId="10" fontId="4" fillId="0" borderId="21" xfId="20961" applyNumberFormat="1" applyFont="1" applyBorder="1"/>
    <xf numFmtId="0" fontId="9" fillId="0" borderId="103" xfId="0" applyFont="1" applyBorder="1" applyAlignment="1">
      <alignment vertical="center"/>
    </xf>
    <xf numFmtId="0" fontId="13" fillId="0" borderId="138" xfId="0" applyFont="1" applyBorder="1" applyAlignment="1">
      <alignment wrapText="1"/>
    </xf>
    <xf numFmtId="10" fontId="4" fillId="0" borderId="108" xfId="20961" applyNumberFormat="1" applyFont="1" applyBorder="1"/>
    <xf numFmtId="10" fontId="4" fillId="0" borderId="104" xfId="20961" applyNumberFormat="1" applyFont="1" applyBorder="1"/>
    <xf numFmtId="0" fontId="132" fillId="0" borderId="139" xfId="0" applyFont="1" applyBorder="1" applyAlignment="1">
      <alignment horizontal="left" vertical="center" wrapText="1"/>
    </xf>
    <xf numFmtId="0" fontId="133" fillId="3" borderId="139" xfId="0" applyFont="1" applyFill="1" applyBorder="1" applyAlignment="1">
      <alignment horizontal="left" vertical="center" wrapText="1" indent="1"/>
    </xf>
    <xf numFmtId="0" fontId="131" fillId="0" borderId="139" xfId="0" applyFont="1" applyBorder="1" applyAlignment="1">
      <alignment horizontal="left" vertical="center" wrapText="1" indent="1"/>
    </xf>
    <xf numFmtId="0" fontId="133" fillId="0" borderId="139" xfId="0" applyFont="1" applyBorder="1" applyAlignment="1">
      <alignment horizontal="left" vertical="center" wrapText="1" indent="1"/>
    </xf>
    <xf numFmtId="0" fontId="131" fillId="3" borderId="139" xfId="0" applyFont="1" applyFill="1" applyBorder="1" applyAlignment="1">
      <alignment horizontal="left" vertical="center" wrapText="1" indent="1"/>
    </xf>
    <xf numFmtId="0" fontId="131" fillId="0" borderId="139" xfId="21414" applyFont="1" applyBorder="1" applyAlignment="1">
      <alignment horizontal="left" vertical="center" wrapText="1" indent="1"/>
    </xf>
    <xf numFmtId="0" fontId="132" fillId="3" borderId="139" xfId="21414" applyFont="1" applyFill="1" applyBorder="1" applyAlignment="1">
      <alignment horizontal="left" vertical="center" wrapText="1"/>
    </xf>
    <xf numFmtId="0" fontId="131" fillId="3" borderId="139" xfId="21414" applyFont="1" applyFill="1" applyBorder="1" applyAlignment="1">
      <alignment horizontal="left" vertical="center" wrapText="1" indent="1"/>
    </xf>
    <xf numFmtId="0" fontId="130" fillId="0" borderId="139" xfId="0" applyFont="1" applyBorder="1" applyAlignment="1">
      <alignment horizontal="left" vertical="center" wrapText="1"/>
    </xf>
    <xf numFmtId="0" fontId="132" fillId="3" borderId="139" xfId="0" applyFont="1" applyFill="1" applyBorder="1" applyAlignment="1">
      <alignment horizontal="left" vertical="center" wrapText="1"/>
    </xf>
    <xf numFmtId="0" fontId="133" fillId="0" borderId="139" xfId="21414" applyFont="1" applyBorder="1" applyAlignment="1">
      <alignment horizontal="left" vertical="center" wrapText="1" indent="1"/>
    </xf>
    <xf numFmtId="43" fontId="0" fillId="0" borderId="139" xfId="7" applyFont="1" applyBorder="1"/>
    <xf numFmtId="43" fontId="0" fillId="0" borderId="139" xfId="7" applyFont="1" applyBorder="1" applyAlignment="1">
      <alignment vertical="center"/>
    </xf>
    <xf numFmtId="164" fontId="0" fillId="0" borderId="139" xfId="7" applyNumberFormat="1" applyFont="1" applyBorder="1"/>
    <xf numFmtId="164" fontId="0" fillId="0" borderId="146" xfId="7" applyNumberFormat="1" applyFont="1" applyBorder="1"/>
    <xf numFmtId="0" fontId="0" fillId="0" borderId="149" xfId="0" applyBorder="1" applyAlignment="1">
      <alignment horizontal="center" vertical="center"/>
    </xf>
    <xf numFmtId="0" fontId="9" fillId="0" borderId="139" xfId="0" applyFont="1" applyBorder="1" applyAlignment="1">
      <alignment horizontal="center" vertical="center" wrapText="1"/>
    </xf>
    <xf numFmtId="0" fontId="9" fillId="0" borderId="148" xfId="0" applyFont="1" applyBorder="1" applyAlignment="1">
      <alignment horizontal="center" vertical="center" wrapText="1"/>
    </xf>
    <xf numFmtId="0" fontId="3" fillId="0" borderId="139" xfId="0" applyFont="1" applyBorder="1" applyAlignment="1">
      <alignment horizontal="center" vertical="center"/>
    </xf>
    <xf numFmtId="0" fontId="0" fillId="0" borderId="149" xfId="0" applyBorder="1" applyAlignment="1">
      <alignment horizontal="center"/>
    </xf>
    <xf numFmtId="0" fontId="130" fillId="3" borderId="139" xfId="21414" applyFont="1" applyFill="1" applyBorder="1" applyAlignment="1">
      <alignment horizontal="left" vertical="center" wrapText="1"/>
    </xf>
    <xf numFmtId="164" fontId="0" fillId="35" borderId="139" xfId="7" applyNumberFormat="1" applyFont="1" applyFill="1" applyBorder="1"/>
    <xf numFmtId="0" fontId="0" fillId="35" borderId="148" xfId="0" applyFill="1" applyBorder="1"/>
    <xf numFmtId="164" fontId="0" fillId="0" borderId="139" xfId="7" applyNumberFormat="1" applyFont="1" applyBorder="1" applyAlignment="1">
      <alignment vertical="center"/>
    </xf>
    <xf numFmtId="164" fontId="0" fillId="35" borderId="139" xfId="7" applyNumberFormat="1" applyFont="1" applyFill="1" applyBorder="1" applyAlignment="1">
      <alignment vertical="center"/>
    </xf>
    <xf numFmtId="0" fontId="0" fillId="35" borderId="148" xfId="0" applyFill="1" applyBorder="1" applyAlignment="1">
      <alignment vertical="center"/>
    </xf>
    <xf numFmtId="0" fontId="134" fillId="0" borderId="139" xfId="21414" applyFont="1" applyBorder="1" applyAlignment="1">
      <alignment horizontal="center" vertical="center" wrapText="1"/>
    </xf>
    <xf numFmtId="0" fontId="135" fillId="0" borderId="139" xfId="0" applyFont="1" applyBorder="1" applyAlignment="1">
      <alignment horizontal="left"/>
    </xf>
    <xf numFmtId="0" fontId="0" fillId="0" borderId="147" xfId="0" applyBorder="1" applyAlignment="1">
      <alignment horizontal="center"/>
    </xf>
    <xf numFmtId="0" fontId="132" fillId="0" borderId="146" xfId="0" applyFont="1" applyBorder="1" applyAlignment="1">
      <alignment horizontal="left" vertical="center" wrapText="1"/>
    </xf>
    <xf numFmtId="0" fontId="0" fillId="35" borderId="145" xfId="0" applyFill="1" applyBorder="1"/>
    <xf numFmtId="164" fontId="7" fillId="0" borderId="0" xfId="7" applyNumberFormat="1" applyFont="1"/>
    <xf numFmtId="164" fontId="4" fillId="0" borderId="0" xfId="7" applyNumberFormat="1" applyFont="1"/>
    <xf numFmtId="164" fontId="9" fillId="0" borderId="139" xfId="7" applyNumberFormat="1" applyFont="1" applyBorder="1" applyAlignment="1">
      <alignment horizontal="center" vertical="center" wrapText="1"/>
    </xf>
    <xf numFmtId="164" fontId="0" fillId="35" borderId="146" xfId="7" applyNumberFormat="1" applyFont="1" applyFill="1" applyBorder="1"/>
    <xf numFmtId="164" fontId="0" fillId="0" borderId="0" xfId="7" applyNumberFormat="1" applyFont="1"/>
    <xf numFmtId="43" fontId="0" fillId="0" borderId="0" xfId="7" applyFont="1"/>
    <xf numFmtId="164" fontId="9" fillId="0" borderId="148" xfId="7" applyNumberFormat="1" applyFont="1" applyBorder="1" applyAlignment="1">
      <alignment horizontal="center" vertical="center" wrapText="1"/>
    </xf>
    <xf numFmtId="164" fontId="0" fillId="35" borderId="148" xfId="7" applyNumberFormat="1" applyFont="1" applyFill="1" applyBorder="1"/>
    <xf numFmtId="0" fontId="132" fillId="0" borderId="139" xfId="21414" applyFont="1" applyBorder="1" applyAlignment="1">
      <alignment horizontal="justify" vertical="center" wrapText="1"/>
    </xf>
    <xf numFmtId="0" fontId="132" fillId="0" borderId="139" xfId="21414" applyFont="1" applyBorder="1" applyAlignment="1">
      <alignment vertical="center" wrapText="1"/>
    </xf>
    <xf numFmtId="0" fontId="0" fillId="0" borderId="147" xfId="0" applyBorder="1" applyAlignment="1">
      <alignment horizontal="center" vertical="center"/>
    </xf>
    <xf numFmtId="0" fontId="132" fillId="0" borderId="146" xfId="21414" applyFont="1" applyBorder="1" applyAlignment="1">
      <alignment vertical="center" wrapText="1"/>
    </xf>
    <xf numFmtId="164" fontId="0" fillId="35" borderId="145" xfId="7" applyNumberFormat="1" applyFont="1" applyFill="1" applyBorder="1"/>
    <xf numFmtId="0" fontId="132" fillId="0" borderId="139" xfId="0" applyFont="1" applyBorder="1" applyAlignment="1">
      <alignment horizontal="justify" vertical="center" wrapText="1"/>
    </xf>
    <xf numFmtId="0" fontId="130" fillId="0" borderId="139" xfId="0" applyFont="1" applyBorder="1" applyAlignment="1">
      <alignment horizontal="justify" vertical="center" wrapText="1"/>
    </xf>
    <xf numFmtId="0" fontId="132" fillId="3" borderId="139" xfId="0" applyFont="1" applyFill="1" applyBorder="1" applyAlignment="1">
      <alignment horizontal="justify" vertical="center" wrapText="1"/>
    </xf>
    <xf numFmtId="0" fontId="130" fillId="0" borderId="139" xfId="0" applyFont="1" applyBorder="1" applyAlignment="1">
      <alignment vertical="center" wrapText="1"/>
    </xf>
    <xf numFmtId="0" fontId="132" fillId="0" borderId="139" xfId="0" applyFont="1" applyBorder="1" applyAlignment="1">
      <alignment vertical="center" wrapText="1"/>
    </xf>
    <xf numFmtId="164" fontId="9" fillId="0" borderId="139" xfId="7" applyNumberFormat="1" applyFont="1" applyBorder="1" applyAlignment="1">
      <alignment horizontal="right"/>
    </xf>
    <xf numFmtId="43" fontId="4" fillId="0" borderId="148" xfId="7" applyFont="1" applyFill="1" applyBorder="1" applyAlignment="1">
      <alignment vertical="center" wrapText="1"/>
    </xf>
    <xf numFmtId="43" fontId="4" fillId="0" borderId="148" xfId="7" applyFont="1" applyBorder="1" applyAlignment="1">
      <alignment vertical="center"/>
    </xf>
    <xf numFmtId="43" fontId="0" fillId="0" borderId="0" xfId="0" applyNumberFormat="1"/>
    <xf numFmtId="14" fontId="0" fillId="0" borderId="0" xfId="0" applyNumberFormat="1"/>
    <xf numFmtId="167" fontId="23" fillId="0" borderId="154" xfId="0" applyNumberFormat="1" applyFont="1" applyBorder="1" applyAlignment="1">
      <alignment horizontal="center"/>
    </xf>
    <xf numFmtId="167" fontId="23" fillId="0" borderId="148" xfId="0" applyNumberFormat="1" applyFont="1" applyBorder="1" applyAlignment="1">
      <alignment horizontal="center"/>
    </xf>
    <xf numFmtId="0" fontId="23" fillId="0" borderId="148" xfId="0" applyFont="1" applyBorder="1"/>
    <xf numFmtId="0" fontId="23" fillId="0" borderId="145" xfId="0" applyFont="1" applyBorder="1"/>
    <xf numFmtId="164" fontId="19" fillId="0" borderId="12" xfId="7" applyNumberFormat="1" applyFont="1" applyBorder="1" applyAlignment="1">
      <alignment horizontal="center" vertical="center"/>
    </xf>
    <xf numFmtId="164" fontId="4" fillId="0" borderId="59" xfId="7" applyNumberFormat="1" applyFont="1" applyBorder="1" applyAlignment="1">
      <alignment horizontal="center" vertical="center" wrapText="1"/>
    </xf>
    <xf numFmtId="164" fontId="22" fillId="0" borderId="30" xfId="7" applyNumberFormat="1" applyFont="1" applyBorder="1" applyAlignment="1">
      <alignment horizontal="center" vertical="center"/>
    </xf>
    <xf numFmtId="164" fontId="23"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3" fillId="0" borderId="13" xfId="7" applyNumberFormat="1" applyFont="1" applyBorder="1" applyAlignment="1">
      <alignment horizontal="center" vertical="center"/>
    </xf>
    <xf numFmtId="164" fontId="22" fillId="0" borderId="14" xfId="7" applyNumberFormat="1" applyFont="1" applyBorder="1" applyAlignment="1">
      <alignment horizontal="center" vertical="center"/>
    </xf>
    <xf numFmtId="164" fontId="22" fillId="0" borderId="15"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23" fillId="0" borderId="132" xfId="7" applyNumberFormat="1" applyFont="1" applyBorder="1" applyAlignment="1">
      <alignment horizontal="center" vertical="center"/>
    </xf>
    <xf numFmtId="164" fontId="22" fillId="0" borderId="132" xfId="7" applyNumberFormat="1" applyFont="1" applyBorder="1" applyAlignment="1">
      <alignment horizontal="center" vertical="center"/>
    </xf>
    <xf numFmtId="164" fontId="22" fillId="0" borderId="132" xfId="7" applyNumberFormat="1" applyFont="1" applyBorder="1" applyAlignment="1">
      <alignment horizontal="center"/>
    </xf>
    <xf numFmtId="164" fontId="23" fillId="0" borderId="132" xfId="7" applyNumberFormat="1" applyFont="1" applyBorder="1" applyAlignment="1">
      <alignment horizontal="center"/>
    </xf>
    <xf numFmtId="164" fontId="23" fillId="0" borderId="0" xfId="7" applyNumberFormat="1" applyFont="1" applyAlignment="1">
      <alignment horizontal="center"/>
    </xf>
    <xf numFmtId="164" fontId="9" fillId="0" borderId="0" xfId="7" applyNumberFormat="1" applyFont="1" applyAlignment="1">
      <alignment horizontal="center"/>
    </xf>
    <xf numFmtId="164" fontId="19" fillId="0" borderId="13" xfId="7" applyNumberFormat="1" applyFont="1" applyBorder="1" applyAlignment="1">
      <alignment horizontal="center" vertical="center"/>
    </xf>
    <xf numFmtId="193" fontId="4" fillId="0" borderId="139" xfId="0" applyNumberFormat="1" applyFont="1" applyBorder="1"/>
    <xf numFmtId="10" fontId="113" fillId="77" borderId="139" xfId="20961" applyNumberFormat="1" applyFont="1" applyFill="1" applyBorder="1" applyAlignment="1" applyProtection="1">
      <alignment horizontal="right" vertical="center"/>
    </xf>
    <xf numFmtId="0" fontId="14" fillId="3" borderId="137" xfId="0" applyFont="1" applyFill="1" applyBorder="1" applyAlignment="1">
      <alignment horizontal="left"/>
    </xf>
    <xf numFmtId="0" fontId="4" fillId="0" borderId="139" xfId="0" applyFont="1" applyBorder="1" applyAlignment="1">
      <alignment horizontal="center" vertical="center" wrapText="1"/>
    </xf>
    <xf numFmtId="0" fontId="4" fillId="0" borderId="148" xfId="0" applyFont="1" applyBorder="1" applyAlignment="1">
      <alignment horizontal="center" vertical="center" wrapText="1"/>
    </xf>
    <xf numFmtId="0" fontId="4" fillId="3" borderId="144" xfId="0" applyFont="1" applyFill="1" applyBorder="1" applyAlignment="1">
      <alignment vertical="center"/>
    </xf>
    <xf numFmtId="0" fontId="4" fillId="0" borderId="149" xfId="0" applyFont="1" applyBorder="1" applyAlignment="1">
      <alignment horizontal="center" vertical="center"/>
    </xf>
    <xf numFmtId="0" fontId="4" fillId="0" borderId="139" xfId="0" applyFont="1" applyBorder="1" applyAlignment="1">
      <alignment vertical="center"/>
    </xf>
    <xf numFmtId="0" fontId="4" fillId="0" borderId="142" xfId="0" applyFont="1" applyBorder="1" applyAlignment="1">
      <alignment vertical="center"/>
    </xf>
    <xf numFmtId="0" fontId="4" fillId="0" borderId="148" xfId="0" applyFont="1" applyBorder="1" applyAlignment="1">
      <alignment vertical="center"/>
    </xf>
    <xf numFmtId="0" fontId="6" fillId="0" borderId="139" xfId="0" applyFont="1" applyBorder="1" applyAlignment="1">
      <alignment vertical="center"/>
    </xf>
    <xf numFmtId="0" fontId="4" fillId="0" borderId="147" xfId="0" applyFont="1" applyBorder="1" applyAlignment="1">
      <alignment horizontal="center" vertical="center"/>
    </xf>
    <xf numFmtId="0" fontId="6" fillId="0" borderId="146" xfId="0" applyFont="1" applyBorder="1" applyAlignment="1">
      <alignment vertical="center"/>
    </xf>
    <xf numFmtId="0" fontId="4" fillId="0" borderId="146" xfId="0" applyFont="1" applyBorder="1" applyAlignment="1">
      <alignment vertical="center"/>
    </xf>
    <xf numFmtId="0" fontId="4" fillId="3" borderId="0" xfId="0" applyFont="1" applyFill="1" applyAlignment="1">
      <alignment vertical="center"/>
    </xf>
    <xf numFmtId="0" fontId="4" fillId="0" borderId="140" xfId="0" applyFont="1" applyBorder="1" applyAlignment="1">
      <alignment vertical="center"/>
    </xf>
    <xf numFmtId="165" fontId="4" fillId="0" borderId="91" xfId="20961" applyNumberFormat="1" applyFont="1" applyBorder="1" applyAlignment="1">
      <alignment vertical="center"/>
    </xf>
    <xf numFmtId="164" fontId="4" fillId="0" borderId="26" xfId="7" applyNumberFormat="1" applyFont="1" applyBorder="1" applyAlignment="1">
      <alignment vertical="center"/>
    </xf>
    <xf numFmtId="164" fontId="4" fillId="0" borderId="18" xfId="7" applyNumberFormat="1" applyFont="1" applyBorder="1" applyAlignment="1">
      <alignment vertical="center"/>
    </xf>
    <xf numFmtId="164" fontId="4" fillId="0" borderId="138" xfId="7" applyNumberFormat="1" applyFont="1" applyBorder="1" applyAlignment="1">
      <alignment vertical="center"/>
    </xf>
    <xf numFmtId="164" fontId="4" fillId="0" borderId="104" xfId="7" applyNumberFormat="1" applyFont="1" applyBorder="1" applyAlignment="1">
      <alignment vertical="center"/>
    </xf>
    <xf numFmtId="164" fontId="4" fillId="0" borderId="139" xfId="7" applyNumberFormat="1" applyFont="1" applyBorder="1" applyAlignment="1">
      <alignment vertical="center"/>
    </xf>
    <xf numFmtId="164" fontId="120" fillId="0" borderId="132" xfId="7" applyNumberFormat="1" applyFont="1" applyBorder="1"/>
    <xf numFmtId="164" fontId="117" fillId="0" borderId="132" xfId="7" applyNumberFormat="1" applyFont="1" applyBorder="1"/>
    <xf numFmtId="43" fontId="116" fillId="0" borderId="139" xfId="7" applyFont="1" applyBorder="1"/>
    <xf numFmtId="43" fontId="119" fillId="0" borderId="139" xfId="7" applyFont="1" applyBorder="1"/>
    <xf numFmtId="164" fontId="116" fillId="0" borderId="139" xfId="7" applyNumberFormat="1" applyFont="1" applyBorder="1"/>
    <xf numFmtId="164" fontId="116" fillId="35" borderId="139" xfId="7" applyNumberFormat="1" applyFont="1" applyFill="1" applyBorder="1"/>
    <xf numFmtId="164" fontId="119" fillId="0" borderId="139" xfId="7" applyNumberFormat="1" applyFont="1" applyBorder="1"/>
    <xf numFmtId="43" fontId="116" fillId="0" borderId="139" xfId="7" applyFont="1" applyFill="1" applyBorder="1"/>
    <xf numFmtId="3" fontId="116" fillId="0" borderId="0" xfId="0" applyNumberFormat="1" applyFont="1"/>
    <xf numFmtId="164" fontId="116" fillId="0" borderId="0" xfId="0" applyNumberFormat="1" applyFont="1"/>
    <xf numFmtId="43" fontId="116" fillId="0" borderId="139" xfId="7" applyFont="1" applyBorder="1" applyAlignment="1">
      <alignment horizontal="left" indent="1"/>
    </xf>
    <xf numFmtId="43" fontId="119" fillId="80" borderId="139" xfId="7" applyFont="1" applyFill="1" applyBorder="1"/>
    <xf numFmtId="43" fontId="116" fillId="0" borderId="139" xfId="7" applyFont="1" applyFill="1" applyBorder="1" applyAlignment="1">
      <alignment horizontal="left" indent="1"/>
    </xf>
    <xf numFmtId="164" fontId="119" fillId="0" borderId="67" xfId="7" applyNumberFormat="1" applyFont="1" applyBorder="1"/>
    <xf numFmtId="164" fontId="116" fillId="0" borderId="148" xfId="7" applyNumberFormat="1" applyFont="1" applyBorder="1"/>
    <xf numFmtId="164" fontId="116" fillId="0" borderId="149" xfId="7" applyNumberFormat="1" applyFont="1" applyBorder="1" applyAlignment="1">
      <alignment horizontal="left" indent="1"/>
    </xf>
    <xf numFmtId="164" fontId="116" fillId="0" borderId="149" xfId="7" applyNumberFormat="1" applyFont="1" applyBorder="1" applyAlignment="1">
      <alignment horizontal="left" indent="2"/>
    </xf>
    <xf numFmtId="164" fontId="116" fillId="0" borderId="149" xfId="7" applyNumberFormat="1" applyFont="1" applyBorder="1" applyAlignment="1">
      <alignment horizontal="left" indent="3"/>
    </xf>
    <xf numFmtId="164" fontId="116" fillId="79" borderId="149" xfId="7" applyNumberFormat="1" applyFont="1" applyFill="1" applyBorder="1"/>
    <xf numFmtId="164" fontId="116" fillId="79" borderId="139" xfId="7" applyNumberFormat="1" applyFont="1" applyFill="1" applyBorder="1"/>
    <xf numFmtId="164" fontId="116" fillId="79" borderId="148" xfId="7" applyNumberFormat="1" applyFont="1" applyFill="1" applyBorder="1"/>
    <xf numFmtId="164" fontId="116" fillId="0" borderId="149" xfId="7" applyNumberFormat="1" applyFont="1" applyBorder="1" applyAlignment="1">
      <alignment horizontal="left" vertical="top" wrapText="1" indent="2"/>
    </xf>
    <xf numFmtId="164" fontId="116" fillId="0" borderId="149" xfId="7" applyNumberFormat="1" applyFont="1" applyBorder="1" applyAlignment="1">
      <alignment horizontal="left" wrapText="1" indent="3"/>
    </xf>
    <xf numFmtId="164" fontId="116" fillId="0" borderId="149" xfId="7" applyNumberFormat="1" applyFont="1" applyBorder="1" applyAlignment="1">
      <alignment horizontal="left" wrapText="1" indent="2"/>
    </xf>
    <xf numFmtId="164" fontId="116" fillId="0" borderId="149" xfId="7" applyNumberFormat="1" applyFont="1" applyBorder="1" applyAlignment="1">
      <alignment horizontal="left" wrapText="1" indent="1"/>
    </xf>
    <xf numFmtId="164" fontId="116" fillId="0" borderId="147" xfId="7" applyNumberFormat="1" applyFont="1" applyBorder="1" applyAlignment="1">
      <alignment horizontal="left" wrapText="1" indent="1"/>
    </xf>
    <xf numFmtId="164" fontId="116" fillId="0" borderId="146" xfId="7" applyNumberFormat="1" applyFont="1" applyBorder="1"/>
    <xf numFmtId="164" fontId="116" fillId="0" borderId="145" xfId="7" applyNumberFormat="1" applyFont="1" applyBorder="1"/>
    <xf numFmtId="43" fontId="116" fillId="0" borderId="0" xfId="7" applyFont="1"/>
    <xf numFmtId="43" fontId="116" fillId="0" borderId="0" xfId="0" applyNumberFormat="1" applyFont="1"/>
    <xf numFmtId="43" fontId="119" fillId="0" borderId="139" xfId="7" applyFont="1" applyBorder="1" applyAlignment="1">
      <alignment horizontal="left" vertical="center" wrapText="1"/>
    </xf>
    <xf numFmtId="164" fontId="116" fillId="0" borderId="139" xfId="7" applyNumberFormat="1" applyFont="1" applyBorder="1" applyAlignment="1">
      <alignment horizontal="left" vertical="center" wrapText="1"/>
    </xf>
    <xf numFmtId="164" fontId="116" fillId="0" borderId="139" xfId="7" applyNumberFormat="1" applyFont="1" applyBorder="1" applyAlignment="1">
      <alignment horizontal="center" vertical="center" textRotation="90" wrapText="1"/>
    </xf>
    <xf numFmtId="164" fontId="116" fillId="0" borderId="139" xfId="7" applyNumberFormat="1" applyFont="1" applyBorder="1" applyAlignment="1">
      <alignment horizontal="center" vertical="center" wrapText="1"/>
    </xf>
    <xf numFmtId="164" fontId="116" fillId="0" borderId="139" xfId="7" applyNumberFormat="1" applyFont="1" applyBorder="1" applyAlignment="1">
      <alignment horizontal="center" vertical="center"/>
    </xf>
    <xf numFmtId="43" fontId="116" fillId="0" borderId="0" xfId="0" applyNumberFormat="1" applyFont="1" applyAlignment="1">
      <alignment horizontal="left"/>
    </xf>
    <xf numFmtId="43" fontId="121" fillId="0" borderId="139" xfId="7" applyFont="1" applyBorder="1"/>
    <xf numFmtId="164" fontId="121" fillId="0" borderId="139" xfId="7" applyNumberFormat="1" applyFont="1" applyBorder="1"/>
    <xf numFmtId="164" fontId="125" fillId="0" borderId="0" xfId="0" applyNumberFormat="1" applyFont="1"/>
    <xf numFmtId="43" fontId="125" fillId="0" borderId="0" xfId="0" applyNumberFormat="1" applyFont="1"/>
    <xf numFmtId="43" fontId="121" fillId="0" borderId="140" xfId="7" applyFont="1" applyBorder="1"/>
    <xf numFmtId="10" fontId="121" fillId="0" borderId="139" xfId="20961" applyNumberFormat="1" applyFont="1" applyBorder="1"/>
    <xf numFmtId="10" fontId="121" fillId="0" borderId="140" xfId="20961" applyNumberFormat="1" applyFont="1" applyBorder="1"/>
    <xf numFmtId="164" fontId="117" fillId="0" borderId="0" xfId="0" applyNumberFormat="1" applyFont="1"/>
    <xf numFmtId="43" fontId="117" fillId="0" borderId="0" xfId="0" applyNumberFormat="1" applyFont="1"/>
    <xf numFmtId="43" fontId="117" fillId="0" borderId="0" xfId="7" applyFont="1"/>
    <xf numFmtId="164" fontId="116" fillId="0" borderId="139" xfId="7" applyNumberFormat="1" applyFont="1" applyFill="1" applyBorder="1"/>
    <xf numFmtId="164" fontId="117" fillId="0" borderId="139" xfId="7" applyNumberFormat="1" applyFont="1" applyBorder="1"/>
    <xf numFmtId="164" fontId="120" fillId="0" borderId="139" xfId="7" applyNumberFormat="1" applyFont="1" applyBorder="1"/>
    <xf numFmtId="10" fontId="9" fillId="2" borderId="23" xfId="20961" applyNumberFormat="1" applyFont="1" applyFill="1" applyBorder="1" applyAlignment="1" applyProtection="1">
      <alignment vertical="center"/>
      <protection locked="0"/>
    </xf>
    <xf numFmtId="164" fontId="4" fillId="0" borderId="139" xfId="7" applyNumberFormat="1" applyFont="1" applyFill="1" applyBorder="1"/>
    <xf numFmtId="164" fontId="4" fillId="0" borderId="148" xfId="7" applyNumberFormat="1" applyFont="1" applyBorder="1"/>
    <xf numFmtId="164" fontId="4" fillId="0" borderId="139" xfId="7" applyNumberFormat="1" applyFont="1" applyFill="1" applyBorder="1" applyAlignment="1">
      <alignment vertical="center"/>
    </xf>
    <xf numFmtId="164" fontId="4" fillId="0" borderId="139" xfId="7" applyNumberFormat="1" applyFont="1" applyBorder="1"/>
    <xf numFmtId="164" fontId="0" fillId="0" borderId="0" xfId="0" applyNumberFormat="1"/>
    <xf numFmtId="164" fontId="9" fillId="0" borderId="132" xfId="7" applyNumberFormat="1" applyFont="1" applyFill="1" applyBorder="1" applyAlignment="1">
      <alignment horizontal="right"/>
    </xf>
    <xf numFmtId="3" fontId="0" fillId="0" borderId="139" xfId="0" applyNumberFormat="1" applyBorder="1" applyAlignment="1">
      <alignment vertical="center" wrapText="1"/>
    </xf>
    <xf numFmtId="43" fontId="23" fillId="0" borderId="0" xfId="0" applyNumberFormat="1" applyFont="1"/>
    <xf numFmtId="2" fontId="121" fillId="0" borderId="139" xfId="20961" applyNumberFormat="1" applyFont="1" applyBorder="1"/>
    <xf numFmtId="2" fontId="121" fillId="0" borderId="140" xfId="20961" applyNumberFormat="1" applyFont="1" applyBorder="1"/>
    <xf numFmtId="2" fontId="121" fillId="0" borderId="139" xfId="0" applyNumberFormat="1" applyFont="1" applyBorder="1"/>
    <xf numFmtId="0" fontId="104" fillId="0" borderId="64" xfId="0" applyFont="1" applyBorder="1" applyAlignment="1">
      <alignment horizontal="left" vertical="center" wrapText="1"/>
    </xf>
    <xf numFmtId="0" fontId="104" fillId="0" borderId="63" xfId="0" applyFont="1" applyBorder="1" applyAlignment="1">
      <alignment horizontal="left" vertical="center" wrapText="1"/>
    </xf>
    <xf numFmtId="0" fontId="141" fillId="0" borderId="152" xfId="0" applyFont="1" applyBorder="1" applyAlignment="1">
      <alignment horizontal="center" vertical="center"/>
    </xf>
    <xf numFmtId="0" fontId="141" fillId="0" borderId="29" xfId="0" applyFont="1" applyBorder="1" applyAlignment="1">
      <alignment horizontal="center" vertical="center"/>
    </xf>
    <xf numFmtId="0" fontId="141" fillId="0" borderId="153" xfId="0" applyFont="1" applyBorder="1" applyAlignment="1">
      <alignment horizontal="center" vertical="center"/>
    </xf>
    <xf numFmtId="0" fontId="0" fillId="0" borderId="142" xfId="0" applyBorder="1" applyAlignment="1">
      <alignment horizontal="center"/>
    </xf>
    <xf numFmtId="0" fontId="0" fillId="0" borderId="144" xfId="0" applyBorder="1" applyAlignment="1">
      <alignment horizontal="center"/>
    </xf>
    <xf numFmtId="0" fontId="0" fillId="0" borderId="21" xfId="0" applyBorder="1" applyAlignment="1">
      <alignment horizontal="center"/>
    </xf>
    <xf numFmtId="0" fontId="0" fillId="0" borderId="16" xfId="0" applyBorder="1" applyAlignment="1">
      <alignment horizontal="center" vertical="center"/>
    </xf>
    <xf numFmtId="0" fontId="0" fillId="0" borderId="149" xfId="0" applyBorder="1" applyAlignment="1">
      <alignment horizontal="center" vertical="center"/>
    </xf>
    <xf numFmtId="0" fontId="128" fillId="0" borderId="5" xfId="0" applyFont="1" applyBorder="1" applyAlignment="1">
      <alignment horizontal="center" vertical="center"/>
    </xf>
    <xf numFmtId="0" fontId="128" fillId="0" borderId="7" xfId="0" applyFont="1" applyBorder="1" applyAlignment="1">
      <alignment horizontal="center" vertical="center"/>
    </xf>
    <xf numFmtId="164" fontId="10" fillId="0" borderId="17" xfId="7"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28" fillId="0" borderId="5" xfId="0" applyFont="1" applyBorder="1" applyAlignment="1">
      <alignment horizontal="center" vertical="center" wrapText="1"/>
    </xf>
    <xf numFmtId="0" fontId="128" fillId="0" borderId="7" xfId="0" applyFont="1" applyBorder="1" applyAlignment="1">
      <alignment horizontal="center" vertical="center" wrapText="1"/>
    </xf>
    <xf numFmtId="164" fontId="10" fillId="0" borderId="18" xfId="7" applyNumberFormat="1" applyFont="1" applyBorder="1" applyAlignment="1">
      <alignment horizontal="center" vertical="center"/>
    </xf>
    <xf numFmtId="0" fontId="0" fillId="0" borderId="4" xfId="0" applyBorder="1" applyAlignment="1">
      <alignment horizontal="center" vertical="center"/>
    </xf>
    <xf numFmtId="0" fontId="0" fillId="0" borderId="67" xfId="0" applyBorder="1" applyAlignment="1">
      <alignment horizontal="center" vertical="center"/>
    </xf>
    <xf numFmtId="0" fontId="0" fillId="0" borderId="132" xfId="0" applyBorder="1" applyAlignment="1">
      <alignment horizontal="center" vertical="center"/>
    </xf>
    <xf numFmtId="0" fontId="0" fillId="0" borderId="132"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97" xfId="0" applyFont="1" applyBorder="1" applyAlignment="1">
      <alignment horizontal="center"/>
    </xf>
    <xf numFmtId="0" fontId="4" fillId="0" borderId="21" xfId="0" applyFont="1" applyBorder="1" applyAlignment="1">
      <alignment horizontal="center"/>
    </xf>
    <xf numFmtId="0" fontId="6" fillId="35" borderId="112"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09"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39"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lignment horizontal="center" vertical="center" wrapText="1"/>
    </xf>
    <xf numFmtId="0" fontId="6" fillId="86" borderId="148" xfId="0" applyFont="1" applyFill="1" applyBorder="1" applyAlignment="1">
      <alignment horizontal="center" vertical="center" wrapText="1"/>
    </xf>
    <xf numFmtId="0" fontId="101" fillId="3" borderId="65" xfId="13" applyFont="1" applyFill="1" applyBorder="1" applyAlignment="1" applyProtection="1">
      <alignment horizontal="center" vertical="center" wrapText="1"/>
      <protection locked="0"/>
    </xf>
    <xf numFmtId="0" fontId="101"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2"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08" xfId="0" applyFont="1" applyBorder="1" applyAlignment="1">
      <alignment horizontal="center" vertical="center" wrapText="1"/>
    </xf>
    <xf numFmtId="0" fontId="119" fillId="0" borderId="115" xfId="0" applyFont="1" applyBorder="1" applyAlignment="1">
      <alignment horizontal="left" vertical="center" wrapText="1"/>
    </xf>
    <xf numFmtId="0" fontId="119" fillId="0" borderId="116" xfId="0" applyFont="1" applyBorder="1" applyAlignment="1">
      <alignment horizontal="left" vertical="center" wrapText="1"/>
    </xf>
    <xf numFmtId="0" fontId="119" fillId="0" borderId="118" xfId="0" applyFont="1" applyBorder="1" applyAlignment="1">
      <alignment horizontal="left" vertical="center" wrapText="1"/>
    </xf>
    <xf numFmtId="0" fontId="119" fillId="0" borderId="119" xfId="0" applyFont="1" applyBorder="1" applyAlignment="1">
      <alignment horizontal="left" vertical="center" wrapText="1"/>
    </xf>
    <xf numFmtId="0" fontId="119" fillId="0" borderId="121" xfId="0" applyFont="1" applyBorder="1" applyAlignment="1">
      <alignment horizontal="left" vertical="center" wrapText="1"/>
    </xf>
    <xf numFmtId="0" fontId="119" fillId="0" borderId="122" xfId="0" applyFont="1" applyBorder="1" applyAlignment="1">
      <alignment horizontal="left" vertical="center" wrapText="1"/>
    </xf>
    <xf numFmtId="0" fontId="120" fillId="0" borderId="138" xfId="0" applyFont="1" applyBorder="1" applyAlignment="1">
      <alignment horizontal="center" vertical="center" wrapText="1"/>
    </xf>
    <xf numFmtId="0" fontId="120" fillId="0" borderId="137" xfId="0" applyFont="1" applyBorder="1" applyAlignment="1">
      <alignment horizontal="center" vertical="center" wrapText="1"/>
    </xf>
    <xf numFmtId="0" fontId="120" fillId="0" borderId="117"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0"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0"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39" xfId="0" applyFont="1" applyBorder="1" applyAlignment="1">
      <alignment horizontal="center" vertical="center" wrapText="1"/>
    </xf>
    <xf numFmtId="0" fontId="116" fillId="0" borderId="142" xfId="0" applyFont="1" applyBorder="1" applyAlignment="1">
      <alignment horizontal="center" vertical="center" wrapText="1"/>
    </xf>
    <xf numFmtId="0" fontId="116" fillId="0" borderId="141" xfId="0" applyFont="1" applyBorder="1" applyAlignment="1">
      <alignment horizontal="center" vertical="center" wrapText="1"/>
    </xf>
    <xf numFmtId="0" fontId="124" fillId="0" borderId="139" xfId="0" applyFont="1" applyBorder="1" applyAlignment="1">
      <alignment horizontal="center" vertical="center"/>
    </xf>
    <xf numFmtId="0" fontId="118" fillId="0" borderId="138" xfId="0" applyFont="1" applyBorder="1" applyAlignment="1">
      <alignment horizontal="center" vertical="center"/>
    </xf>
    <xf numFmtId="0" fontId="118" fillId="0" borderId="143"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39" xfId="0" applyFont="1" applyBorder="1" applyAlignment="1">
      <alignment horizontal="center" vertical="center" wrapText="1"/>
    </xf>
    <xf numFmtId="0" fontId="119" fillId="0" borderId="138" xfId="0" applyFont="1" applyBorder="1" applyAlignment="1">
      <alignment horizontal="center" vertical="center" wrapText="1"/>
    </xf>
    <xf numFmtId="0" fontId="119" fillId="0" borderId="143" xfId="0" applyFont="1" applyBorder="1" applyAlignment="1">
      <alignment horizontal="center" vertical="center" wrapText="1"/>
    </xf>
    <xf numFmtId="0" fontId="119" fillId="0" borderId="123" xfId="0" applyFont="1" applyBorder="1" applyAlignment="1">
      <alignment horizontal="center" vertical="center" wrapText="1"/>
    </xf>
    <xf numFmtId="0" fontId="119" fillId="0" borderId="124"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44"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38" xfId="0" applyFont="1" applyBorder="1" applyAlignment="1">
      <alignment horizontal="center" vertical="center" wrapText="1"/>
    </xf>
    <xf numFmtId="0" fontId="116" fillId="0" borderId="137" xfId="0" applyFont="1" applyBorder="1" applyAlignment="1">
      <alignment horizontal="center" vertical="center" wrapText="1"/>
    </xf>
    <xf numFmtId="0" fontId="116" fillId="0" borderId="143"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55" xfId="0" applyFont="1" applyBorder="1" applyAlignment="1">
      <alignment horizontal="center" vertical="center" wrapText="1"/>
    </xf>
    <xf numFmtId="0" fontId="116" fillId="0" borderId="102" xfId="0" applyFont="1" applyBorder="1" applyAlignment="1">
      <alignment horizontal="center" vertical="center" wrapText="1"/>
    </xf>
    <xf numFmtId="0" fontId="119" fillId="0" borderId="54" xfId="0" applyFont="1" applyBorder="1" applyAlignment="1">
      <alignment horizontal="left" vertical="top" wrapText="1"/>
    </xf>
    <xf numFmtId="0" fontId="119" fillId="0" borderId="102" xfId="0" applyFont="1" applyBorder="1" applyAlignment="1">
      <alignment horizontal="left" vertical="top" wrapText="1"/>
    </xf>
    <xf numFmtId="0" fontId="119" fillId="0" borderId="61" xfId="0" applyFont="1" applyBorder="1" applyAlignment="1">
      <alignment horizontal="left" vertical="top" wrapText="1"/>
    </xf>
    <xf numFmtId="0" fontId="119" fillId="0" borderId="90" xfId="0" applyFont="1" applyBorder="1" applyAlignment="1">
      <alignment horizontal="left" vertical="top" wrapText="1"/>
    </xf>
    <xf numFmtId="0" fontId="119" fillId="0" borderId="114" xfId="0" applyFont="1" applyBorder="1" applyAlignment="1">
      <alignment horizontal="left" vertical="top" wrapText="1"/>
    </xf>
    <xf numFmtId="0" fontId="119" fillId="0" borderId="150" xfId="0" applyFont="1" applyBorder="1" applyAlignment="1">
      <alignment horizontal="left" vertical="top" wrapText="1"/>
    </xf>
    <xf numFmtId="0" fontId="119" fillId="0" borderId="151" xfId="0" applyFont="1" applyBorder="1" applyAlignment="1">
      <alignment horizontal="center" vertical="center" wrapText="1"/>
    </xf>
    <xf numFmtId="0" fontId="119" fillId="0" borderId="67" xfId="0" applyFont="1" applyBorder="1" applyAlignment="1">
      <alignment horizontal="center" vertical="center" wrapText="1"/>
    </xf>
    <xf numFmtId="0" fontId="116" fillId="0" borderId="138" xfId="0" applyFont="1" applyBorder="1" applyAlignment="1">
      <alignment horizontal="center" vertical="top" wrapText="1"/>
    </xf>
    <xf numFmtId="0" fontId="116" fillId="0" borderId="137"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41" xfId="0" applyFont="1" applyBorder="1" applyAlignment="1">
      <alignment horizontal="center" vertical="top" wrapText="1"/>
    </xf>
    <xf numFmtId="0" fontId="105" fillId="0" borderId="126" xfId="0" applyFont="1" applyBorder="1" applyAlignment="1">
      <alignment horizontal="left" vertical="top" wrapText="1"/>
    </xf>
    <xf numFmtId="0" fontId="105" fillId="0" borderId="127" xfId="0" applyFont="1" applyBorder="1" applyAlignment="1">
      <alignment horizontal="left" vertical="top" wrapText="1"/>
    </xf>
    <xf numFmtId="0" fontId="122" fillId="0" borderId="139" xfId="0" applyFont="1" applyBorder="1" applyAlignment="1">
      <alignment horizontal="center" vertical="center"/>
    </xf>
    <xf numFmtId="0" fontId="121" fillId="0" borderId="139" xfId="0" applyFont="1" applyBorder="1" applyAlignment="1">
      <alignment horizontal="center" vertical="center" wrapText="1"/>
    </xf>
    <xf numFmtId="0" fontId="121" fillId="0" borderId="140" xfId="0" applyFont="1" applyBorder="1" applyAlignment="1">
      <alignment horizontal="center" vertical="center" wrapText="1"/>
    </xf>
    <xf numFmtId="0" fontId="105" fillId="0" borderId="68" xfId="0" applyFont="1" applyBorder="1" applyAlignment="1">
      <alignment horizontal="center" vertical="center"/>
    </xf>
    <xf numFmtId="0" fontId="105" fillId="0" borderId="69" xfId="0" applyFont="1" applyBorder="1" applyAlignment="1">
      <alignment horizontal="center" vertical="center"/>
    </xf>
    <xf numFmtId="0" fontId="105" fillId="0" borderId="70" xfId="0" applyFont="1" applyBorder="1" applyAlignment="1">
      <alignment horizontal="center" vertical="center"/>
    </xf>
    <xf numFmtId="0" fontId="106" fillId="0" borderId="96" xfId="0" applyFont="1" applyBorder="1" applyAlignment="1">
      <alignment horizontal="left" vertical="center" wrapText="1"/>
    </xf>
    <xf numFmtId="0" fontId="105" fillId="75" borderId="71" xfId="0" applyFont="1" applyFill="1" applyBorder="1" applyAlignment="1">
      <alignment horizontal="center" vertical="center" wrapText="1"/>
    </xf>
    <xf numFmtId="0" fontId="105" fillId="75" borderId="72" xfId="0" applyFont="1" applyFill="1" applyBorder="1" applyAlignment="1">
      <alignment horizontal="center" vertical="center" wrapText="1"/>
    </xf>
    <xf numFmtId="0" fontId="105" fillId="75" borderId="73"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97" xfId="0" applyFont="1" applyBorder="1" applyAlignment="1">
      <alignment horizontal="left" vertical="center" wrapText="1"/>
    </xf>
    <xf numFmtId="0" fontId="106" fillId="0" borderId="95" xfId="0" applyFont="1" applyBorder="1" applyAlignment="1">
      <alignment horizontal="left" vertical="center" wrapText="1"/>
    </xf>
    <xf numFmtId="0" fontId="155" fillId="3" borderId="97" xfId="0" applyFont="1" applyFill="1" applyBorder="1" applyAlignment="1">
      <alignment vertical="center" wrapText="1"/>
    </xf>
    <xf numFmtId="0" fontId="155" fillId="3" borderId="95" xfId="0" applyFont="1" applyFill="1" applyBorder="1" applyAlignment="1">
      <alignment vertical="center" wrapText="1"/>
    </xf>
    <xf numFmtId="0" fontId="106" fillId="3" borderId="97" xfId="0" applyFont="1" applyFill="1" applyBorder="1" applyAlignment="1">
      <alignment vertical="center" wrapText="1"/>
    </xf>
    <xf numFmtId="0" fontId="106" fillId="3" borderId="95" xfId="0" applyFont="1" applyFill="1" applyBorder="1" applyAlignment="1">
      <alignment vertical="center" wrapText="1"/>
    </xf>
    <xf numFmtId="0" fontId="106" fillId="0" borderId="97" xfId="0" applyFont="1" applyBorder="1" applyAlignment="1">
      <alignment horizontal="left"/>
    </xf>
    <xf numFmtId="0" fontId="106" fillId="0" borderId="95" xfId="0" applyFont="1" applyBorder="1" applyAlignment="1">
      <alignment horizontal="left"/>
    </xf>
    <xf numFmtId="0" fontId="106" fillId="0" borderId="97" xfId="0" applyFont="1" applyBorder="1" applyAlignment="1">
      <alignment vertical="center" wrapText="1"/>
    </xf>
    <xf numFmtId="0" fontId="106" fillId="0" borderId="95" xfId="0" applyFont="1" applyBorder="1" applyAlignment="1">
      <alignment vertical="center" wrapText="1"/>
    </xf>
    <xf numFmtId="0" fontId="106" fillId="0" borderId="133" xfId="0" applyFont="1" applyBorder="1" applyAlignment="1">
      <alignment horizontal="left" vertical="center" wrapText="1"/>
    </xf>
    <xf numFmtId="0" fontId="106" fillId="0" borderId="134" xfId="0" applyFont="1" applyBorder="1" applyAlignment="1">
      <alignment horizontal="left" vertical="center" wrapText="1"/>
    </xf>
    <xf numFmtId="0" fontId="106" fillId="0" borderId="135" xfId="0" applyFont="1" applyBorder="1" applyAlignment="1">
      <alignment horizontal="left" vertical="center" wrapText="1"/>
    </xf>
    <xf numFmtId="0" fontId="106" fillId="3" borderId="75"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0" borderId="78" xfId="0" applyFont="1" applyBorder="1" applyAlignment="1">
      <alignment horizontal="left" vertical="center" wrapText="1"/>
    </xf>
    <xf numFmtId="0" fontId="106" fillId="0" borderId="79"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0" borderId="75" xfId="0" applyFont="1" applyBorder="1" applyAlignment="1">
      <alignment horizontal="left" vertical="center" wrapText="1"/>
    </xf>
    <xf numFmtId="0" fontId="106" fillId="0" borderId="76" xfId="0" applyFont="1" applyBorder="1" applyAlignment="1">
      <alignment horizontal="left" vertical="center" wrapText="1"/>
    </xf>
    <xf numFmtId="0" fontId="155" fillId="3" borderId="97" xfId="0" applyFont="1" applyFill="1" applyBorder="1" applyAlignment="1">
      <alignment horizontal="left" vertical="center" wrapText="1"/>
    </xf>
    <xf numFmtId="0" fontId="155" fillId="3" borderId="95" xfId="0" applyFont="1" applyFill="1" applyBorder="1" applyAlignment="1">
      <alignment horizontal="left" vertical="center" wrapText="1"/>
    </xf>
    <xf numFmtId="0" fontId="106" fillId="3" borderId="97" xfId="0" applyFont="1" applyFill="1" applyBorder="1" applyAlignment="1">
      <alignment horizontal="left" vertical="center" wrapText="1"/>
    </xf>
    <xf numFmtId="0" fontId="106" fillId="3" borderId="95" xfId="0" applyFont="1" applyFill="1" applyBorder="1" applyAlignment="1">
      <alignment horizontal="left" vertical="center" wrapText="1"/>
    </xf>
    <xf numFmtId="0" fontId="106" fillId="0" borderId="142" xfId="0" applyFont="1" applyBorder="1" applyAlignment="1">
      <alignment horizontal="left" vertical="center" wrapText="1"/>
    </xf>
    <xf numFmtId="0" fontId="106" fillId="0" borderId="141" xfId="0" applyFont="1" applyBorder="1" applyAlignment="1">
      <alignment horizontal="left" vertical="center" wrapText="1"/>
    </xf>
    <xf numFmtId="0" fontId="105" fillId="75" borderId="80"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1" xfId="0" applyFont="1" applyFill="1" applyBorder="1" applyAlignment="1">
      <alignment horizontal="center" vertical="center" wrapText="1"/>
    </xf>
    <xf numFmtId="0" fontId="105" fillId="75" borderId="85" xfId="0" applyFont="1" applyFill="1" applyBorder="1" applyAlignment="1">
      <alignment horizontal="center" vertical="center"/>
    </xf>
    <xf numFmtId="0" fontId="105" fillId="75" borderId="86" xfId="0" applyFont="1" applyFill="1" applyBorder="1" applyAlignment="1">
      <alignment horizontal="center" vertical="center"/>
    </xf>
    <xf numFmtId="0" fontId="105" fillId="75" borderId="87" xfId="0" applyFont="1" applyFill="1" applyBorder="1" applyAlignment="1">
      <alignment horizontal="center" vertical="center"/>
    </xf>
    <xf numFmtId="0" fontId="105" fillId="75" borderId="139" xfId="0" applyFont="1" applyFill="1" applyBorder="1" applyAlignment="1">
      <alignment horizontal="center" vertical="center" wrapText="1"/>
    </xf>
    <xf numFmtId="0" fontId="105" fillId="0" borderId="139" xfId="0" applyFont="1" applyBorder="1" applyAlignment="1">
      <alignment horizontal="center" vertical="center"/>
    </xf>
    <xf numFmtId="0" fontId="106" fillId="0" borderId="142" xfId="13" applyFont="1" applyBorder="1" applyAlignment="1" applyProtection="1">
      <alignment horizontal="left" vertical="top" wrapText="1"/>
      <protection locked="0"/>
    </xf>
    <xf numFmtId="0" fontId="106" fillId="0" borderId="141" xfId="13" applyFont="1" applyBorder="1" applyAlignment="1" applyProtection="1">
      <alignment horizontal="left" vertical="top" wrapText="1"/>
      <protection locked="0"/>
    </xf>
    <xf numFmtId="0" fontId="106" fillId="3" borderId="142" xfId="13" applyFont="1" applyFill="1" applyBorder="1" applyAlignment="1" applyProtection="1">
      <alignment horizontal="left" vertical="top" wrapText="1"/>
      <protection locked="0"/>
    </xf>
    <xf numFmtId="0" fontId="106" fillId="3" borderId="141" xfId="13" applyFont="1" applyFill="1" applyBorder="1" applyAlignment="1" applyProtection="1">
      <alignment horizontal="left" vertical="top" wrapText="1"/>
      <protection locked="0"/>
    </xf>
    <xf numFmtId="0" fontId="105" fillId="0" borderId="83" xfId="0" applyFont="1" applyBorder="1" applyAlignment="1">
      <alignment horizontal="center" vertical="center"/>
    </xf>
    <xf numFmtId="49" fontId="106" fillId="0" borderId="0" xfId="0" applyNumberFormat="1" applyFont="1" applyAlignment="1">
      <alignment horizontal="center" vertical="center"/>
    </xf>
    <xf numFmtId="0" fontId="105" fillId="75" borderId="142" xfId="0" applyFont="1" applyFill="1" applyBorder="1" applyAlignment="1">
      <alignment horizontal="center" vertical="center" wrapText="1"/>
    </xf>
    <xf numFmtId="0" fontId="105" fillId="75" borderId="141" xfId="0" applyFont="1" applyFill="1" applyBorder="1" applyAlignment="1">
      <alignment horizontal="center" vertical="center" wrapText="1"/>
    </xf>
    <xf numFmtId="0" fontId="106" fillId="0" borderId="139" xfId="0" applyFont="1" applyBorder="1" applyAlignment="1">
      <alignment horizontal="left" vertical="top" wrapText="1"/>
    </xf>
    <xf numFmtId="0" fontId="106" fillId="0" borderId="142" xfId="0" applyFont="1" applyBorder="1" applyAlignment="1">
      <alignment horizontal="left" vertical="top" wrapText="1"/>
    </xf>
    <xf numFmtId="0" fontId="106" fillId="0" borderId="139" xfId="0" applyFont="1" applyBorder="1" applyAlignment="1">
      <alignment horizontal="left" vertical="center" wrapText="1"/>
    </xf>
    <xf numFmtId="0" fontId="106" fillId="0" borderId="139" xfId="0" applyFont="1" applyBorder="1" applyAlignment="1">
      <alignment horizontal="center"/>
    </xf>
    <xf numFmtId="0" fontId="155" fillId="0" borderId="142" xfId="13" applyFont="1" applyBorder="1" applyAlignment="1" applyProtection="1">
      <alignment horizontal="left" vertical="top" wrapText="1"/>
      <protection locked="0"/>
    </xf>
    <xf numFmtId="0" fontId="155" fillId="0" borderId="141" xfId="13" applyFont="1" applyBorder="1" applyAlignment="1" applyProtection="1">
      <alignment horizontal="left" vertical="top" wrapText="1"/>
      <protection locked="0"/>
    </xf>
    <xf numFmtId="0" fontId="106" fillId="0" borderId="141"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zoomScaleNormal="100" workbookViewId="0">
      <pane xSplit="1" ySplit="7" topLeftCell="B8" activePane="bottomRight" state="frozen"/>
      <selection pane="topRight" activeCell="B1" sqref="B1"/>
      <selection pane="bottomLeft" activeCell="A8" sqref="A8"/>
      <selection pane="bottomRight" activeCell="C13" sqref="C13"/>
    </sheetView>
  </sheetViews>
  <sheetFormatPr defaultRowHeight="14.4"/>
  <cols>
    <col min="1" max="1" width="10.21875" style="1" customWidth="1"/>
    <col min="2" max="2" width="153" bestFit="1" customWidth="1"/>
    <col min="3" max="3" width="39.44140625" customWidth="1"/>
    <col min="7" max="7" width="25" customWidth="1"/>
  </cols>
  <sheetData>
    <row r="1" spans="1:3">
      <c r="A1" s="6"/>
      <c r="B1" s="92" t="s">
        <v>148</v>
      </c>
      <c r="C1" s="46"/>
    </row>
    <row r="2" spans="1:3" s="89" customFormat="1">
      <c r="A2" s="132">
        <v>1</v>
      </c>
      <c r="B2" s="90" t="s">
        <v>149</v>
      </c>
      <c r="C2" s="88" t="s">
        <v>1000</v>
      </c>
    </row>
    <row r="3" spans="1:3" s="89" customFormat="1">
      <c r="A3" s="132">
        <v>2</v>
      </c>
      <c r="B3" s="91" t="s">
        <v>150</v>
      </c>
      <c r="C3" s="88" t="s">
        <v>1001</v>
      </c>
    </row>
    <row r="4" spans="1:3" s="89" customFormat="1">
      <c r="A4" s="132">
        <v>3</v>
      </c>
      <c r="B4" s="91" t="s">
        <v>151</v>
      </c>
      <c r="C4" s="88" t="s">
        <v>1002</v>
      </c>
    </row>
    <row r="5" spans="1:3" s="89" customFormat="1">
      <c r="A5" s="133">
        <v>4</v>
      </c>
      <c r="B5" s="94" t="s">
        <v>152</v>
      </c>
      <c r="C5" s="88" t="s">
        <v>1003</v>
      </c>
    </row>
    <row r="6" spans="1:3" s="93" customFormat="1" ht="65.25" customHeight="1">
      <c r="A6" s="767" t="s">
        <v>309</v>
      </c>
      <c r="B6" s="768"/>
      <c r="C6" s="768"/>
    </row>
    <row r="7" spans="1:3">
      <c r="A7" s="223" t="s">
        <v>240</v>
      </c>
      <c r="B7" s="224" t="s">
        <v>153</v>
      </c>
    </row>
    <row r="8" spans="1:3">
      <c r="A8" s="225">
        <v>1</v>
      </c>
      <c r="B8" s="221" t="s">
        <v>128</v>
      </c>
    </row>
    <row r="9" spans="1:3">
      <c r="A9" s="225">
        <v>2</v>
      </c>
      <c r="B9" s="221" t="s">
        <v>154</v>
      </c>
    </row>
    <row r="10" spans="1:3">
      <c r="A10" s="225">
        <v>3</v>
      </c>
      <c r="B10" s="221" t="s">
        <v>155</v>
      </c>
    </row>
    <row r="11" spans="1:3">
      <c r="A11" s="225">
        <v>4</v>
      </c>
      <c r="B11" s="221" t="s">
        <v>156</v>
      </c>
    </row>
    <row r="12" spans="1:3">
      <c r="A12" s="225">
        <v>5</v>
      </c>
      <c r="B12" s="221" t="s">
        <v>96</v>
      </c>
    </row>
    <row r="13" spans="1:3">
      <c r="A13" s="225">
        <v>6</v>
      </c>
      <c r="B13" s="226" t="s">
        <v>80</v>
      </c>
    </row>
    <row r="14" spans="1:3">
      <c r="A14" s="225">
        <v>7</v>
      </c>
      <c r="B14" s="221" t="s">
        <v>157</v>
      </c>
    </row>
    <row r="15" spans="1:3">
      <c r="A15" s="225">
        <v>8</v>
      </c>
      <c r="B15" s="221" t="s">
        <v>160</v>
      </c>
    </row>
    <row r="16" spans="1:3">
      <c r="A16" s="225">
        <v>9</v>
      </c>
      <c r="B16" s="221" t="s">
        <v>74</v>
      </c>
    </row>
    <row r="17" spans="1:2">
      <c r="A17" s="227" t="s">
        <v>366</v>
      </c>
      <c r="B17" s="221" t="s">
        <v>346</v>
      </c>
    </row>
    <row r="18" spans="1:2">
      <c r="A18" s="225">
        <v>9.1999999999999993</v>
      </c>
      <c r="B18" s="548" t="s">
        <v>946</v>
      </c>
    </row>
    <row r="19" spans="1:2">
      <c r="A19" s="225">
        <v>9.3000000000000007</v>
      </c>
      <c r="B19" s="548" t="s">
        <v>947</v>
      </c>
    </row>
    <row r="20" spans="1:2">
      <c r="A20" s="225">
        <v>10</v>
      </c>
      <c r="B20" s="221" t="s">
        <v>161</v>
      </c>
    </row>
    <row r="21" spans="1:2">
      <c r="A21" s="225">
        <v>11</v>
      </c>
      <c r="B21" s="226" t="s">
        <v>144</v>
      </c>
    </row>
    <row r="22" spans="1:2">
      <c r="A22" s="225">
        <v>12</v>
      </c>
      <c r="B22" s="226" t="s">
        <v>141</v>
      </c>
    </row>
    <row r="23" spans="1:2">
      <c r="A23" s="225">
        <v>13</v>
      </c>
      <c r="B23" s="228" t="s">
        <v>285</v>
      </c>
    </row>
    <row r="24" spans="1:2">
      <c r="A24" s="225">
        <v>14</v>
      </c>
      <c r="B24" s="221" t="s">
        <v>339</v>
      </c>
    </row>
    <row r="25" spans="1:2">
      <c r="A25" s="225">
        <v>15</v>
      </c>
      <c r="B25" s="221" t="s">
        <v>73</v>
      </c>
    </row>
    <row r="26" spans="1:2">
      <c r="A26" s="225">
        <v>15.1</v>
      </c>
      <c r="B26" s="221" t="s">
        <v>375</v>
      </c>
    </row>
    <row r="27" spans="1:2">
      <c r="A27" s="547">
        <v>15.2</v>
      </c>
      <c r="B27" s="548" t="s">
        <v>970</v>
      </c>
    </row>
    <row r="28" spans="1:2">
      <c r="A28" s="225">
        <v>16</v>
      </c>
      <c r="B28" s="221" t="s">
        <v>422</v>
      </c>
    </row>
    <row r="29" spans="1:2">
      <c r="A29" s="225">
        <v>17</v>
      </c>
      <c r="B29" s="221" t="s">
        <v>646</v>
      </c>
    </row>
    <row r="30" spans="1:2">
      <c r="A30" s="225">
        <v>18</v>
      </c>
      <c r="B30" s="221" t="s">
        <v>906</v>
      </c>
    </row>
    <row r="31" spans="1:2">
      <c r="A31" s="225">
        <v>19</v>
      </c>
      <c r="B31" s="221" t="s">
        <v>907</v>
      </c>
    </row>
    <row r="32" spans="1:2">
      <c r="A32" s="225">
        <v>20</v>
      </c>
      <c r="B32" s="221" t="s">
        <v>908</v>
      </c>
    </row>
    <row r="33" spans="1:2">
      <c r="A33" s="225">
        <v>21</v>
      </c>
      <c r="B33" s="221" t="s">
        <v>515</v>
      </c>
    </row>
    <row r="34" spans="1:2">
      <c r="A34" s="225">
        <v>22</v>
      </c>
      <c r="B34" s="221" t="s">
        <v>909</v>
      </c>
    </row>
    <row r="35" spans="1:2" ht="26.4">
      <c r="A35" s="225">
        <v>23</v>
      </c>
      <c r="B35" s="504" t="s">
        <v>905</v>
      </c>
    </row>
    <row r="36" spans="1:2">
      <c r="A36" s="225">
        <v>24</v>
      </c>
      <c r="B36" s="221" t="s">
        <v>910</v>
      </c>
    </row>
    <row r="37" spans="1:2">
      <c r="A37" s="225">
        <v>25</v>
      </c>
      <c r="B37" s="221" t="s">
        <v>911</v>
      </c>
    </row>
    <row r="38" spans="1:2">
      <c r="A38" s="225">
        <v>26</v>
      </c>
      <c r="B38" s="221"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headerFooter>
    <oddFooter>&amp;C_x000D_&amp;1#&amp;"Calibri"&amp;10&amp;K000000 C1 - FOR 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6"/>
  <sheetViews>
    <sheetView zoomScale="80" zoomScaleNormal="80" workbookViewId="0">
      <pane xSplit="1" ySplit="5" topLeftCell="B40" activePane="bottomRight" state="frozen"/>
      <selection pane="topRight" activeCell="B1" sqref="B1"/>
      <selection pane="bottomLeft" activeCell="A5" sqref="A5"/>
      <selection pane="bottomRight" activeCell="E57" sqref="E57"/>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 პაშა ბანკი საქართველო"</v>
      </c>
      <c r="D1" s="1"/>
      <c r="E1" s="1"/>
      <c r="F1" s="1"/>
    </row>
    <row r="2" spans="1:6" s="13" customFormat="1" ht="15.75" customHeight="1">
      <c r="A2" s="13" t="s">
        <v>98</v>
      </c>
      <c r="B2" s="278">
        <f>'1. key ratios'!B2</f>
        <v>45747</v>
      </c>
    </row>
    <row r="3" spans="1:6" s="13" customFormat="1" ht="15.75" customHeight="1"/>
    <row r="4" spans="1:6" ht="15" thickBot="1">
      <c r="A4" s="1" t="s">
        <v>246</v>
      </c>
      <c r="B4" s="22" t="s">
        <v>74</v>
      </c>
    </row>
    <row r="5" spans="1:6">
      <c r="A5" s="65" t="s">
        <v>25</v>
      </c>
      <c r="B5" s="66"/>
      <c r="C5" s="67" t="s">
        <v>26</v>
      </c>
    </row>
    <row r="6" spans="1:6">
      <c r="A6" s="68">
        <v>1</v>
      </c>
      <c r="B6" s="42" t="s">
        <v>27</v>
      </c>
      <c r="C6" s="142">
        <f>SUM(C7:C11)</f>
        <v>121955099.59</v>
      </c>
    </row>
    <row r="7" spans="1:6">
      <c r="A7" s="68">
        <v>2</v>
      </c>
      <c r="B7" s="39" t="s">
        <v>28</v>
      </c>
      <c r="C7" s="143">
        <v>136800000</v>
      </c>
    </row>
    <row r="8" spans="1:6">
      <c r="A8" s="68">
        <v>3</v>
      </c>
      <c r="B8" s="34" t="s">
        <v>29</v>
      </c>
      <c r="C8" s="143"/>
    </row>
    <row r="9" spans="1:6">
      <c r="A9" s="68">
        <v>4</v>
      </c>
      <c r="B9" s="34" t="s">
        <v>30</v>
      </c>
      <c r="C9" s="143"/>
    </row>
    <row r="10" spans="1:6">
      <c r="A10" s="68">
        <v>5</v>
      </c>
      <c r="B10" s="34" t="s">
        <v>31</v>
      </c>
      <c r="C10" s="143"/>
    </row>
    <row r="11" spans="1:6">
      <c r="A11" s="68">
        <v>6</v>
      </c>
      <c r="B11" s="40" t="s">
        <v>32</v>
      </c>
      <c r="C11" s="143">
        <v>-14844900.41</v>
      </c>
    </row>
    <row r="12" spans="1:6" s="2" customFormat="1">
      <c r="A12" s="68">
        <v>7</v>
      </c>
      <c r="B12" s="42" t="s">
        <v>33</v>
      </c>
      <c r="C12" s="144">
        <f>SUM(C13:C28)</f>
        <v>7379020.6299999999</v>
      </c>
    </row>
    <row r="13" spans="1:6" s="2" customFormat="1">
      <c r="A13" s="68">
        <v>8</v>
      </c>
      <c r="B13" s="41" t="s">
        <v>34</v>
      </c>
      <c r="C13" s="145"/>
    </row>
    <row r="14" spans="1:6" s="2" customFormat="1" ht="27.6">
      <c r="A14" s="68">
        <v>9</v>
      </c>
      <c r="B14" s="35" t="s">
        <v>35</v>
      </c>
      <c r="C14" s="145"/>
    </row>
    <row r="15" spans="1:6" s="2" customFormat="1">
      <c r="A15" s="68">
        <v>10</v>
      </c>
      <c r="B15" s="36" t="s">
        <v>36</v>
      </c>
      <c r="C15" s="145">
        <v>3583917.36</v>
      </c>
    </row>
    <row r="16" spans="1:6" s="2" customFormat="1">
      <c r="A16" s="68">
        <v>11</v>
      </c>
      <c r="B16" s="37" t="s">
        <v>37</v>
      </c>
      <c r="C16" s="145"/>
    </row>
    <row r="17" spans="1:3" s="2" customFormat="1">
      <c r="A17" s="68">
        <v>12</v>
      </c>
      <c r="B17" s="36" t="s">
        <v>38</v>
      </c>
      <c r="C17" s="145"/>
    </row>
    <row r="18" spans="1:3" s="2" customFormat="1">
      <c r="A18" s="68">
        <v>13</v>
      </c>
      <c r="B18" s="36" t="s">
        <v>39</v>
      </c>
      <c r="C18" s="145"/>
    </row>
    <row r="19" spans="1:3" s="2" customFormat="1">
      <c r="A19" s="68">
        <v>14</v>
      </c>
      <c r="B19" s="36" t="s">
        <v>40</v>
      </c>
      <c r="C19" s="145"/>
    </row>
    <row r="20" spans="1:3" s="2" customFormat="1" ht="27.6">
      <c r="A20" s="68">
        <v>15</v>
      </c>
      <c r="B20" s="36" t="s">
        <v>41</v>
      </c>
      <c r="C20" s="145">
        <v>3795103.27</v>
      </c>
    </row>
    <row r="21" spans="1:3" s="2" customFormat="1" ht="27.6">
      <c r="A21" s="68">
        <v>16</v>
      </c>
      <c r="B21" s="35" t="s">
        <v>42</v>
      </c>
      <c r="C21" s="145"/>
    </row>
    <row r="22" spans="1:3" s="2" customFormat="1">
      <c r="A22" s="68">
        <v>17</v>
      </c>
      <c r="B22" s="69" t="s">
        <v>43</v>
      </c>
      <c r="C22" s="145"/>
    </row>
    <row r="23" spans="1:3" s="2" customFormat="1">
      <c r="A23" s="68">
        <v>18</v>
      </c>
      <c r="B23" s="539" t="s">
        <v>694</v>
      </c>
      <c r="C23" s="344"/>
    </row>
    <row r="24" spans="1:3" s="2" customFormat="1" ht="27.6">
      <c r="A24" s="68">
        <v>19</v>
      </c>
      <c r="B24" s="35" t="s">
        <v>44</v>
      </c>
      <c r="C24" s="145"/>
    </row>
    <row r="25" spans="1:3" s="2" customFormat="1" ht="27.6">
      <c r="A25" s="68">
        <v>20</v>
      </c>
      <c r="B25" s="35" t="s">
        <v>45</v>
      </c>
      <c r="C25" s="145"/>
    </row>
    <row r="26" spans="1:3" s="2" customFormat="1" ht="27.6">
      <c r="A26" s="68">
        <v>21</v>
      </c>
      <c r="B26" s="37" t="s">
        <v>46</v>
      </c>
      <c r="C26" s="145"/>
    </row>
    <row r="27" spans="1:3" s="2" customFormat="1">
      <c r="A27" s="68">
        <v>22</v>
      </c>
      <c r="B27" s="37" t="s">
        <v>47</v>
      </c>
      <c r="C27" s="145"/>
    </row>
    <row r="28" spans="1:3" s="2" customFormat="1" ht="27.6">
      <c r="A28" s="68">
        <v>23</v>
      </c>
      <c r="B28" s="37" t="s">
        <v>48</v>
      </c>
      <c r="C28" s="145"/>
    </row>
    <row r="29" spans="1:3" s="2" customFormat="1">
      <c r="A29" s="68">
        <v>24</v>
      </c>
      <c r="B29" s="43" t="s">
        <v>22</v>
      </c>
      <c r="C29" s="144">
        <f>C6-C12</f>
        <v>114576078.96000001</v>
      </c>
    </row>
    <row r="30" spans="1:3" s="2" customFormat="1">
      <c r="A30" s="70"/>
      <c r="B30" s="38"/>
      <c r="C30" s="145"/>
    </row>
    <row r="31" spans="1:3" s="2" customFormat="1">
      <c r="A31" s="70">
        <v>25</v>
      </c>
      <c r="B31" s="43" t="s">
        <v>49</v>
      </c>
      <c r="C31" s="144">
        <f>C32+C35</f>
        <v>0</v>
      </c>
    </row>
    <row r="32" spans="1:3" s="2" customFormat="1">
      <c r="A32" s="70">
        <v>26</v>
      </c>
      <c r="B32" s="34" t="s">
        <v>50</v>
      </c>
      <c r="C32" s="146">
        <f>C33+C34</f>
        <v>0</v>
      </c>
    </row>
    <row r="33" spans="1:3" s="2" customFormat="1">
      <c r="A33" s="70">
        <v>27</v>
      </c>
      <c r="B33" s="86" t="s">
        <v>51</v>
      </c>
      <c r="C33" s="145"/>
    </row>
    <row r="34" spans="1:3" s="2" customFormat="1">
      <c r="A34" s="70">
        <v>28</v>
      </c>
      <c r="B34" s="86" t="s">
        <v>52</v>
      </c>
      <c r="C34" s="145"/>
    </row>
    <row r="35" spans="1:3" s="2" customFormat="1">
      <c r="A35" s="70">
        <v>29</v>
      </c>
      <c r="B35" s="34" t="s">
        <v>53</v>
      </c>
      <c r="C35" s="145"/>
    </row>
    <row r="36" spans="1:3" s="2" customFormat="1">
      <c r="A36" s="70">
        <v>30</v>
      </c>
      <c r="B36" s="43" t="s">
        <v>54</v>
      </c>
      <c r="C36" s="144">
        <f>SUM(C37:C41)</f>
        <v>0</v>
      </c>
    </row>
    <row r="37" spans="1:3" s="2" customFormat="1">
      <c r="A37" s="70">
        <v>31</v>
      </c>
      <c r="B37" s="35" t="s">
        <v>55</v>
      </c>
      <c r="C37" s="145"/>
    </row>
    <row r="38" spans="1:3" s="2" customFormat="1">
      <c r="A38" s="70">
        <v>32</v>
      </c>
      <c r="B38" s="36" t="s">
        <v>56</v>
      </c>
      <c r="C38" s="145"/>
    </row>
    <row r="39" spans="1:3" s="2" customFormat="1" ht="27.6">
      <c r="A39" s="70">
        <v>33</v>
      </c>
      <c r="B39" s="35" t="s">
        <v>57</v>
      </c>
      <c r="C39" s="145"/>
    </row>
    <row r="40" spans="1:3" s="2" customFormat="1" ht="27.6">
      <c r="A40" s="70">
        <v>34</v>
      </c>
      <c r="B40" s="35" t="s">
        <v>45</v>
      </c>
      <c r="C40" s="145"/>
    </row>
    <row r="41" spans="1:3" s="2" customFormat="1" ht="27.6">
      <c r="A41" s="70">
        <v>35</v>
      </c>
      <c r="B41" s="37" t="s">
        <v>58</v>
      </c>
      <c r="C41" s="145"/>
    </row>
    <row r="42" spans="1:3" s="2" customFormat="1">
      <c r="A42" s="70">
        <v>36</v>
      </c>
      <c r="B42" s="43" t="s">
        <v>23</v>
      </c>
      <c r="C42" s="144">
        <f>C31-C36</f>
        <v>0</v>
      </c>
    </row>
    <row r="43" spans="1:3" s="2" customFormat="1">
      <c r="A43" s="70"/>
      <c r="B43" s="38"/>
      <c r="C43" s="145"/>
    </row>
    <row r="44" spans="1:3" s="2" customFormat="1">
      <c r="A44" s="70">
        <v>37</v>
      </c>
      <c r="B44" s="44" t="s">
        <v>59</v>
      </c>
      <c r="C44" s="144">
        <f>SUM(C45:C47)</f>
        <v>31823950</v>
      </c>
    </row>
    <row r="45" spans="1:3" s="2" customFormat="1">
      <c r="A45" s="70">
        <v>38</v>
      </c>
      <c r="B45" s="34" t="s">
        <v>60</v>
      </c>
      <c r="C45" s="145">
        <v>31823950</v>
      </c>
    </row>
    <row r="46" spans="1:3" s="2" customFormat="1">
      <c r="A46" s="70">
        <v>39</v>
      </c>
      <c r="B46" s="34" t="s">
        <v>61</v>
      </c>
      <c r="C46" s="145"/>
    </row>
    <row r="47" spans="1:3" s="2" customFormat="1">
      <c r="A47" s="70">
        <v>40</v>
      </c>
      <c r="B47" s="540" t="s">
        <v>693</v>
      </c>
      <c r="C47" s="145"/>
    </row>
    <row r="48" spans="1:3" s="2" customFormat="1">
      <c r="A48" s="70">
        <v>41</v>
      </c>
      <c r="B48" s="44" t="s">
        <v>62</v>
      </c>
      <c r="C48" s="144">
        <f>SUM(C49:C52)</f>
        <v>0</v>
      </c>
    </row>
    <row r="49" spans="1:3" s="2" customFormat="1">
      <c r="A49" s="70">
        <v>42</v>
      </c>
      <c r="B49" s="35" t="s">
        <v>63</v>
      </c>
      <c r="C49" s="145"/>
    </row>
    <row r="50" spans="1:3" s="2" customFormat="1">
      <c r="A50" s="70">
        <v>43</v>
      </c>
      <c r="B50" s="36" t="s">
        <v>64</v>
      </c>
      <c r="C50" s="145"/>
    </row>
    <row r="51" spans="1:3" s="2" customFormat="1" ht="27.6">
      <c r="A51" s="70">
        <v>44</v>
      </c>
      <c r="B51" s="35" t="s">
        <v>65</v>
      </c>
      <c r="C51" s="145"/>
    </row>
    <row r="52" spans="1:3" s="2" customFormat="1" ht="27.6">
      <c r="A52" s="70">
        <v>45</v>
      </c>
      <c r="B52" s="35" t="s">
        <v>45</v>
      </c>
      <c r="C52" s="145"/>
    </row>
    <row r="53" spans="1:3" s="2" customFormat="1" ht="15" thickBot="1">
      <c r="A53" s="70">
        <v>46</v>
      </c>
      <c r="B53" s="71" t="s">
        <v>24</v>
      </c>
      <c r="C53" s="147">
        <f>C44-C48</f>
        <v>31823950</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Footer>&amp;C_x000D_&amp;1#&amp;"Calibri"&amp;10&amp;K000000 C1 - FOR INTERNAL USE ONLY</oddFooter>
  </headerFooter>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zoomScale="80" zoomScaleNormal="80" workbookViewId="0">
      <selection activeCell="H8" sqref="H8"/>
    </sheetView>
  </sheetViews>
  <sheetFormatPr defaultColWidth="9.21875" defaultRowHeight="13.8"/>
  <cols>
    <col min="1" max="1" width="10.77734375" style="1" bestFit="1" customWidth="1"/>
    <col min="2" max="2" width="59" style="1" customWidth="1"/>
    <col min="3" max="3" width="16.77734375" style="1" bestFit="1" customWidth="1"/>
    <col min="4" max="4" width="22.21875" style="1" customWidth="1"/>
    <col min="5" max="16384" width="9.21875" style="1"/>
  </cols>
  <sheetData>
    <row r="1" spans="1:4">
      <c r="A1" s="13" t="s">
        <v>97</v>
      </c>
      <c r="B1" s="12" t="str">
        <f>Info!C2</f>
        <v>სს " პაშა ბანკი საქართველო"</v>
      </c>
    </row>
    <row r="2" spans="1:4" s="13" customFormat="1" ht="15.75" customHeight="1">
      <c r="A2" s="13" t="s">
        <v>98</v>
      </c>
      <c r="B2" s="278">
        <f>'1. key ratios'!B2</f>
        <v>45747</v>
      </c>
    </row>
    <row r="3" spans="1:4" s="13" customFormat="1" ht="15.75" customHeight="1"/>
    <row r="4" spans="1:4" ht="14.4" thickBot="1">
      <c r="A4" s="1" t="s">
        <v>345</v>
      </c>
      <c r="B4" s="210" t="s">
        <v>346</v>
      </c>
    </row>
    <row r="5" spans="1:4" s="30" customFormat="1">
      <c r="A5" s="798" t="s">
        <v>347</v>
      </c>
      <c r="B5" s="799"/>
      <c r="C5" s="200" t="s">
        <v>348</v>
      </c>
      <c r="D5" s="201" t="s">
        <v>349</v>
      </c>
    </row>
    <row r="6" spans="1:4" s="211" customFormat="1">
      <c r="A6" s="202">
        <v>1</v>
      </c>
      <c r="B6" s="203" t="s">
        <v>350</v>
      </c>
      <c r="C6" s="203"/>
      <c r="D6" s="204"/>
    </row>
    <row r="7" spans="1:4" s="211" customFormat="1">
      <c r="A7" s="205" t="s">
        <v>351</v>
      </c>
      <c r="B7" s="206" t="s">
        <v>352</v>
      </c>
      <c r="C7" s="234">
        <v>4.4999999999999998E-2</v>
      </c>
      <c r="D7" s="229">
        <f>C7*'5. RWA'!$C$13</f>
        <v>28141184.381166928</v>
      </c>
    </row>
    <row r="8" spans="1:4" s="211" customFormat="1">
      <c r="A8" s="205" t="s">
        <v>353</v>
      </c>
      <c r="B8" s="206" t="s">
        <v>354</v>
      </c>
      <c r="C8" s="235">
        <v>0.06</v>
      </c>
      <c r="D8" s="229">
        <f>C8*'5. RWA'!$C$13</f>
        <v>37521579.174889237</v>
      </c>
    </row>
    <row r="9" spans="1:4" s="211" customFormat="1">
      <c r="A9" s="205" t="s">
        <v>355</v>
      </c>
      <c r="B9" s="206" t="s">
        <v>356</v>
      </c>
      <c r="C9" s="235">
        <v>0.08</v>
      </c>
      <c r="D9" s="229">
        <f>C9*'5. RWA'!$C$13</f>
        <v>50028772.233185656</v>
      </c>
    </row>
    <row r="10" spans="1:4" s="211" customFormat="1">
      <c r="A10" s="202" t="s">
        <v>357</v>
      </c>
      <c r="B10" s="203" t="s">
        <v>358</v>
      </c>
      <c r="C10" s="236"/>
      <c r="D10" s="230"/>
    </row>
    <row r="11" spans="1:4" s="212" customFormat="1">
      <c r="A11" s="207" t="s">
        <v>359</v>
      </c>
      <c r="B11" s="208" t="s">
        <v>997</v>
      </c>
      <c r="C11" s="237">
        <v>2.5000000000000001E-2</v>
      </c>
      <c r="D11" s="231">
        <f>C11*'5. RWA'!$C$13</f>
        <v>15633991.322870517</v>
      </c>
    </row>
    <row r="12" spans="1:4" s="212" customFormat="1">
      <c r="A12" s="207" t="s">
        <v>360</v>
      </c>
      <c r="B12" s="208" t="s">
        <v>361</v>
      </c>
      <c r="C12" s="237">
        <v>5.0000000000000001E-3</v>
      </c>
      <c r="D12" s="231">
        <f>C12*'5. RWA'!$C$13</f>
        <v>3126798.2645741035</v>
      </c>
    </row>
    <row r="13" spans="1:4" s="212" customFormat="1">
      <c r="A13" s="207" t="s">
        <v>362</v>
      </c>
      <c r="B13" s="208" t="s">
        <v>363</v>
      </c>
      <c r="C13" s="237"/>
      <c r="D13" s="231">
        <f>C13*'5. RWA'!$C$13</f>
        <v>0</v>
      </c>
    </row>
    <row r="14" spans="1:4" s="211" customFormat="1">
      <c r="A14" s="202" t="s">
        <v>364</v>
      </c>
      <c r="B14" s="203" t="s">
        <v>409</v>
      </c>
      <c r="C14" s="238"/>
      <c r="D14" s="230"/>
    </row>
    <row r="15" spans="1:4" s="211" customFormat="1">
      <c r="A15" s="222" t="s">
        <v>367</v>
      </c>
      <c r="B15" s="208" t="s">
        <v>410</v>
      </c>
      <c r="C15" s="237">
        <v>7.3719985006285141E-2</v>
      </c>
      <c r="D15" s="231">
        <f>C15*'5. RWA'!$C$13</f>
        <v>46101504.236416258</v>
      </c>
    </row>
    <row r="16" spans="1:4" s="211" customFormat="1">
      <c r="A16" s="222" t="s">
        <v>368</v>
      </c>
      <c r="B16" s="208" t="s">
        <v>370</v>
      </c>
      <c r="C16" s="237">
        <v>9.0051793119139439E-2</v>
      </c>
      <c r="D16" s="231">
        <f>C16*'5. RWA'!$C$13</f>
        <v>56314758.089342274</v>
      </c>
    </row>
    <row r="17" spans="1:4" s="211" customFormat="1">
      <c r="A17" s="222" t="s">
        <v>369</v>
      </c>
      <c r="B17" s="208" t="s">
        <v>407</v>
      </c>
      <c r="C17" s="237">
        <v>0.1115410143202635</v>
      </c>
      <c r="D17" s="231">
        <f>C17*'5. RWA'!$C$13</f>
        <v>69753250.001087025</v>
      </c>
    </row>
    <row r="18" spans="1:4" s="30" customFormat="1">
      <c r="A18" s="800" t="s">
        <v>408</v>
      </c>
      <c r="B18" s="801"/>
      <c r="C18" s="239" t="s">
        <v>348</v>
      </c>
      <c r="D18" s="232" t="s">
        <v>349</v>
      </c>
    </row>
    <row r="19" spans="1:4" s="211" customFormat="1">
      <c r="A19" s="209">
        <v>4</v>
      </c>
      <c r="B19" s="208" t="s">
        <v>22</v>
      </c>
      <c r="C19" s="237">
        <f>C7+C11+C12+C13+C15</f>
        <v>0.14871998500628514</v>
      </c>
      <c r="D19" s="229">
        <f>C19*'5. RWA'!$C$13</f>
        <v>93003478.205027804</v>
      </c>
    </row>
    <row r="20" spans="1:4" s="211" customFormat="1">
      <c r="A20" s="209">
        <v>5</v>
      </c>
      <c r="B20" s="208" t="s">
        <v>75</v>
      </c>
      <c r="C20" s="237">
        <f>C8+C11+C12+C13+C16</f>
        <v>0.18005179311913944</v>
      </c>
      <c r="D20" s="229">
        <f>C20*'5. RWA'!$C$13</f>
        <v>112597126.85167614</v>
      </c>
    </row>
    <row r="21" spans="1:4" s="211" customFormat="1" ht="14.4" thickBot="1">
      <c r="A21" s="213" t="s">
        <v>365</v>
      </c>
      <c r="B21" s="214" t="s">
        <v>74</v>
      </c>
      <c r="C21" s="240">
        <f>C9+C11+C12+C13+C17</f>
        <v>0.22154101432026352</v>
      </c>
      <c r="D21" s="233">
        <f>C21*'5. RWA'!$C$13</f>
        <v>138542811.82171732</v>
      </c>
    </row>
    <row r="23" spans="1:4">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headerFooter>
    <oddFooter>&amp;C_x000D_&amp;1#&amp;"Calibri"&amp;10&amp;K000000 C1 - FOR 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7"/>
  <sheetViews>
    <sheetView showGridLines="0" zoomScaleNormal="100" workbookViewId="0">
      <selection activeCell="B19" sqref="B19"/>
    </sheetView>
  </sheetViews>
  <sheetFormatPr defaultRowHeight="14.4"/>
  <cols>
    <col min="1" max="1" width="107.109375" bestFit="1" customWidth="1"/>
    <col min="2" max="2" width="50.88671875" bestFit="1" customWidth="1"/>
    <col min="3" max="3" width="28.109375" bestFit="1" customWidth="1"/>
    <col min="4" max="4" width="28.21875" customWidth="1"/>
    <col min="5" max="7" width="28.109375" customWidth="1"/>
  </cols>
  <sheetData>
    <row r="1" spans="1:2">
      <c r="A1" s="510" t="s">
        <v>97</v>
      </c>
      <c r="B1" s="12" t="str">
        <f>Info!C2</f>
        <v>სს " პაშა ბანკი საქართველო"</v>
      </c>
    </row>
    <row r="2" spans="1:2">
      <c r="A2" s="510" t="s">
        <v>98</v>
      </c>
      <c r="B2" s="278">
        <f>'1. key ratios'!B2</f>
        <v>45747</v>
      </c>
    </row>
    <row r="3" spans="1:2">
      <c r="A3" s="511" t="s">
        <v>948</v>
      </c>
      <c r="B3" s="506" t="s">
        <v>919</v>
      </c>
    </row>
    <row r="4" spans="1:2" ht="15" thickBot="1"/>
    <row r="5" spans="1:2">
      <c r="A5" s="516"/>
      <c r="B5" s="517" t="s">
        <v>920</v>
      </c>
    </row>
    <row r="6" spans="1:2">
      <c r="A6" s="512" t="s">
        <v>921</v>
      </c>
      <c r="B6" s="518">
        <f>SUM(B7,B11)</f>
        <v>146400028.96000001</v>
      </c>
    </row>
    <row r="7" spans="1:2" ht="15.6">
      <c r="A7" s="512" t="s">
        <v>954</v>
      </c>
      <c r="B7" s="518">
        <f>SUM(B8:B10)</f>
        <v>146400028.96000001</v>
      </c>
    </row>
    <row r="8" spans="1:2">
      <c r="A8" s="513" t="s">
        <v>922</v>
      </c>
      <c r="B8" s="519">
        <f>'9. Capital'!C29</f>
        <v>114576078.96000001</v>
      </c>
    </row>
    <row r="9" spans="1:2">
      <c r="A9" s="513" t="s">
        <v>923</v>
      </c>
      <c r="B9" s="519">
        <f>'9. Capital'!C42</f>
        <v>0</v>
      </c>
    </row>
    <row r="10" spans="1:2">
      <c r="A10" s="513" t="s">
        <v>924</v>
      </c>
      <c r="B10" s="519">
        <f>'9. Capital'!C53</f>
        <v>31823950</v>
      </c>
    </row>
    <row r="11" spans="1:2">
      <c r="A11" s="512" t="s">
        <v>925</v>
      </c>
      <c r="B11" s="518">
        <f>SUM(B12:B13)</f>
        <v>0</v>
      </c>
    </row>
    <row r="12" spans="1:2" ht="15.6">
      <c r="A12" s="513" t="s">
        <v>955</v>
      </c>
      <c r="B12" s="519"/>
    </row>
    <row r="13" spans="1:2" ht="15.6">
      <c r="A13" s="513" t="s">
        <v>956</v>
      </c>
      <c r="B13" s="519"/>
    </row>
    <row r="14" spans="1:2">
      <c r="A14" s="512" t="s">
        <v>926</v>
      </c>
      <c r="B14" s="518">
        <f>SUM(B15:B16)</f>
        <v>146400028.96000001</v>
      </c>
    </row>
    <row r="15" spans="1:2">
      <c r="A15" s="514" t="s">
        <v>927</v>
      </c>
      <c r="B15" s="519"/>
    </row>
    <row r="16" spans="1:2">
      <c r="A16" s="514" t="s">
        <v>74</v>
      </c>
      <c r="B16" s="519">
        <f>B7</f>
        <v>146400028.96000001</v>
      </c>
    </row>
    <row r="17" spans="1:5">
      <c r="A17" s="512" t="s">
        <v>928</v>
      </c>
      <c r="B17" s="518"/>
    </row>
    <row r="18" spans="1:5">
      <c r="A18" s="514" t="s">
        <v>929</v>
      </c>
      <c r="B18" s="519">
        <f>'5. RWA'!C13</f>
        <v>625359652.91482067</v>
      </c>
    </row>
    <row r="19" spans="1:5">
      <c r="A19" s="514" t="s">
        <v>930</v>
      </c>
      <c r="B19" s="519">
        <f>'15.1. LR'!C32</f>
        <v>730495735.92119443</v>
      </c>
    </row>
    <row r="20" spans="1:5">
      <c r="A20" s="512" t="s">
        <v>931</v>
      </c>
      <c r="B20" s="518"/>
    </row>
    <row r="21" spans="1:5">
      <c r="A21" s="515" t="s">
        <v>932</v>
      </c>
      <c r="B21" s="520">
        <f>IFERROR(B6/B18,0)</f>
        <v>0.23410533167214251</v>
      </c>
    </row>
    <row r="22" spans="1:5">
      <c r="A22" s="515" t="s">
        <v>933</v>
      </c>
      <c r="B22" s="520">
        <f>IFERROR(B6/B19,0)</f>
        <v>0.20041188710757044</v>
      </c>
    </row>
    <row r="23" spans="1:5" ht="15" thickBot="1">
      <c r="A23" s="521" t="s">
        <v>934</v>
      </c>
      <c r="B23" s="522">
        <f>IFERROR(B6/B14,0)</f>
        <v>1</v>
      </c>
    </row>
    <row r="24" spans="1:5" ht="16.5" customHeight="1">
      <c r="A24" s="509" t="s">
        <v>957</v>
      </c>
      <c r="B24" s="507"/>
      <c r="C24" s="507"/>
      <c r="D24" s="507"/>
      <c r="E24" s="507"/>
    </row>
    <row r="25" spans="1:5" ht="25.5" customHeight="1">
      <c r="A25" s="509" t="s">
        <v>958</v>
      </c>
    </row>
    <row r="26" spans="1:5" ht="57" customHeight="1">
      <c r="A26" s="509" t="s">
        <v>959</v>
      </c>
    </row>
    <row r="27" spans="1:5">
      <c r="A27" s="508"/>
    </row>
  </sheetData>
  <pageMargins left="0.7" right="0.7" top="0.75" bottom="0.75" header="0.3" footer="0.3"/>
  <pageSetup orientation="portrait" horizontalDpi="4294967292" verticalDpi="0" r:id="rId1"/>
  <headerFooter>
    <oddFooter>&amp;C_x000D_&amp;1#&amp;"Calibri"&amp;10&amp;K000000 C1 - FOR 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0"/>
  <sheetViews>
    <sheetView showGridLines="0" zoomScaleNormal="100" workbookViewId="0">
      <selection activeCell="A28" sqref="A28"/>
    </sheetView>
  </sheetViews>
  <sheetFormatPr defaultRowHeight="14.4"/>
  <cols>
    <col min="1" max="1" width="82" customWidth="1"/>
    <col min="2" max="2" width="28.109375" bestFit="1" customWidth="1"/>
    <col min="3" max="3" width="28.21875" customWidth="1"/>
    <col min="4" max="6" width="28.109375" customWidth="1"/>
  </cols>
  <sheetData>
    <row r="1" spans="1:6">
      <c r="A1" s="510" t="s">
        <v>97</v>
      </c>
      <c r="B1" s="12" t="str">
        <f>Info!C2</f>
        <v>სს " პაშა ბანკი საქართველო"</v>
      </c>
      <c r="C1" s="1"/>
    </row>
    <row r="2" spans="1:6">
      <c r="A2" s="510" t="s">
        <v>98</v>
      </c>
      <c r="B2" s="278">
        <f>'1. key ratios'!B2</f>
        <v>45747</v>
      </c>
      <c r="C2" s="1"/>
    </row>
    <row r="3" spans="1:6">
      <c r="A3" s="511" t="s">
        <v>949</v>
      </c>
      <c r="B3" s="506" t="s">
        <v>919</v>
      </c>
      <c r="C3" s="1"/>
    </row>
    <row r="5" spans="1:6">
      <c r="A5" s="508"/>
    </row>
    <row r="6" spans="1:6" ht="15" thickBot="1">
      <c r="A6" s="523"/>
      <c r="B6" s="523"/>
      <c r="C6" s="523"/>
      <c r="D6" s="523"/>
      <c r="E6" s="523"/>
      <c r="F6" s="523"/>
    </row>
    <row r="7" spans="1:6">
      <c r="A7" s="802"/>
      <c r="B7" s="804" t="s">
        <v>935</v>
      </c>
      <c r="C7" s="804"/>
      <c r="D7" s="804"/>
      <c r="E7" s="804"/>
      <c r="F7" s="805" t="s">
        <v>936</v>
      </c>
    </row>
    <row r="8" spans="1:6" ht="27.6">
      <c r="A8" s="803"/>
      <c r="B8" s="524" t="s">
        <v>937</v>
      </c>
      <c r="C8" s="524" t="s">
        <v>938</v>
      </c>
      <c r="D8" s="524" t="s">
        <v>939</v>
      </c>
      <c r="E8" s="524" t="s">
        <v>940</v>
      </c>
      <c r="F8" s="806"/>
    </row>
    <row r="9" spans="1:6">
      <c r="A9" s="525" t="s">
        <v>941</v>
      </c>
      <c r="B9" s="526">
        <f>B13+B17</f>
        <v>0</v>
      </c>
      <c r="C9" s="526">
        <f t="shared" ref="C9:E9" si="0">C13+C17</f>
        <v>0</v>
      </c>
      <c r="D9" s="526">
        <f t="shared" si="0"/>
        <v>0</v>
      </c>
      <c r="E9" s="526">
        <f t="shared" si="0"/>
        <v>0</v>
      </c>
      <c r="F9" s="527">
        <f>F13+F17</f>
        <v>0</v>
      </c>
    </row>
    <row r="10" spans="1:6">
      <c r="A10" s="528" t="s">
        <v>942</v>
      </c>
      <c r="B10" s="529">
        <f t="shared" ref="B10:E12" si="1">B14+B18</f>
        <v>0</v>
      </c>
      <c r="C10" s="529">
        <f t="shared" si="1"/>
        <v>0</v>
      </c>
      <c r="D10" s="529">
        <f t="shared" si="1"/>
        <v>0</v>
      </c>
      <c r="E10" s="529">
        <f t="shared" si="1"/>
        <v>0</v>
      </c>
      <c r="F10" s="527">
        <f>SUM(B10:E10)</f>
        <v>0</v>
      </c>
    </row>
    <row r="11" spans="1:6">
      <c r="A11" s="528" t="s">
        <v>943</v>
      </c>
      <c r="B11" s="529">
        <f t="shared" si="1"/>
        <v>0</v>
      </c>
      <c r="C11" s="529">
        <f t="shared" si="1"/>
        <v>0</v>
      </c>
      <c r="D11" s="529">
        <f t="shared" si="1"/>
        <v>0</v>
      </c>
      <c r="E11" s="529">
        <f t="shared" si="1"/>
        <v>0</v>
      </c>
      <c r="F11" s="527">
        <f t="shared" ref="F11:F12" si="2">SUM(B11:E11)</f>
        <v>0</v>
      </c>
    </row>
    <row r="12" spans="1:6">
      <c r="A12" s="530" t="s">
        <v>944</v>
      </c>
      <c r="B12" s="529">
        <f t="shared" si="1"/>
        <v>0</v>
      </c>
      <c r="C12" s="529">
        <f t="shared" si="1"/>
        <v>0</v>
      </c>
      <c r="D12" s="529">
        <f t="shared" si="1"/>
        <v>0</v>
      </c>
      <c r="E12" s="529">
        <f t="shared" si="1"/>
        <v>0</v>
      </c>
      <c r="F12" s="527">
        <f t="shared" si="2"/>
        <v>0</v>
      </c>
    </row>
    <row r="13" spans="1:6">
      <c r="A13" s="531" t="s">
        <v>945</v>
      </c>
      <c r="B13" s="532"/>
      <c r="C13" s="532"/>
      <c r="D13" s="532"/>
      <c r="E13" s="532"/>
      <c r="F13" s="533"/>
    </row>
    <row r="14" spans="1:6">
      <c r="A14" s="528" t="s">
        <v>942</v>
      </c>
      <c r="B14" s="534"/>
      <c r="C14" s="534"/>
      <c r="D14" s="534"/>
      <c r="E14" s="534"/>
      <c r="F14" s="535"/>
    </row>
    <row r="15" spans="1:6">
      <c r="A15" s="528" t="s">
        <v>943</v>
      </c>
      <c r="B15" s="534"/>
      <c r="C15" s="534"/>
      <c r="D15" s="534"/>
      <c r="E15" s="534"/>
      <c r="F15" s="535"/>
    </row>
    <row r="16" spans="1:6">
      <c r="A16" s="530" t="s">
        <v>944</v>
      </c>
      <c r="B16" s="534"/>
      <c r="C16" s="534"/>
      <c r="D16" s="534"/>
      <c r="E16" s="534"/>
      <c r="F16" s="535"/>
    </row>
    <row r="17" spans="1:6">
      <c r="A17" s="531" t="s">
        <v>925</v>
      </c>
      <c r="B17" s="532"/>
      <c r="C17" s="532"/>
      <c r="D17" s="532"/>
      <c r="E17" s="532"/>
      <c r="F17" s="535"/>
    </row>
    <row r="18" spans="1:6">
      <c r="A18" s="528" t="s">
        <v>942</v>
      </c>
      <c r="B18" s="534"/>
      <c r="C18" s="534"/>
      <c r="D18" s="534"/>
      <c r="E18" s="534"/>
      <c r="F18" s="535"/>
    </row>
    <row r="19" spans="1:6">
      <c r="A19" s="528" t="s">
        <v>943</v>
      </c>
      <c r="B19" s="534"/>
      <c r="C19" s="534"/>
      <c r="D19" s="534"/>
      <c r="E19" s="534"/>
      <c r="F19" s="535"/>
    </row>
    <row r="20" spans="1:6" ht="15" thickBot="1">
      <c r="A20" s="536" t="s">
        <v>944</v>
      </c>
      <c r="B20" s="537"/>
      <c r="C20" s="537"/>
      <c r="D20" s="537"/>
      <c r="E20" s="537"/>
      <c r="F20" s="538"/>
    </row>
  </sheetData>
  <mergeCells count="3">
    <mergeCell ref="A7:A8"/>
    <mergeCell ref="B7:E7"/>
    <mergeCell ref="F7:F8"/>
  </mergeCells>
  <pageMargins left="0.7" right="0.7" top="0.75" bottom="0.75" header="0.3" footer="0.3"/>
  <pageSetup orientation="portrait" horizontalDpi="4294967292" verticalDpi="0" r:id="rId1"/>
  <headerFooter>
    <oddFooter>&amp;C_x000D_&amp;1#&amp;"Calibri"&amp;10&amp;K000000 C1 - FOR 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8"/>
  <sheetViews>
    <sheetView zoomScale="80" zoomScaleNormal="80" workbookViewId="0">
      <pane xSplit="1" ySplit="5" topLeftCell="B64" activePane="bottomRight" state="frozen"/>
      <selection pane="topRight" activeCell="B1" sqref="B1"/>
      <selection pane="bottomLeft" activeCell="A5" sqref="A5"/>
      <selection pane="bottomRight" activeCell="G25" sqref="G25"/>
    </sheetView>
  </sheetViews>
  <sheetFormatPr defaultRowHeight="14.4"/>
  <cols>
    <col min="1" max="1" width="10.77734375" style="31" customWidth="1"/>
    <col min="2" max="2" width="91.77734375" style="31" customWidth="1"/>
    <col min="3" max="3" width="53.21875" style="681" customWidth="1"/>
    <col min="4" max="4" width="32.21875" style="31" customWidth="1"/>
    <col min="5" max="5" width="9.44140625" customWidth="1"/>
  </cols>
  <sheetData>
    <row r="1" spans="1:6">
      <c r="A1" s="13" t="s">
        <v>97</v>
      </c>
      <c r="B1" s="14" t="str">
        <f>Info!C2</f>
        <v>სს " პაშა ბანკი საქართველო"</v>
      </c>
      <c r="E1" s="1"/>
      <c r="F1" s="1"/>
    </row>
    <row r="2" spans="1:6" s="13" customFormat="1" ht="15.75" customHeight="1">
      <c r="A2" s="13" t="s">
        <v>98</v>
      </c>
      <c r="B2" s="278">
        <f>'1. key ratios'!B2</f>
        <v>45747</v>
      </c>
      <c r="C2" s="682"/>
    </row>
    <row r="3" spans="1:6" s="13" customFormat="1" ht="15.75" customHeight="1">
      <c r="A3" s="19"/>
      <c r="C3" s="682"/>
    </row>
    <row r="4" spans="1:6" s="13" customFormat="1" ht="15.75" customHeight="1" thickBot="1">
      <c r="A4" s="13" t="s">
        <v>247</v>
      </c>
      <c r="B4" s="109" t="s">
        <v>161</v>
      </c>
      <c r="C4" s="682"/>
      <c r="D4" s="111" t="s">
        <v>76</v>
      </c>
    </row>
    <row r="5" spans="1:6" ht="27.6">
      <c r="A5" s="75" t="s">
        <v>25</v>
      </c>
      <c r="B5" s="76" t="s">
        <v>133</v>
      </c>
      <c r="C5" s="668" t="s">
        <v>826</v>
      </c>
      <c r="D5" s="110" t="s">
        <v>162</v>
      </c>
    </row>
    <row r="6" spans="1:6">
      <c r="A6" s="355">
        <v>1</v>
      </c>
      <c r="B6" s="345" t="s">
        <v>811</v>
      </c>
      <c r="C6" s="669">
        <f>SUM(C7:C9)</f>
        <v>198288716.39709997</v>
      </c>
      <c r="D6" s="663"/>
      <c r="E6" s="4"/>
    </row>
    <row r="7" spans="1:6">
      <c r="A7" s="355">
        <v>1.1000000000000001</v>
      </c>
      <c r="B7" s="346" t="s">
        <v>85</v>
      </c>
      <c r="C7" s="670">
        <v>3438603.0577000002</v>
      </c>
      <c r="D7" s="72"/>
      <c r="E7" s="4"/>
    </row>
    <row r="8" spans="1:6">
      <c r="A8" s="355">
        <v>1.2</v>
      </c>
      <c r="B8" s="346" t="s">
        <v>86</v>
      </c>
      <c r="C8" s="670">
        <v>89416383.471699998</v>
      </c>
      <c r="D8" s="72"/>
      <c r="E8" s="4"/>
    </row>
    <row r="9" spans="1:6">
      <c r="A9" s="355">
        <v>1.3</v>
      </c>
      <c r="B9" s="614" t="s">
        <v>87</v>
      </c>
      <c r="C9" s="670">
        <v>105433729.8677</v>
      </c>
      <c r="D9" s="72"/>
      <c r="E9" s="4"/>
    </row>
    <row r="10" spans="1:6">
      <c r="A10" s="355">
        <v>2</v>
      </c>
      <c r="B10" s="615" t="s">
        <v>698</v>
      </c>
      <c r="C10" s="671">
        <f>C11</f>
        <v>590873.73609999998</v>
      </c>
      <c r="D10" s="72"/>
      <c r="E10" s="4"/>
    </row>
    <row r="11" spans="1:6">
      <c r="A11" s="355">
        <v>2.1</v>
      </c>
      <c r="B11" s="616" t="s">
        <v>699</v>
      </c>
      <c r="C11" s="667">
        <v>590873.73609999998</v>
      </c>
      <c r="D11" s="73"/>
      <c r="E11" s="5"/>
    </row>
    <row r="12" spans="1:6" ht="23.55" customHeight="1">
      <c r="A12" s="355">
        <v>3</v>
      </c>
      <c r="B12" s="617" t="s">
        <v>700</v>
      </c>
      <c r="C12" s="672"/>
      <c r="D12" s="73"/>
      <c r="E12" s="5"/>
    </row>
    <row r="13" spans="1:6" ht="22.95" customHeight="1">
      <c r="A13" s="355">
        <v>4</v>
      </c>
      <c r="B13" s="609" t="s">
        <v>701</v>
      </c>
      <c r="C13" s="672"/>
      <c r="D13" s="73"/>
      <c r="E13" s="5"/>
    </row>
    <row r="14" spans="1:6">
      <c r="A14" s="355">
        <v>5</v>
      </c>
      <c r="B14" s="609" t="s">
        <v>702</v>
      </c>
      <c r="C14" s="672">
        <f>SUM(C15:C17)</f>
        <v>0</v>
      </c>
      <c r="D14" s="73"/>
      <c r="E14" s="5"/>
    </row>
    <row r="15" spans="1:6">
      <c r="A15" s="355">
        <v>5.0999999999999996</v>
      </c>
      <c r="B15" s="610" t="s">
        <v>703</v>
      </c>
      <c r="C15" s="670"/>
      <c r="D15" s="73"/>
      <c r="E15" s="4"/>
    </row>
    <row r="16" spans="1:6">
      <c r="A16" s="355">
        <v>5.2</v>
      </c>
      <c r="B16" s="610" t="s">
        <v>538</v>
      </c>
      <c r="C16" s="670"/>
      <c r="D16" s="72"/>
      <c r="E16" s="4"/>
    </row>
    <row r="17" spans="1:5">
      <c r="A17" s="355">
        <v>5.3</v>
      </c>
      <c r="B17" s="610" t="s">
        <v>704</v>
      </c>
      <c r="C17" s="670"/>
      <c r="D17" s="72"/>
      <c r="E17" s="4"/>
    </row>
    <row r="18" spans="1:5">
      <c r="A18" s="355">
        <v>6</v>
      </c>
      <c r="B18" s="617" t="s">
        <v>705</v>
      </c>
      <c r="C18" s="671">
        <f>SUM(C19:C20)</f>
        <v>468121388.53500003</v>
      </c>
      <c r="D18" s="72"/>
      <c r="E18" s="4"/>
    </row>
    <row r="19" spans="1:5">
      <c r="A19" s="355">
        <v>6.1</v>
      </c>
      <c r="B19" s="610" t="s">
        <v>538</v>
      </c>
      <c r="C19" s="667">
        <v>81067518.249800012</v>
      </c>
      <c r="D19" s="72"/>
      <c r="E19" s="4"/>
    </row>
    <row r="20" spans="1:5">
      <c r="A20" s="355">
        <v>6.2</v>
      </c>
      <c r="B20" s="610" t="s">
        <v>704</v>
      </c>
      <c r="C20" s="667">
        <v>387053870.2852</v>
      </c>
      <c r="D20" s="72"/>
      <c r="E20" s="4"/>
    </row>
    <row r="21" spans="1:5">
      <c r="A21" s="355">
        <v>7</v>
      </c>
      <c r="B21" s="618" t="s">
        <v>706</v>
      </c>
      <c r="C21" s="672"/>
      <c r="D21" s="72"/>
      <c r="E21" s="4"/>
    </row>
    <row r="22" spans="1:5">
      <c r="A22" s="355">
        <v>8</v>
      </c>
      <c r="B22" s="618" t="s">
        <v>707</v>
      </c>
      <c r="C22" s="671"/>
      <c r="D22" s="72"/>
      <c r="E22" s="4"/>
    </row>
    <row r="23" spans="1:5">
      <c r="A23" s="355">
        <v>9</v>
      </c>
      <c r="B23" s="609" t="s">
        <v>708</v>
      </c>
      <c r="C23" s="671">
        <f>SUM(C24:C25)</f>
        <v>6718453.9199999999</v>
      </c>
      <c r="D23" s="378"/>
      <c r="E23" s="4"/>
    </row>
    <row r="24" spans="1:5">
      <c r="A24" s="355">
        <v>9.1</v>
      </c>
      <c r="B24" s="612" t="s">
        <v>709</v>
      </c>
      <c r="C24" s="673">
        <v>6718453.9199999999</v>
      </c>
      <c r="D24" s="74"/>
      <c r="E24" s="4"/>
    </row>
    <row r="25" spans="1:5">
      <c r="A25" s="355">
        <v>9.1999999999999993</v>
      </c>
      <c r="B25" s="612" t="s">
        <v>710</v>
      </c>
      <c r="C25" s="674"/>
      <c r="D25" s="377"/>
      <c r="E25" s="3"/>
    </row>
    <row r="26" spans="1:5">
      <c r="A26" s="355">
        <v>10</v>
      </c>
      <c r="B26" s="609" t="s">
        <v>36</v>
      </c>
      <c r="C26" s="675">
        <f>SUM(C27:C28)</f>
        <v>3583917.36</v>
      </c>
      <c r="D26" s="503" t="s">
        <v>903</v>
      </c>
      <c r="E26" s="4"/>
    </row>
    <row r="27" spans="1:5">
      <c r="A27" s="355">
        <v>10.1</v>
      </c>
      <c r="B27" s="612" t="s">
        <v>711</v>
      </c>
      <c r="C27" s="670"/>
      <c r="D27" s="72"/>
      <c r="E27" s="4"/>
    </row>
    <row r="28" spans="1:5">
      <c r="A28" s="355">
        <v>10.199999999999999</v>
      </c>
      <c r="B28" s="612" t="s">
        <v>712</v>
      </c>
      <c r="C28" s="670">
        <v>3583917.36</v>
      </c>
      <c r="D28" s="72"/>
      <c r="E28" s="4"/>
    </row>
    <row r="29" spans="1:5">
      <c r="A29" s="355">
        <v>11</v>
      </c>
      <c r="B29" s="609" t="s">
        <v>713</v>
      </c>
      <c r="C29" s="671">
        <f>SUM(C30:C31)</f>
        <v>3795103.27</v>
      </c>
      <c r="D29" s="503" t="s">
        <v>1028</v>
      </c>
      <c r="E29" s="4"/>
    </row>
    <row r="30" spans="1:5">
      <c r="A30" s="355">
        <v>11.1</v>
      </c>
      <c r="B30" s="612" t="s">
        <v>714</v>
      </c>
      <c r="C30" s="670"/>
      <c r="D30" s="72"/>
      <c r="E30" s="4"/>
    </row>
    <row r="31" spans="1:5">
      <c r="A31" s="355">
        <v>11.2</v>
      </c>
      <c r="B31" s="612" t="s">
        <v>715</v>
      </c>
      <c r="C31" s="670">
        <v>3795103.27</v>
      </c>
      <c r="D31" s="72"/>
      <c r="E31" s="4"/>
    </row>
    <row r="32" spans="1:5">
      <c r="A32" s="355">
        <v>13</v>
      </c>
      <c r="B32" s="609" t="s">
        <v>88</v>
      </c>
      <c r="C32" s="671">
        <v>19129692.486999996</v>
      </c>
      <c r="D32" s="72"/>
      <c r="E32" s="4"/>
    </row>
    <row r="33" spans="1:5">
      <c r="A33" s="355">
        <v>13.1</v>
      </c>
      <c r="B33" s="619" t="s">
        <v>716</v>
      </c>
      <c r="C33" s="670">
        <v>16895117.84</v>
      </c>
      <c r="D33" s="72"/>
      <c r="E33" s="4"/>
    </row>
    <row r="34" spans="1:5">
      <c r="A34" s="355">
        <v>13.2</v>
      </c>
      <c r="B34" s="619" t="s">
        <v>717</v>
      </c>
      <c r="C34" s="673"/>
      <c r="D34" s="74"/>
      <c r="E34" s="4"/>
    </row>
    <row r="35" spans="1:5">
      <c r="A35" s="355">
        <v>14</v>
      </c>
      <c r="B35" s="545" t="s">
        <v>718</v>
      </c>
      <c r="C35" s="676">
        <f>SUM(C6,C10,C12,C13,C14,C18,C21,C22,C23,C26,C29,C32)</f>
        <v>700228145.70519996</v>
      </c>
      <c r="D35" s="72"/>
      <c r="E35" s="4"/>
    </row>
    <row r="36" spans="1:5">
      <c r="A36" s="355"/>
      <c r="B36" s="635" t="s">
        <v>93</v>
      </c>
      <c r="C36" s="683"/>
      <c r="D36" s="72"/>
      <c r="E36" s="4"/>
    </row>
    <row r="37" spans="1:5">
      <c r="A37" s="355">
        <v>15</v>
      </c>
      <c r="B37" s="618" t="s">
        <v>719</v>
      </c>
      <c r="C37" s="674">
        <f>C38</f>
        <v>549092.5</v>
      </c>
      <c r="D37" s="377"/>
      <c r="E37" s="3"/>
    </row>
    <row r="38" spans="1:5">
      <c r="A38" s="355">
        <v>15.1</v>
      </c>
      <c r="B38" s="616" t="s">
        <v>699</v>
      </c>
      <c r="C38" s="670">
        <v>549092.5</v>
      </c>
      <c r="D38" s="72"/>
      <c r="E38" s="4"/>
    </row>
    <row r="39" spans="1:5" ht="20.399999999999999">
      <c r="A39" s="355">
        <v>16</v>
      </c>
      <c r="B39" s="618" t="s">
        <v>720</v>
      </c>
      <c r="C39" s="671"/>
      <c r="D39" s="72"/>
      <c r="E39" s="4"/>
    </row>
    <row r="40" spans="1:5">
      <c r="A40" s="355">
        <v>17</v>
      </c>
      <c r="B40" s="618" t="s">
        <v>721</v>
      </c>
      <c r="C40" s="671">
        <f>SUM(C41:C44)</f>
        <v>535407758.94730002</v>
      </c>
      <c r="D40" s="72"/>
      <c r="E40" s="4"/>
    </row>
    <row r="41" spans="1:5">
      <c r="A41" s="355">
        <v>17.100000000000001</v>
      </c>
      <c r="B41" s="613" t="s">
        <v>722</v>
      </c>
      <c r="C41" s="670">
        <v>492372801.5625</v>
      </c>
      <c r="D41" s="72"/>
      <c r="E41" s="4"/>
    </row>
    <row r="42" spans="1:5">
      <c r="A42" s="373">
        <v>17.2</v>
      </c>
      <c r="B42" s="614" t="s">
        <v>89</v>
      </c>
      <c r="C42" s="673">
        <v>37900846.0057</v>
      </c>
      <c r="D42" s="74"/>
      <c r="E42" s="4"/>
    </row>
    <row r="43" spans="1:5">
      <c r="A43" s="355">
        <v>17.3</v>
      </c>
      <c r="B43" s="613" t="s">
        <v>723</v>
      </c>
      <c r="C43" s="677"/>
      <c r="D43" s="664"/>
      <c r="E43" s="4"/>
    </row>
    <row r="44" spans="1:5">
      <c r="A44" s="355">
        <v>17.399999999999999</v>
      </c>
      <c r="B44" s="613" t="s">
        <v>724</v>
      </c>
      <c r="C44" s="677">
        <v>5134111.3790999996</v>
      </c>
      <c r="D44" s="664"/>
      <c r="E44" s="4"/>
    </row>
    <row r="45" spans="1:5">
      <c r="A45" s="355">
        <v>18</v>
      </c>
      <c r="B45" s="609" t="s">
        <v>725</v>
      </c>
      <c r="C45" s="678">
        <v>539671.56550000003</v>
      </c>
      <c r="D45" s="664"/>
      <c r="E45" s="3"/>
    </row>
    <row r="46" spans="1:5">
      <c r="A46" s="355">
        <v>19</v>
      </c>
      <c r="B46" s="609" t="s">
        <v>726</v>
      </c>
      <c r="C46" s="679">
        <f>SUM(C47:C48)</f>
        <v>0</v>
      </c>
      <c r="D46" s="665"/>
    </row>
    <row r="47" spans="1:5">
      <c r="A47" s="355">
        <v>19.100000000000001</v>
      </c>
      <c r="B47" s="611" t="s">
        <v>727</v>
      </c>
      <c r="C47" s="680"/>
      <c r="D47" s="665"/>
    </row>
    <row r="48" spans="1:5">
      <c r="A48" s="355">
        <v>19.2</v>
      </c>
      <c r="B48" s="611" t="s">
        <v>728</v>
      </c>
      <c r="C48" s="680"/>
      <c r="D48" s="665"/>
    </row>
    <row r="49" spans="1:4">
      <c r="A49" s="355">
        <v>20</v>
      </c>
      <c r="B49" s="545" t="s">
        <v>90</v>
      </c>
      <c r="C49" s="679">
        <v>33651416.677900001</v>
      </c>
      <c r="D49" s="503" t="s">
        <v>1025</v>
      </c>
    </row>
    <row r="50" spans="1:4">
      <c r="A50" s="355">
        <v>21</v>
      </c>
      <c r="B50" s="615" t="s">
        <v>78</v>
      </c>
      <c r="C50" s="679">
        <v>6970195.4791999999</v>
      </c>
      <c r="D50" s="665"/>
    </row>
    <row r="51" spans="1:4">
      <c r="A51" s="355">
        <v>21.1</v>
      </c>
      <c r="B51" s="614" t="s">
        <v>729</v>
      </c>
      <c r="C51" s="680"/>
      <c r="D51" s="665"/>
    </row>
    <row r="52" spans="1:4">
      <c r="A52" s="355">
        <v>22</v>
      </c>
      <c r="B52" s="545" t="s">
        <v>730</v>
      </c>
      <c r="C52" s="679">
        <f>SUM(C37,C39,C40,C45,C46,C49,C50)</f>
        <v>577118135.16990006</v>
      </c>
      <c r="D52" s="665"/>
    </row>
    <row r="53" spans="1:4">
      <c r="A53" s="355"/>
      <c r="B53" s="635" t="s">
        <v>731</v>
      </c>
      <c r="C53" s="680"/>
      <c r="D53" s="665"/>
    </row>
    <row r="54" spans="1:4">
      <c r="A54" s="355">
        <v>23</v>
      </c>
      <c r="B54" s="545" t="s">
        <v>94</v>
      </c>
      <c r="C54" s="678">
        <v>136800000</v>
      </c>
      <c r="D54" s="503" t="s">
        <v>1026</v>
      </c>
    </row>
    <row r="55" spans="1:4">
      <c r="A55" s="355">
        <v>24</v>
      </c>
      <c r="B55" s="545" t="s">
        <v>732</v>
      </c>
      <c r="C55" s="678"/>
      <c r="D55" s="665"/>
    </row>
    <row r="56" spans="1:4">
      <c r="A56" s="355">
        <v>25</v>
      </c>
      <c r="B56" s="545" t="s">
        <v>91</v>
      </c>
      <c r="C56" s="678"/>
      <c r="D56" s="665"/>
    </row>
    <row r="57" spans="1:4">
      <c r="A57" s="355">
        <v>26</v>
      </c>
      <c r="B57" s="609" t="s">
        <v>733</v>
      </c>
      <c r="C57" s="678"/>
      <c r="D57" s="665"/>
    </row>
    <row r="58" spans="1:4">
      <c r="A58" s="355">
        <v>27</v>
      </c>
      <c r="B58" s="609" t="s">
        <v>734</v>
      </c>
      <c r="C58" s="678">
        <f>SUM(C59:C60)</f>
        <v>1154910.5</v>
      </c>
      <c r="D58" s="665"/>
    </row>
    <row r="59" spans="1:4">
      <c r="A59" s="355">
        <v>27.1</v>
      </c>
      <c r="B59" s="611" t="s">
        <v>735</v>
      </c>
      <c r="C59" s="677">
        <v>1154910.5</v>
      </c>
      <c r="D59" s="665"/>
    </row>
    <row r="60" spans="1:4">
      <c r="A60" s="355">
        <v>27.2</v>
      </c>
      <c r="B60" s="613" t="s">
        <v>736</v>
      </c>
      <c r="C60" s="677"/>
      <c r="D60" s="665"/>
    </row>
    <row r="61" spans="1:4">
      <c r="A61" s="355">
        <v>28</v>
      </c>
      <c r="B61" s="615" t="s">
        <v>737</v>
      </c>
      <c r="C61" s="678"/>
      <c r="D61" s="665"/>
    </row>
    <row r="62" spans="1:4">
      <c r="A62" s="355">
        <v>29</v>
      </c>
      <c r="B62" s="351" t="s">
        <v>738</v>
      </c>
      <c r="C62" s="678">
        <f>SUM(C63:C65)</f>
        <v>0</v>
      </c>
      <c r="D62" s="665"/>
    </row>
    <row r="63" spans="1:4">
      <c r="A63" s="355">
        <v>29.1</v>
      </c>
      <c r="B63" s="375" t="s">
        <v>739</v>
      </c>
      <c r="C63" s="677"/>
      <c r="D63" s="665"/>
    </row>
    <row r="64" spans="1:4" ht="24" customHeight="1">
      <c r="A64" s="355">
        <v>29.2</v>
      </c>
      <c r="B64" s="374" t="s">
        <v>740</v>
      </c>
      <c r="C64" s="677"/>
      <c r="D64" s="665"/>
    </row>
    <row r="65" spans="1:4" ht="22.05" customHeight="1">
      <c r="A65" s="355">
        <v>29.3</v>
      </c>
      <c r="B65" s="376" t="s">
        <v>741</v>
      </c>
      <c r="C65" s="677"/>
      <c r="D65" s="665"/>
    </row>
    <row r="66" spans="1:4">
      <c r="A66" s="355">
        <v>30</v>
      </c>
      <c r="B66" s="351" t="s">
        <v>92</v>
      </c>
      <c r="C66" s="678">
        <v>-14844900.41</v>
      </c>
      <c r="D66" s="503" t="s">
        <v>1027</v>
      </c>
    </row>
    <row r="67" spans="1:4">
      <c r="A67" s="355">
        <v>31</v>
      </c>
      <c r="B67" s="350" t="s">
        <v>742</v>
      </c>
      <c r="C67" s="678">
        <f>SUM(C54,C55,C56,C57,C58,C61,C62,C66)</f>
        <v>123110010.09</v>
      </c>
      <c r="D67" s="665"/>
    </row>
    <row r="68" spans="1:4" ht="15" thickBot="1">
      <c r="A68" s="355">
        <v>32</v>
      </c>
      <c r="B68" s="351" t="s">
        <v>743</v>
      </c>
      <c r="C68" s="678">
        <f>SUM(C52,C67)</f>
        <v>700228145.25990009</v>
      </c>
      <c r="D68" s="666"/>
    </row>
  </sheetData>
  <pageMargins left="0.7" right="0.7" top="0.75" bottom="0.75" header="0.3" footer="0.3"/>
  <pageSetup paperSize="9" orientation="portrait" horizontalDpi="4294967295" verticalDpi="4294967295" r:id="rId1"/>
  <headerFooter>
    <oddFooter>&amp;C_x000D_&amp;1#&amp;"Calibri"&amp;10&amp;K000000 C1 - FOR 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2"/>
  <sheetViews>
    <sheetView zoomScale="80" zoomScaleNormal="80" workbookViewId="0">
      <pane xSplit="2" ySplit="7" topLeftCell="K8" activePane="bottomRight" state="frozen"/>
      <selection pane="topRight" activeCell="C1" sqref="C1"/>
      <selection pane="bottomLeft" activeCell="A8" sqref="A8"/>
      <selection pane="bottomRight" activeCell="M37" sqref="M37"/>
    </sheetView>
  </sheetViews>
  <sheetFormatPr defaultColWidth="9.21875" defaultRowHeight="13.8"/>
  <cols>
    <col min="1" max="1" width="10.5546875" style="1" bestFit="1" customWidth="1"/>
    <col min="2" max="2" width="97" style="1" bestFit="1" customWidth="1"/>
    <col min="3" max="3" width="12.33203125" style="1" customWidth="1"/>
    <col min="4" max="4" width="13.21875" style="1" bestFit="1" customWidth="1"/>
    <col min="5" max="5" width="12.88671875" style="1" customWidth="1"/>
    <col min="6" max="6" width="13.21875" style="1" bestFit="1" customWidth="1"/>
    <col min="7" max="7" width="9.44140625" style="1" bestFit="1" customWidth="1"/>
    <col min="8" max="8" width="13.21875" style="1" bestFit="1" customWidth="1"/>
    <col min="9" max="9" width="12.77734375" style="1" customWidth="1"/>
    <col min="10" max="10" width="13.21875" style="1" bestFit="1" customWidth="1"/>
    <col min="11" max="11" width="9.44140625" style="1" bestFit="1" customWidth="1"/>
    <col min="12" max="12" width="13.21875" style="1" bestFit="1" customWidth="1"/>
    <col min="13" max="13" width="11.44140625" style="1" customWidth="1"/>
    <col min="14" max="14" width="13.21875" style="1" bestFit="1" customWidth="1"/>
    <col min="15" max="15" width="10.5546875" style="1" customWidth="1"/>
    <col min="16" max="16" width="13.21875" style="1" bestFit="1" customWidth="1"/>
    <col min="17" max="17" width="9.44140625" style="1" bestFit="1" customWidth="1"/>
    <col min="18" max="18" width="13.21875" style="1" bestFit="1" customWidth="1"/>
    <col min="19" max="19" width="31.5546875" style="1" bestFit="1" customWidth="1"/>
    <col min="20" max="16384" width="9.21875" style="8"/>
  </cols>
  <sheetData>
    <row r="1" spans="1:19">
      <c r="A1" s="1" t="s">
        <v>97</v>
      </c>
      <c r="B1" s="1" t="str">
        <f>Info!C2</f>
        <v>სს " პაშა ბანკი საქართველო"</v>
      </c>
    </row>
    <row r="2" spans="1:19">
      <c r="A2" s="1" t="s">
        <v>98</v>
      </c>
      <c r="B2" s="278">
        <f>'1. key ratios'!B2</f>
        <v>45747</v>
      </c>
    </row>
    <row r="4" spans="1:19" ht="28.2" thickBot="1">
      <c r="A4" s="30" t="s">
        <v>248</v>
      </c>
      <c r="B4" s="163" t="s">
        <v>282</v>
      </c>
    </row>
    <row r="5" spans="1:19">
      <c r="A5" s="62"/>
      <c r="B5" s="64"/>
      <c r="C5" s="56" t="s">
        <v>0</v>
      </c>
      <c r="D5" s="56" t="s">
        <v>1</v>
      </c>
      <c r="E5" s="56" t="s">
        <v>2</v>
      </c>
      <c r="F5" s="56" t="s">
        <v>3</v>
      </c>
      <c r="G5" s="56" t="s">
        <v>4</v>
      </c>
      <c r="H5" s="56" t="s">
        <v>5</v>
      </c>
      <c r="I5" s="56" t="s">
        <v>134</v>
      </c>
      <c r="J5" s="56" t="s">
        <v>135</v>
      </c>
      <c r="K5" s="56" t="s">
        <v>136</v>
      </c>
      <c r="L5" s="56" t="s">
        <v>137</v>
      </c>
      <c r="M5" s="56" t="s">
        <v>138</v>
      </c>
      <c r="N5" s="56" t="s">
        <v>139</v>
      </c>
      <c r="O5" s="56" t="s">
        <v>269</v>
      </c>
      <c r="P5" s="56" t="s">
        <v>270</v>
      </c>
      <c r="Q5" s="56" t="s">
        <v>271</v>
      </c>
      <c r="R5" s="156" t="s">
        <v>272</v>
      </c>
      <c r="S5" s="57" t="s">
        <v>273</v>
      </c>
    </row>
    <row r="6" spans="1:19" ht="46.5" customHeight="1">
      <c r="A6" s="77"/>
      <c r="B6" s="811" t="s">
        <v>274</v>
      </c>
      <c r="C6" s="809">
        <v>0</v>
      </c>
      <c r="D6" s="810"/>
      <c r="E6" s="809">
        <v>0.2</v>
      </c>
      <c r="F6" s="810"/>
      <c r="G6" s="809">
        <v>0.35</v>
      </c>
      <c r="H6" s="810"/>
      <c r="I6" s="809">
        <v>0.5</v>
      </c>
      <c r="J6" s="810"/>
      <c r="K6" s="809">
        <v>0.75</v>
      </c>
      <c r="L6" s="810"/>
      <c r="M6" s="809">
        <v>1</v>
      </c>
      <c r="N6" s="810"/>
      <c r="O6" s="809">
        <v>1.5</v>
      </c>
      <c r="P6" s="810"/>
      <c r="Q6" s="809">
        <v>2.5</v>
      </c>
      <c r="R6" s="810"/>
      <c r="S6" s="807" t="s">
        <v>145</v>
      </c>
    </row>
    <row r="7" spans="1:19">
      <c r="A7" s="77"/>
      <c r="B7" s="812"/>
      <c r="C7" s="162" t="s">
        <v>267</v>
      </c>
      <c r="D7" s="162" t="s">
        <v>268</v>
      </c>
      <c r="E7" s="162" t="s">
        <v>267</v>
      </c>
      <c r="F7" s="162" t="s">
        <v>268</v>
      </c>
      <c r="G7" s="162" t="s">
        <v>267</v>
      </c>
      <c r="H7" s="162" t="s">
        <v>268</v>
      </c>
      <c r="I7" s="162" t="s">
        <v>267</v>
      </c>
      <c r="J7" s="162" t="s">
        <v>268</v>
      </c>
      <c r="K7" s="162" t="s">
        <v>267</v>
      </c>
      <c r="L7" s="162" t="s">
        <v>268</v>
      </c>
      <c r="M7" s="162" t="s">
        <v>267</v>
      </c>
      <c r="N7" s="162" t="s">
        <v>268</v>
      </c>
      <c r="O7" s="162" t="s">
        <v>267</v>
      </c>
      <c r="P7" s="162" t="s">
        <v>268</v>
      </c>
      <c r="Q7" s="162" t="s">
        <v>267</v>
      </c>
      <c r="R7" s="162" t="s">
        <v>268</v>
      </c>
      <c r="S7" s="808"/>
    </row>
    <row r="8" spans="1:19">
      <c r="A8" s="60">
        <v>1</v>
      </c>
      <c r="B8" s="85" t="s">
        <v>123</v>
      </c>
      <c r="C8" s="148">
        <v>31728083.23</v>
      </c>
      <c r="D8" s="148"/>
      <c r="E8" s="148">
        <v>0</v>
      </c>
      <c r="F8" s="157"/>
      <c r="G8" s="148">
        <v>0</v>
      </c>
      <c r="H8" s="148"/>
      <c r="I8" s="148">
        <v>0</v>
      </c>
      <c r="J8" s="148"/>
      <c r="K8" s="148">
        <v>0</v>
      </c>
      <c r="L8" s="148"/>
      <c r="M8" s="148">
        <v>63034700.241700001</v>
      </c>
      <c r="N8" s="148"/>
      <c r="O8" s="148">
        <v>0</v>
      </c>
      <c r="P8" s="148"/>
      <c r="Q8" s="148">
        <v>0</v>
      </c>
      <c r="R8" s="157"/>
      <c r="S8" s="166">
        <f>$C$6*SUM(C8:D8)+$E$6*SUM(E8:F8)+$G$6*SUM(G8:H8)+$I$6*SUM(I8:J8)+$K$6*SUM(K8:L8)+$M$6*SUM(M8:N8)+$O$6*SUM(O8:P8)+$Q$6*SUM(Q8:R8)</f>
        <v>63034700.241700001</v>
      </c>
    </row>
    <row r="9" spans="1:19">
      <c r="A9" s="60">
        <v>2</v>
      </c>
      <c r="B9" s="85" t="s">
        <v>124</v>
      </c>
      <c r="C9" s="148">
        <v>0</v>
      </c>
      <c r="D9" s="148"/>
      <c r="E9" s="148">
        <v>0</v>
      </c>
      <c r="F9" s="148"/>
      <c r="G9" s="148">
        <v>0</v>
      </c>
      <c r="H9" s="148"/>
      <c r="I9" s="148">
        <v>0</v>
      </c>
      <c r="J9" s="148"/>
      <c r="K9" s="148">
        <v>0</v>
      </c>
      <c r="L9" s="148"/>
      <c r="M9" s="148">
        <v>0</v>
      </c>
      <c r="N9" s="148"/>
      <c r="O9" s="148">
        <v>0</v>
      </c>
      <c r="P9" s="148"/>
      <c r="Q9" s="148">
        <v>0</v>
      </c>
      <c r="R9" s="157"/>
      <c r="S9" s="166">
        <f t="shared" ref="S9:S21" si="0">$C$6*SUM(C9:D9)+$E$6*SUM(E9:F9)+$G$6*SUM(G9:H9)+$I$6*SUM(I9:J9)+$K$6*SUM(K9:L9)+$M$6*SUM(M9:N9)+$O$6*SUM(O9:P9)+$Q$6*SUM(Q9:R9)</f>
        <v>0</v>
      </c>
    </row>
    <row r="10" spans="1:19">
      <c r="A10" s="60">
        <v>3</v>
      </c>
      <c r="B10" s="85" t="s">
        <v>125</v>
      </c>
      <c r="C10" s="148">
        <v>0</v>
      </c>
      <c r="D10" s="148"/>
      <c r="E10" s="148">
        <v>0</v>
      </c>
      <c r="F10" s="148"/>
      <c r="G10" s="148">
        <v>0</v>
      </c>
      <c r="H10" s="148"/>
      <c r="I10" s="148">
        <v>0</v>
      </c>
      <c r="J10" s="148"/>
      <c r="K10" s="148">
        <v>0</v>
      </c>
      <c r="L10" s="148"/>
      <c r="M10" s="148">
        <v>0</v>
      </c>
      <c r="N10" s="148"/>
      <c r="O10" s="148">
        <v>0</v>
      </c>
      <c r="P10" s="148"/>
      <c r="Q10" s="148">
        <v>0</v>
      </c>
      <c r="R10" s="157"/>
      <c r="S10" s="166">
        <f t="shared" si="0"/>
        <v>0</v>
      </c>
    </row>
    <row r="11" spans="1:19">
      <c r="A11" s="60">
        <v>4</v>
      </c>
      <c r="B11" s="85" t="s">
        <v>126</v>
      </c>
      <c r="C11" s="148">
        <v>0</v>
      </c>
      <c r="D11" s="148"/>
      <c r="E11" s="148">
        <v>0</v>
      </c>
      <c r="F11" s="148"/>
      <c r="G11" s="148">
        <v>0</v>
      </c>
      <c r="H11" s="148"/>
      <c r="I11" s="148">
        <v>0</v>
      </c>
      <c r="J11" s="148"/>
      <c r="K11" s="148">
        <v>0</v>
      </c>
      <c r="L11" s="148"/>
      <c r="M11" s="148">
        <v>0</v>
      </c>
      <c r="N11" s="148"/>
      <c r="O11" s="148">
        <v>0</v>
      </c>
      <c r="P11" s="148"/>
      <c r="Q11" s="148">
        <v>0</v>
      </c>
      <c r="R11" s="157"/>
      <c r="S11" s="166">
        <f t="shared" si="0"/>
        <v>0</v>
      </c>
    </row>
    <row r="12" spans="1:19">
      <c r="A12" s="60">
        <v>5</v>
      </c>
      <c r="B12" s="85" t="s">
        <v>912</v>
      </c>
      <c r="C12" s="148">
        <v>0</v>
      </c>
      <c r="D12" s="148"/>
      <c r="E12" s="148">
        <v>0</v>
      </c>
      <c r="F12" s="148"/>
      <c r="G12" s="148">
        <v>0</v>
      </c>
      <c r="H12" s="148"/>
      <c r="I12" s="148">
        <v>0</v>
      </c>
      <c r="J12" s="148"/>
      <c r="K12" s="148">
        <v>0</v>
      </c>
      <c r="L12" s="148"/>
      <c r="M12" s="148">
        <v>0</v>
      </c>
      <c r="N12" s="148"/>
      <c r="O12" s="148">
        <v>0</v>
      </c>
      <c r="P12" s="148"/>
      <c r="Q12" s="148">
        <v>0</v>
      </c>
      <c r="R12" s="157"/>
      <c r="S12" s="166">
        <f t="shared" si="0"/>
        <v>0</v>
      </c>
    </row>
    <row r="13" spans="1:19">
      <c r="A13" s="60">
        <v>6</v>
      </c>
      <c r="B13" s="85" t="s">
        <v>127</v>
      </c>
      <c r="C13" s="148">
        <v>0</v>
      </c>
      <c r="D13" s="148"/>
      <c r="E13" s="148">
        <v>121833921.3477</v>
      </c>
      <c r="F13" s="148"/>
      <c r="G13" s="148">
        <v>0</v>
      </c>
      <c r="H13" s="148"/>
      <c r="I13" s="148">
        <v>13142014.5725</v>
      </c>
      <c r="J13" s="148"/>
      <c r="K13" s="148">
        <v>0</v>
      </c>
      <c r="L13" s="148"/>
      <c r="M13" s="148">
        <v>12586853.91</v>
      </c>
      <c r="N13" s="148">
        <v>694878.01340000005</v>
      </c>
      <c r="O13" s="148">
        <v>942183.64740000002</v>
      </c>
      <c r="P13" s="148"/>
      <c r="Q13" s="148">
        <v>0</v>
      </c>
      <c r="R13" s="157"/>
      <c r="S13" s="166">
        <f t="shared" si="0"/>
        <v>45632798.950290002</v>
      </c>
    </row>
    <row r="14" spans="1:19">
      <c r="A14" s="60">
        <v>7</v>
      </c>
      <c r="B14" s="85" t="s">
        <v>71</v>
      </c>
      <c r="C14" s="148">
        <v>0</v>
      </c>
      <c r="D14" s="148"/>
      <c r="E14" s="148">
        <v>0</v>
      </c>
      <c r="F14" s="148"/>
      <c r="G14" s="148">
        <v>0</v>
      </c>
      <c r="H14" s="148"/>
      <c r="I14" s="148">
        <v>0</v>
      </c>
      <c r="J14" s="148"/>
      <c r="K14" s="148">
        <v>0</v>
      </c>
      <c r="L14" s="148"/>
      <c r="M14" s="148">
        <v>404060780.19369996</v>
      </c>
      <c r="N14" s="148">
        <v>34122774.193700001</v>
      </c>
      <c r="O14" s="148">
        <v>0</v>
      </c>
      <c r="P14" s="148"/>
      <c r="Q14" s="148">
        <v>0</v>
      </c>
      <c r="R14" s="157"/>
      <c r="S14" s="166">
        <f t="shared" si="0"/>
        <v>438183554.38739997</v>
      </c>
    </row>
    <row r="15" spans="1:19">
      <c r="A15" s="60">
        <v>8</v>
      </c>
      <c r="B15" s="85" t="s">
        <v>72</v>
      </c>
      <c r="C15" s="148">
        <v>0</v>
      </c>
      <c r="D15" s="148"/>
      <c r="E15" s="148">
        <v>0</v>
      </c>
      <c r="F15" s="148"/>
      <c r="G15" s="148">
        <v>0</v>
      </c>
      <c r="H15" s="148"/>
      <c r="I15" s="148">
        <v>0</v>
      </c>
      <c r="J15" s="148"/>
      <c r="K15" s="148">
        <v>0</v>
      </c>
      <c r="L15" s="148"/>
      <c r="M15" s="148">
        <v>0</v>
      </c>
      <c r="N15" s="148">
        <v>302159.39409999998</v>
      </c>
      <c r="O15" s="148">
        <v>0</v>
      </c>
      <c r="P15" s="148"/>
      <c r="Q15" s="148">
        <v>0</v>
      </c>
      <c r="R15" s="157"/>
      <c r="S15" s="166">
        <f t="shared" si="0"/>
        <v>302159.39409999998</v>
      </c>
    </row>
    <row r="16" spans="1:19">
      <c r="A16" s="60">
        <v>9</v>
      </c>
      <c r="B16" s="85" t="s">
        <v>913</v>
      </c>
      <c r="C16" s="148">
        <v>0</v>
      </c>
      <c r="D16" s="148"/>
      <c r="E16" s="148">
        <v>0</v>
      </c>
      <c r="F16" s="148"/>
      <c r="G16" s="148">
        <v>0</v>
      </c>
      <c r="H16" s="148"/>
      <c r="I16" s="148">
        <v>0</v>
      </c>
      <c r="J16" s="148"/>
      <c r="K16" s="148">
        <v>0</v>
      </c>
      <c r="L16" s="148"/>
      <c r="M16" s="148">
        <v>0</v>
      </c>
      <c r="N16" s="148"/>
      <c r="O16" s="148">
        <v>0</v>
      </c>
      <c r="P16" s="148"/>
      <c r="Q16" s="148">
        <v>0</v>
      </c>
      <c r="R16" s="157"/>
      <c r="S16" s="166">
        <f t="shared" si="0"/>
        <v>0</v>
      </c>
    </row>
    <row r="17" spans="1:19">
      <c r="A17" s="60">
        <v>10</v>
      </c>
      <c r="B17" s="85" t="s">
        <v>67</v>
      </c>
      <c r="C17" s="148">
        <v>0</v>
      </c>
      <c r="D17" s="148"/>
      <c r="E17" s="148">
        <v>0</v>
      </c>
      <c r="F17" s="148"/>
      <c r="G17" s="148">
        <v>0</v>
      </c>
      <c r="H17" s="148"/>
      <c r="I17" s="148">
        <v>0</v>
      </c>
      <c r="J17" s="148"/>
      <c r="K17" s="148">
        <v>0</v>
      </c>
      <c r="L17" s="148"/>
      <c r="M17" s="148">
        <v>4372605.7763</v>
      </c>
      <c r="N17" s="148"/>
      <c r="O17" s="148">
        <v>11581285.4542</v>
      </c>
      <c r="P17" s="148"/>
      <c r="Q17" s="148">
        <v>0</v>
      </c>
      <c r="R17" s="157"/>
      <c r="S17" s="166">
        <f t="shared" si="0"/>
        <v>21744533.957599998</v>
      </c>
    </row>
    <row r="18" spans="1:19">
      <c r="A18" s="60">
        <v>11</v>
      </c>
      <c r="B18" s="85" t="s">
        <v>68</v>
      </c>
      <c r="C18" s="148">
        <v>0</v>
      </c>
      <c r="D18" s="148"/>
      <c r="E18" s="148">
        <v>0</v>
      </c>
      <c r="F18" s="148"/>
      <c r="G18" s="148">
        <v>0</v>
      </c>
      <c r="H18" s="148"/>
      <c r="I18" s="148">
        <v>0</v>
      </c>
      <c r="J18" s="148"/>
      <c r="K18" s="148">
        <v>0</v>
      </c>
      <c r="L18" s="148"/>
      <c r="M18" s="148">
        <v>0</v>
      </c>
      <c r="N18" s="148"/>
      <c r="O18" s="148">
        <v>0</v>
      </c>
      <c r="P18" s="148"/>
      <c r="Q18" s="148">
        <v>0</v>
      </c>
      <c r="R18" s="157"/>
      <c r="S18" s="166">
        <f t="shared" si="0"/>
        <v>0</v>
      </c>
    </row>
    <row r="19" spans="1:19">
      <c r="A19" s="60">
        <v>12</v>
      </c>
      <c r="B19" s="85" t="s">
        <v>69</v>
      </c>
      <c r="C19" s="148">
        <v>0</v>
      </c>
      <c r="D19" s="148"/>
      <c r="E19" s="148">
        <v>0</v>
      </c>
      <c r="F19" s="148"/>
      <c r="G19" s="148">
        <v>0</v>
      </c>
      <c r="H19" s="148"/>
      <c r="I19" s="148">
        <v>0</v>
      </c>
      <c r="J19" s="148"/>
      <c r="K19" s="148">
        <v>0</v>
      </c>
      <c r="L19" s="148"/>
      <c r="M19" s="148">
        <v>0</v>
      </c>
      <c r="N19" s="148"/>
      <c r="O19" s="148">
        <v>0</v>
      </c>
      <c r="P19" s="148"/>
      <c r="Q19" s="148">
        <v>0</v>
      </c>
      <c r="R19" s="157"/>
      <c r="S19" s="166">
        <f t="shared" si="0"/>
        <v>0</v>
      </c>
    </row>
    <row r="20" spans="1:19">
      <c r="A20" s="60">
        <v>13</v>
      </c>
      <c r="B20" s="85" t="s">
        <v>70</v>
      </c>
      <c r="C20" s="148">
        <v>0</v>
      </c>
      <c r="D20" s="148"/>
      <c r="E20" s="148">
        <v>0</v>
      </c>
      <c r="F20" s="148"/>
      <c r="G20" s="148">
        <v>0</v>
      </c>
      <c r="H20" s="148"/>
      <c r="I20" s="148">
        <v>0</v>
      </c>
      <c r="J20" s="148"/>
      <c r="K20" s="148">
        <v>0</v>
      </c>
      <c r="L20" s="148"/>
      <c r="M20" s="148">
        <v>0</v>
      </c>
      <c r="N20" s="148"/>
      <c r="O20" s="148">
        <v>0</v>
      </c>
      <c r="P20" s="148"/>
      <c r="Q20" s="148">
        <v>0</v>
      </c>
      <c r="R20" s="157"/>
      <c r="S20" s="166">
        <f t="shared" si="0"/>
        <v>0</v>
      </c>
    </row>
    <row r="21" spans="1:19">
      <c r="A21" s="60">
        <v>14</v>
      </c>
      <c r="B21" s="85" t="s">
        <v>143</v>
      </c>
      <c r="C21" s="148">
        <v>3438603.0576999998</v>
      </c>
      <c r="D21" s="148"/>
      <c r="E21" s="148">
        <v>0</v>
      </c>
      <c r="F21" s="148"/>
      <c r="G21" s="148">
        <v>0</v>
      </c>
      <c r="H21" s="148"/>
      <c r="I21" s="148">
        <v>0</v>
      </c>
      <c r="J21" s="148"/>
      <c r="K21" s="148">
        <v>0</v>
      </c>
      <c r="L21" s="148"/>
      <c r="M21" s="148">
        <v>26128093.6459</v>
      </c>
      <c r="N21" s="148"/>
      <c r="O21" s="148">
        <v>0</v>
      </c>
      <c r="P21" s="148"/>
      <c r="Q21" s="148">
        <v>0</v>
      </c>
      <c r="R21" s="157"/>
      <c r="S21" s="166">
        <f t="shared" si="0"/>
        <v>26128093.6459</v>
      </c>
    </row>
    <row r="22" spans="1:19" ht="14.4" thickBot="1">
      <c r="A22" s="54"/>
      <c r="B22" s="81" t="s">
        <v>66</v>
      </c>
      <c r="C22" s="149">
        <f>SUM(C8:C21)</f>
        <v>35166686.287699997</v>
      </c>
      <c r="D22" s="149">
        <f t="shared" ref="D22:S22" si="1">SUM(D8:D21)</f>
        <v>0</v>
      </c>
      <c r="E22" s="149">
        <f t="shared" si="1"/>
        <v>121833921.3477</v>
      </c>
      <c r="F22" s="149">
        <f t="shared" si="1"/>
        <v>0</v>
      </c>
      <c r="G22" s="149">
        <f t="shared" si="1"/>
        <v>0</v>
      </c>
      <c r="H22" s="149">
        <f t="shared" si="1"/>
        <v>0</v>
      </c>
      <c r="I22" s="149">
        <f t="shared" si="1"/>
        <v>13142014.5725</v>
      </c>
      <c r="J22" s="149">
        <f t="shared" si="1"/>
        <v>0</v>
      </c>
      <c r="K22" s="149">
        <f t="shared" si="1"/>
        <v>0</v>
      </c>
      <c r="L22" s="149">
        <f t="shared" si="1"/>
        <v>0</v>
      </c>
      <c r="M22" s="149">
        <f t="shared" si="1"/>
        <v>510183033.7676</v>
      </c>
      <c r="N22" s="149">
        <f t="shared" si="1"/>
        <v>35119811.601200007</v>
      </c>
      <c r="O22" s="149">
        <f t="shared" si="1"/>
        <v>12523469.101599999</v>
      </c>
      <c r="P22" s="149">
        <f t="shared" si="1"/>
        <v>0</v>
      </c>
      <c r="Q22" s="149">
        <f t="shared" si="1"/>
        <v>0</v>
      </c>
      <c r="R22" s="149">
        <f t="shared" si="1"/>
        <v>0</v>
      </c>
      <c r="S22" s="167">
        <f t="shared" si="1"/>
        <v>595025840.57698989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Footer>&amp;C_x000D_&amp;1#&amp;"Calibri"&amp;10&amp;K000000 C1 - FOR INTERNAL USE ONLY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28"/>
  <sheetViews>
    <sheetView zoomScale="80" zoomScaleNormal="80" workbookViewId="0">
      <pane xSplit="2" ySplit="6" topLeftCell="Q7" activePane="bottomRight" state="frozen"/>
      <selection pane="topRight" activeCell="C1" sqref="C1"/>
      <selection pane="bottomLeft" activeCell="A6" sqref="A6"/>
      <selection pane="bottomRight" activeCell="B13" sqref="B13"/>
    </sheetView>
  </sheetViews>
  <sheetFormatPr defaultColWidth="9.21875" defaultRowHeight="13.8"/>
  <cols>
    <col min="1" max="1" width="10.5546875" style="1" bestFit="1" customWidth="1"/>
    <col min="2" max="2" width="97" style="1" bestFit="1" customWidth="1"/>
    <col min="3" max="3" width="19" style="1" customWidth="1"/>
    <col min="4" max="4" width="19.5546875" style="1" customWidth="1"/>
    <col min="5" max="5" width="31.21875" style="1" customWidth="1"/>
    <col min="6" max="6" width="29.21875" style="1" customWidth="1"/>
    <col min="7" max="7" width="28.5546875" style="1" customWidth="1"/>
    <col min="8" max="8" width="26.44140625" style="1" customWidth="1"/>
    <col min="9" max="9" width="23.77734375" style="1" customWidth="1"/>
    <col min="10" max="10" width="21.5546875" style="1" customWidth="1"/>
    <col min="11" max="11" width="15.77734375" style="1" customWidth="1"/>
    <col min="12" max="12" width="13.21875" style="1" customWidth="1"/>
    <col min="13" max="13" width="20.77734375" style="1" customWidth="1"/>
    <col min="14" max="14" width="19.21875" style="1" customWidth="1"/>
    <col min="15" max="15" width="18.44140625" style="1" customWidth="1"/>
    <col min="16" max="16" width="19" style="1" customWidth="1"/>
    <col min="17" max="17" width="20.21875" style="1" customWidth="1"/>
    <col min="18" max="18" width="18" style="1" customWidth="1"/>
    <col min="19" max="19" width="36" style="1" customWidth="1"/>
    <col min="20" max="20" width="19.44140625" style="1" customWidth="1"/>
    <col min="21" max="21" width="19.21875" style="1" customWidth="1"/>
    <col min="22" max="22" width="20" style="1" customWidth="1"/>
    <col min="23" max="16384" width="9.21875" style="8"/>
  </cols>
  <sheetData>
    <row r="1" spans="1:22">
      <c r="A1" s="1" t="s">
        <v>97</v>
      </c>
      <c r="B1" s="1" t="str">
        <f>Info!C2</f>
        <v>სს " პაშა ბანკი საქართველო"</v>
      </c>
    </row>
    <row r="2" spans="1:22">
      <c r="A2" s="1" t="s">
        <v>98</v>
      </c>
      <c r="B2" s="278">
        <f>'1. key ratios'!B2</f>
        <v>45747</v>
      </c>
    </row>
    <row r="4" spans="1:22" ht="28.2" thickBot="1">
      <c r="A4" s="1" t="s">
        <v>249</v>
      </c>
      <c r="B4" s="163" t="s">
        <v>283</v>
      </c>
      <c r="V4" s="111" t="s">
        <v>76</v>
      </c>
    </row>
    <row r="5" spans="1:22">
      <c r="A5" s="52"/>
      <c r="B5" s="53"/>
      <c r="C5" s="813" t="s">
        <v>105</v>
      </c>
      <c r="D5" s="814"/>
      <c r="E5" s="814"/>
      <c r="F5" s="814"/>
      <c r="G5" s="814"/>
      <c r="H5" s="814"/>
      <c r="I5" s="814"/>
      <c r="J5" s="814"/>
      <c r="K5" s="814"/>
      <c r="L5" s="815"/>
      <c r="M5" s="813" t="s">
        <v>106</v>
      </c>
      <c r="N5" s="814"/>
      <c r="O5" s="814"/>
      <c r="P5" s="814"/>
      <c r="Q5" s="814"/>
      <c r="R5" s="814"/>
      <c r="S5" s="815"/>
      <c r="T5" s="818" t="s">
        <v>281</v>
      </c>
      <c r="U5" s="818" t="s">
        <v>280</v>
      </c>
      <c r="V5" s="816" t="s">
        <v>107</v>
      </c>
    </row>
    <row r="6" spans="1:22" s="30" customFormat="1" ht="138">
      <c r="A6" s="58"/>
      <c r="B6" s="87"/>
      <c r="C6" s="50" t="s">
        <v>108</v>
      </c>
      <c r="D6" s="49" t="s">
        <v>109</v>
      </c>
      <c r="E6" s="47" t="s">
        <v>110</v>
      </c>
      <c r="F6" s="47" t="s">
        <v>275</v>
      </c>
      <c r="G6" s="49" t="s">
        <v>111</v>
      </c>
      <c r="H6" s="49" t="s">
        <v>112</v>
      </c>
      <c r="I6" s="49" t="s">
        <v>113</v>
      </c>
      <c r="J6" s="49" t="s">
        <v>142</v>
      </c>
      <c r="K6" s="49" t="s">
        <v>114</v>
      </c>
      <c r="L6" s="51" t="s">
        <v>115</v>
      </c>
      <c r="M6" s="50" t="s">
        <v>116</v>
      </c>
      <c r="N6" s="49" t="s">
        <v>117</v>
      </c>
      <c r="O6" s="49" t="s">
        <v>118</v>
      </c>
      <c r="P6" s="49" t="s">
        <v>119</v>
      </c>
      <c r="Q6" s="49" t="s">
        <v>120</v>
      </c>
      <c r="R6" s="49" t="s">
        <v>121</v>
      </c>
      <c r="S6" s="51" t="s">
        <v>122</v>
      </c>
      <c r="T6" s="819"/>
      <c r="U6" s="819"/>
      <c r="V6" s="817"/>
    </row>
    <row r="7" spans="1:22">
      <c r="A7" s="80">
        <v>1</v>
      </c>
      <c r="B7" s="85" t="s">
        <v>123</v>
      </c>
      <c r="C7" s="150"/>
      <c r="D7" s="148"/>
      <c r="E7" s="148"/>
      <c r="F7" s="148"/>
      <c r="G7" s="148"/>
      <c r="H7" s="148"/>
      <c r="I7" s="148"/>
      <c r="J7" s="148"/>
      <c r="K7" s="148"/>
      <c r="L7" s="151"/>
      <c r="M7" s="150"/>
      <c r="N7" s="148"/>
      <c r="O7" s="148"/>
      <c r="P7" s="148"/>
      <c r="Q7" s="148"/>
      <c r="R7" s="148"/>
      <c r="S7" s="151"/>
      <c r="T7" s="160"/>
      <c r="U7" s="159"/>
      <c r="V7" s="152">
        <f>SUM(C7:S7)</f>
        <v>0</v>
      </c>
    </row>
    <row r="8" spans="1:22">
      <c r="A8" s="80">
        <v>2</v>
      </c>
      <c r="B8" s="85" t="s">
        <v>124</v>
      </c>
      <c r="C8" s="150"/>
      <c r="D8" s="148"/>
      <c r="E8" s="148"/>
      <c r="F8" s="148"/>
      <c r="G8" s="148"/>
      <c r="H8" s="148"/>
      <c r="I8" s="148"/>
      <c r="J8" s="148"/>
      <c r="K8" s="148"/>
      <c r="L8" s="151"/>
      <c r="M8" s="150"/>
      <c r="N8" s="148"/>
      <c r="O8" s="148"/>
      <c r="P8" s="148"/>
      <c r="Q8" s="148"/>
      <c r="R8" s="148"/>
      <c r="S8" s="151"/>
      <c r="T8" s="159"/>
      <c r="U8" s="159"/>
      <c r="V8" s="152">
        <f t="shared" ref="V8:V20" si="0">SUM(C8:S8)</f>
        <v>0</v>
      </c>
    </row>
    <row r="9" spans="1:22">
      <c r="A9" s="80">
        <v>3</v>
      </c>
      <c r="B9" s="85" t="s">
        <v>125</v>
      </c>
      <c r="C9" s="150"/>
      <c r="D9" s="148"/>
      <c r="E9" s="148"/>
      <c r="F9" s="148"/>
      <c r="G9" s="148"/>
      <c r="H9" s="148"/>
      <c r="I9" s="148"/>
      <c r="J9" s="148"/>
      <c r="K9" s="148"/>
      <c r="L9" s="151"/>
      <c r="M9" s="150"/>
      <c r="N9" s="148"/>
      <c r="O9" s="148"/>
      <c r="P9" s="148"/>
      <c r="Q9" s="148"/>
      <c r="R9" s="148"/>
      <c r="S9" s="151"/>
      <c r="T9" s="159"/>
      <c r="U9" s="159"/>
      <c r="V9" s="152">
        <f>SUM(C9:S9)</f>
        <v>0</v>
      </c>
    </row>
    <row r="10" spans="1:22">
      <c r="A10" s="80">
        <v>4</v>
      </c>
      <c r="B10" s="85" t="s">
        <v>126</v>
      </c>
      <c r="C10" s="150"/>
      <c r="D10" s="148"/>
      <c r="E10" s="148"/>
      <c r="F10" s="148"/>
      <c r="G10" s="148"/>
      <c r="H10" s="148"/>
      <c r="I10" s="148"/>
      <c r="J10" s="148"/>
      <c r="K10" s="148"/>
      <c r="L10" s="151"/>
      <c r="M10" s="150"/>
      <c r="N10" s="148"/>
      <c r="O10" s="148"/>
      <c r="P10" s="148"/>
      <c r="Q10" s="148"/>
      <c r="R10" s="148"/>
      <c r="S10" s="151"/>
      <c r="T10" s="159"/>
      <c r="U10" s="159"/>
      <c r="V10" s="152">
        <f t="shared" si="0"/>
        <v>0</v>
      </c>
    </row>
    <row r="11" spans="1:22">
      <c r="A11" s="80">
        <v>5</v>
      </c>
      <c r="B11" s="85" t="s">
        <v>912</v>
      </c>
      <c r="C11" s="150"/>
      <c r="D11" s="148"/>
      <c r="E11" s="148"/>
      <c r="F11" s="148"/>
      <c r="G11" s="148"/>
      <c r="H11" s="148"/>
      <c r="I11" s="148"/>
      <c r="J11" s="148"/>
      <c r="K11" s="148"/>
      <c r="L11" s="151"/>
      <c r="M11" s="150"/>
      <c r="N11" s="148"/>
      <c r="O11" s="148"/>
      <c r="P11" s="148"/>
      <c r="Q11" s="148"/>
      <c r="R11" s="148"/>
      <c r="S11" s="151"/>
      <c r="T11" s="159"/>
      <c r="U11" s="159"/>
      <c r="V11" s="152">
        <f t="shared" si="0"/>
        <v>0</v>
      </c>
    </row>
    <row r="12" spans="1:22">
      <c r="A12" s="80">
        <v>6</v>
      </c>
      <c r="B12" s="85" t="s">
        <v>127</v>
      </c>
      <c r="C12" s="150"/>
      <c r="D12" s="148"/>
      <c r="E12" s="148"/>
      <c r="F12" s="148"/>
      <c r="G12" s="148"/>
      <c r="H12" s="148"/>
      <c r="I12" s="148"/>
      <c r="J12" s="148"/>
      <c r="K12" s="148"/>
      <c r="L12" s="151"/>
      <c r="M12" s="150"/>
      <c r="N12" s="148"/>
      <c r="O12" s="148"/>
      <c r="P12" s="148"/>
      <c r="Q12" s="148"/>
      <c r="R12" s="148"/>
      <c r="S12" s="151"/>
      <c r="T12" s="159"/>
      <c r="U12" s="159"/>
      <c r="V12" s="152">
        <f t="shared" si="0"/>
        <v>0</v>
      </c>
    </row>
    <row r="13" spans="1:22">
      <c r="A13" s="80">
        <v>7</v>
      </c>
      <c r="B13" s="85" t="s">
        <v>71</v>
      </c>
      <c r="C13" s="150"/>
      <c r="D13" s="684">
        <v>48457945.64379999</v>
      </c>
      <c r="E13" s="148"/>
      <c r="F13" s="148"/>
      <c r="G13" s="148"/>
      <c r="H13" s="148"/>
      <c r="I13" s="148"/>
      <c r="J13" s="148"/>
      <c r="K13" s="148"/>
      <c r="L13" s="151"/>
      <c r="M13" s="150"/>
      <c r="N13" s="148"/>
      <c r="O13" s="148"/>
      <c r="P13" s="148"/>
      <c r="Q13" s="148"/>
      <c r="R13" s="148"/>
      <c r="S13" s="151"/>
      <c r="T13" s="159">
        <v>46491983.27139999</v>
      </c>
      <c r="U13" s="159">
        <v>1965962.3724</v>
      </c>
      <c r="V13" s="152">
        <f t="shared" si="0"/>
        <v>48457945.64379999</v>
      </c>
    </row>
    <row r="14" spans="1:22">
      <c r="A14" s="80">
        <v>8</v>
      </c>
      <c r="B14" s="85" t="s">
        <v>72</v>
      </c>
      <c r="C14" s="150"/>
      <c r="D14" s="148"/>
      <c r="E14" s="148"/>
      <c r="F14" s="148"/>
      <c r="G14" s="148"/>
      <c r="H14" s="148"/>
      <c r="I14" s="148"/>
      <c r="J14" s="148"/>
      <c r="K14" s="148"/>
      <c r="L14" s="151"/>
      <c r="M14" s="150"/>
      <c r="N14" s="148"/>
      <c r="O14" s="148"/>
      <c r="P14" s="148"/>
      <c r="Q14" s="148"/>
      <c r="R14" s="148"/>
      <c r="S14" s="151"/>
      <c r="T14" s="159"/>
      <c r="U14" s="159"/>
      <c r="V14" s="152">
        <f t="shared" si="0"/>
        <v>0</v>
      </c>
    </row>
    <row r="15" spans="1:22">
      <c r="A15" s="80">
        <v>9</v>
      </c>
      <c r="B15" s="85" t="s">
        <v>913</v>
      </c>
      <c r="C15" s="150"/>
      <c r="D15" s="148"/>
      <c r="E15" s="148"/>
      <c r="F15" s="148"/>
      <c r="G15" s="148"/>
      <c r="H15" s="148"/>
      <c r="I15" s="148"/>
      <c r="J15" s="148"/>
      <c r="K15" s="148"/>
      <c r="L15" s="151"/>
      <c r="M15" s="150"/>
      <c r="N15" s="148"/>
      <c r="O15" s="148"/>
      <c r="P15" s="148"/>
      <c r="Q15" s="148"/>
      <c r="R15" s="148"/>
      <c r="S15" s="151"/>
      <c r="T15" s="159"/>
      <c r="U15" s="159"/>
      <c r="V15" s="152">
        <f t="shared" si="0"/>
        <v>0</v>
      </c>
    </row>
    <row r="16" spans="1:22">
      <c r="A16" s="80">
        <v>10</v>
      </c>
      <c r="B16" s="85" t="s">
        <v>67</v>
      </c>
      <c r="C16" s="150"/>
      <c r="D16" s="148"/>
      <c r="E16" s="148"/>
      <c r="F16" s="148"/>
      <c r="G16" s="148"/>
      <c r="H16" s="148"/>
      <c r="I16" s="148"/>
      <c r="J16" s="148"/>
      <c r="K16" s="148"/>
      <c r="L16" s="151"/>
      <c r="M16" s="150"/>
      <c r="N16" s="148"/>
      <c r="O16" s="148"/>
      <c r="P16" s="148"/>
      <c r="Q16" s="148"/>
      <c r="R16" s="148"/>
      <c r="S16" s="151"/>
      <c r="T16" s="159"/>
      <c r="U16" s="159"/>
      <c r="V16" s="152">
        <f t="shared" si="0"/>
        <v>0</v>
      </c>
    </row>
    <row r="17" spans="1:22">
      <c r="A17" s="80">
        <v>11</v>
      </c>
      <c r="B17" s="85" t="s">
        <v>68</v>
      </c>
      <c r="C17" s="150"/>
      <c r="D17" s="148"/>
      <c r="E17" s="148"/>
      <c r="F17" s="148"/>
      <c r="G17" s="148"/>
      <c r="H17" s="148"/>
      <c r="I17" s="148"/>
      <c r="J17" s="148"/>
      <c r="K17" s="148"/>
      <c r="L17" s="151"/>
      <c r="M17" s="150"/>
      <c r="N17" s="148"/>
      <c r="O17" s="148"/>
      <c r="P17" s="148"/>
      <c r="Q17" s="148"/>
      <c r="R17" s="148"/>
      <c r="S17" s="151"/>
      <c r="T17" s="159"/>
      <c r="U17" s="159"/>
      <c r="V17" s="152">
        <f t="shared" si="0"/>
        <v>0</v>
      </c>
    </row>
    <row r="18" spans="1:22">
      <c r="A18" s="80">
        <v>12</v>
      </c>
      <c r="B18" s="85" t="s">
        <v>69</v>
      </c>
      <c r="C18" s="150"/>
      <c r="D18" s="148"/>
      <c r="E18" s="148"/>
      <c r="F18" s="148"/>
      <c r="G18" s="148"/>
      <c r="H18" s="148"/>
      <c r="I18" s="148"/>
      <c r="J18" s="148"/>
      <c r="K18" s="148"/>
      <c r="L18" s="151"/>
      <c r="M18" s="150"/>
      <c r="N18" s="148"/>
      <c r="O18" s="148"/>
      <c r="P18" s="148"/>
      <c r="Q18" s="148"/>
      <c r="R18" s="148"/>
      <c r="S18" s="151"/>
      <c r="T18" s="159"/>
      <c r="U18" s="159"/>
      <c r="V18" s="152">
        <f t="shared" si="0"/>
        <v>0</v>
      </c>
    </row>
    <row r="19" spans="1:22">
      <c r="A19" s="80">
        <v>13</v>
      </c>
      <c r="B19" s="85" t="s">
        <v>70</v>
      </c>
      <c r="C19" s="150"/>
      <c r="D19" s="148"/>
      <c r="E19" s="148"/>
      <c r="F19" s="148"/>
      <c r="G19" s="148"/>
      <c r="H19" s="148"/>
      <c r="I19" s="148"/>
      <c r="J19" s="148"/>
      <c r="K19" s="148"/>
      <c r="L19" s="151"/>
      <c r="M19" s="150"/>
      <c r="N19" s="148"/>
      <c r="O19" s="148"/>
      <c r="P19" s="148"/>
      <c r="Q19" s="148"/>
      <c r="R19" s="148"/>
      <c r="S19" s="151"/>
      <c r="T19" s="159"/>
      <c r="U19" s="159"/>
      <c r="V19" s="152">
        <f t="shared" si="0"/>
        <v>0</v>
      </c>
    </row>
    <row r="20" spans="1:22">
      <c r="A20" s="80">
        <v>14</v>
      </c>
      <c r="B20" s="85" t="s">
        <v>143</v>
      </c>
      <c r="C20" s="150"/>
      <c r="D20" s="148"/>
      <c r="E20" s="148"/>
      <c r="F20" s="148"/>
      <c r="G20" s="148"/>
      <c r="H20" s="148"/>
      <c r="I20" s="148"/>
      <c r="J20" s="148"/>
      <c r="K20" s="148"/>
      <c r="L20" s="151"/>
      <c r="M20" s="150"/>
      <c r="N20" s="148"/>
      <c r="O20" s="148"/>
      <c r="P20" s="148"/>
      <c r="Q20" s="148"/>
      <c r="R20" s="148"/>
      <c r="S20" s="151"/>
      <c r="T20" s="159"/>
      <c r="U20" s="159"/>
      <c r="V20" s="152">
        <f t="shared" si="0"/>
        <v>0</v>
      </c>
    </row>
    <row r="21" spans="1:22" ht="14.4" thickBot="1">
      <c r="A21" s="54"/>
      <c r="B21" s="55" t="s">
        <v>66</v>
      </c>
      <c r="C21" s="153">
        <f>SUM(C7:C20)</f>
        <v>0</v>
      </c>
      <c r="D21" s="149">
        <f t="shared" ref="D21:V21" si="1">SUM(D7:D20)</f>
        <v>48457945.64379999</v>
      </c>
      <c r="E21" s="149">
        <f t="shared" si="1"/>
        <v>0</v>
      </c>
      <c r="F21" s="149">
        <f t="shared" si="1"/>
        <v>0</v>
      </c>
      <c r="G21" s="149">
        <f t="shared" si="1"/>
        <v>0</v>
      </c>
      <c r="H21" s="149">
        <f t="shared" si="1"/>
        <v>0</v>
      </c>
      <c r="I21" s="149">
        <f t="shared" si="1"/>
        <v>0</v>
      </c>
      <c r="J21" s="149">
        <f t="shared" si="1"/>
        <v>0</v>
      </c>
      <c r="K21" s="149">
        <f t="shared" si="1"/>
        <v>0</v>
      </c>
      <c r="L21" s="154">
        <f t="shared" si="1"/>
        <v>0</v>
      </c>
      <c r="M21" s="153">
        <f t="shared" si="1"/>
        <v>0</v>
      </c>
      <c r="N21" s="149">
        <f t="shared" si="1"/>
        <v>0</v>
      </c>
      <c r="O21" s="149">
        <f t="shared" si="1"/>
        <v>0</v>
      </c>
      <c r="P21" s="149">
        <f t="shared" si="1"/>
        <v>0</v>
      </c>
      <c r="Q21" s="149">
        <f t="shared" si="1"/>
        <v>0</v>
      </c>
      <c r="R21" s="149">
        <f t="shared" si="1"/>
        <v>0</v>
      </c>
      <c r="S21" s="154">
        <f t="shared" si="1"/>
        <v>0</v>
      </c>
      <c r="T21" s="154">
        <f>SUM(T7:T20)</f>
        <v>46491983.27139999</v>
      </c>
      <c r="U21" s="154">
        <f t="shared" si="1"/>
        <v>1965962.3724</v>
      </c>
      <c r="V21" s="155">
        <f t="shared" si="1"/>
        <v>48457945.64379999</v>
      </c>
    </row>
    <row r="24" spans="1:22">
      <c r="C24" s="33"/>
      <c r="D24" s="33"/>
      <c r="E24" s="33"/>
    </row>
    <row r="25" spans="1:22">
      <c r="A25" s="29"/>
      <c r="B25" s="29"/>
      <c r="D25" s="33"/>
      <c r="E25" s="33"/>
    </row>
    <row r="26" spans="1:22">
      <c r="A26" s="29"/>
      <c r="B26" s="48"/>
      <c r="D26" s="33"/>
      <c r="E26" s="33"/>
    </row>
    <row r="27" spans="1:22">
      <c r="A27" s="29"/>
      <c r="B27" s="29"/>
      <c r="D27" s="33"/>
      <c r="E27" s="33"/>
    </row>
    <row r="28" spans="1:22">
      <c r="A28" s="29"/>
      <c r="B28" s="48"/>
      <c r="D28" s="33"/>
      <c r="E28" s="33"/>
    </row>
  </sheetData>
  <mergeCells count="5">
    <mergeCell ref="C5:L5"/>
    <mergeCell ref="M5:S5"/>
    <mergeCell ref="V5:V6"/>
    <mergeCell ref="T5:T6"/>
    <mergeCell ref="U5:U6"/>
  </mergeCells>
  <pageMargins left="0.7" right="0.7" top="0.75" bottom="0.75" header="0.3" footer="0.3"/>
  <pageSetup paperSize="9" orientation="portrait" r:id="rId1"/>
  <headerFooter>
    <oddFooter>&amp;C_x000D_&amp;1#&amp;"Calibri"&amp;10&amp;K000000 C1 - FOR 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F28" sqref="F28"/>
    </sheetView>
  </sheetViews>
  <sheetFormatPr defaultColWidth="9.21875" defaultRowHeight="13.8"/>
  <cols>
    <col min="1" max="1" width="10.5546875" style="1" bestFit="1" customWidth="1"/>
    <col min="2" max="2" width="101.77734375" style="1" customWidth="1"/>
    <col min="3" max="3" width="13.77734375" style="1" customWidth="1"/>
    <col min="4" max="4" width="14.77734375" style="1" bestFit="1" customWidth="1"/>
    <col min="5" max="5" width="17.77734375" style="1" customWidth="1"/>
    <col min="6" max="6" width="15.77734375" style="1" customWidth="1"/>
    <col min="7" max="7" width="17.44140625" style="1" customWidth="1"/>
    <col min="8" max="8" width="15.21875" style="1" customWidth="1"/>
    <col min="9" max="16384" width="9.21875" style="8"/>
  </cols>
  <sheetData>
    <row r="1" spans="1:9">
      <c r="A1" s="1" t="s">
        <v>97</v>
      </c>
      <c r="B1" s="1" t="str">
        <f>Info!C2</f>
        <v>სს " პაშა ბანკი საქართველო"</v>
      </c>
    </row>
    <row r="2" spans="1:9">
      <c r="A2" s="1" t="s">
        <v>98</v>
      </c>
      <c r="B2" s="278">
        <f>'1. key ratios'!B2</f>
        <v>45747</v>
      </c>
    </row>
    <row r="4" spans="1:9" ht="14.4" thickBot="1">
      <c r="A4" s="1" t="s">
        <v>250</v>
      </c>
      <c r="B4" s="22" t="s">
        <v>284</v>
      </c>
    </row>
    <row r="5" spans="1:9">
      <c r="A5" s="52"/>
      <c r="B5" s="78"/>
      <c r="C5" s="82" t="s">
        <v>0</v>
      </c>
      <c r="D5" s="82" t="s">
        <v>1</v>
      </c>
      <c r="E5" s="82" t="s">
        <v>2</v>
      </c>
      <c r="F5" s="82" t="s">
        <v>3</v>
      </c>
      <c r="G5" s="158" t="s">
        <v>4</v>
      </c>
      <c r="H5" s="83" t="s">
        <v>5</v>
      </c>
      <c r="I5" s="18"/>
    </row>
    <row r="6" spans="1:9" ht="15" customHeight="1">
      <c r="A6" s="77"/>
      <c r="B6" s="16"/>
      <c r="C6" s="811" t="s">
        <v>276</v>
      </c>
      <c r="D6" s="822" t="s">
        <v>297</v>
      </c>
      <c r="E6" s="823"/>
      <c r="F6" s="811" t="s">
        <v>303</v>
      </c>
      <c r="G6" s="811" t="s">
        <v>304</v>
      </c>
      <c r="H6" s="820" t="s">
        <v>278</v>
      </c>
      <c r="I6" s="18"/>
    </row>
    <row r="7" spans="1:9" ht="69">
      <c r="A7" s="77"/>
      <c r="B7" s="16"/>
      <c r="C7" s="812"/>
      <c r="D7" s="161" t="s">
        <v>279</v>
      </c>
      <c r="E7" s="161" t="s">
        <v>277</v>
      </c>
      <c r="F7" s="812"/>
      <c r="G7" s="812"/>
      <c r="H7" s="821"/>
      <c r="I7" s="18"/>
    </row>
    <row r="8" spans="1:9">
      <c r="A8" s="45">
        <v>1</v>
      </c>
      <c r="B8" s="85" t="s">
        <v>123</v>
      </c>
      <c r="C8" s="148">
        <v>94762783.471699998</v>
      </c>
      <c r="D8" s="148"/>
      <c r="E8" s="148"/>
      <c r="F8" s="148">
        <v>63034700.241700001</v>
      </c>
      <c r="G8" s="157">
        <v>63034700.241700001</v>
      </c>
      <c r="H8" s="164">
        <f>G8/(C8+E8)</f>
        <v>0.66518413592742043</v>
      </c>
    </row>
    <row r="9" spans="1:9" ht="15" customHeight="1">
      <c r="A9" s="45">
        <v>2</v>
      </c>
      <c r="B9" s="85" t="s">
        <v>124</v>
      </c>
      <c r="C9" s="148">
        <v>0</v>
      </c>
      <c r="D9" s="148"/>
      <c r="E9" s="148"/>
      <c r="F9" s="148">
        <v>0</v>
      </c>
      <c r="G9" s="157">
        <v>0</v>
      </c>
      <c r="H9" s="164" t="e">
        <f t="shared" ref="H9:H21" si="0">G9/(C9+E9)</f>
        <v>#DIV/0!</v>
      </c>
    </row>
    <row r="10" spans="1:9">
      <c r="A10" s="45">
        <v>3</v>
      </c>
      <c r="B10" s="85" t="s">
        <v>125</v>
      </c>
      <c r="C10" s="148">
        <v>0</v>
      </c>
      <c r="D10" s="148"/>
      <c r="E10" s="148"/>
      <c r="F10" s="148">
        <v>0</v>
      </c>
      <c r="G10" s="157">
        <v>0</v>
      </c>
      <c r="H10" s="164" t="e">
        <f t="shared" si="0"/>
        <v>#DIV/0!</v>
      </c>
    </row>
    <row r="11" spans="1:9">
      <c r="A11" s="45">
        <v>4</v>
      </c>
      <c r="B11" s="85" t="s">
        <v>126</v>
      </c>
      <c r="C11" s="148">
        <v>0</v>
      </c>
      <c r="D11" s="148"/>
      <c r="E11" s="148"/>
      <c r="F11" s="148">
        <v>0</v>
      </c>
      <c r="G11" s="157">
        <v>0</v>
      </c>
      <c r="H11" s="164" t="e">
        <f t="shared" si="0"/>
        <v>#DIV/0!</v>
      </c>
    </row>
    <row r="12" spans="1:9">
      <c r="A12" s="45">
        <v>5</v>
      </c>
      <c r="B12" s="85" t="s">
        <v>912</v>
      </c>
      <c r="C12" s="148">
        <v>0</v>
      </c>
      <c r="D12" s="148"/>
      <c r="E12" s="148"/>
      <c r="F12" s="148">
        <v>0</v>
      </c>
      <c r="G12" s="157">
        <v>0</v>
      </c>
      <c r="H12" s="164" t="e">
        <f t="shared" si="0"/>
        <v>#DIV/0!</v>
      </c>
    </row>
    <row r="13" spans="1:9">
      <c r="A13" s="45">
        <v>6</v>
      </c>
      <c r="B13" s="85" t="s">
        <v>127</v>
      </c>
      <c r="C13" s="148">
        <v>148504973.47759998</v>
      </c>
      <c r="D13" s="148">
        <v>1389756.027</v>
      </c>
      <c r="E13" s="148">
        <v>694878.01340000005</v>
      </c>
      <c r="F13" s="148">
        <v>45632798.950290009</v>
      </c>
      <c r="G13" s="157">
        <v>45632798.950290009</v>
      </c>
      <c r="H13" s="164">
        <f t="shared" si="0"/>
        <v>0.30585016334981185</v>
      </c>
    </row>
    <row r="14" spans="1:9">
      <c r="A14" s="45">
        <v>7</v>
      </c>
      <c r="B14" s="85" t="s">
        <v>71</v>
      </c>
      <c r="C14" s="148">
        <v>404060780.19369996</v>
      </c>
      <c r="D14" s="148">
        <v>75221372.824300006</v>
      </c>
      <c r="E14" s="148">
        <v>34122774.193700001</v>
      </c>
      <c r="F14" s="148">
        <v>438183554.38739997</v>
      </c>
      <c r="G14" s="157">
        <v>389725608.74360001</v>
      </c>
      <c r="H14" s="164">
        <f>G14/(C14+E14)</f>
        <v>0.88941176555211821</v>
      </c>
    </row>
    <row r="15" spans="1:9">
      <c r="A15" s="45">
        <v>8</v>
      </c>
      <c r="B15" s="85" t="s">
        <v>72</v>
      </c>
      <c r="C15" s="148">
        <v>0</v>
      </c>
      <c r="D15" s="148">
        <v>1498858.7884</v>
      </c>
      <c r="E15" s="148">
        <v>302159.39409999998</v>
      </c>
      <c r="F15" s="148">
        <v>302159.39409999998</v>
      </c>
      <c r="G15" s="157">
        <v>302159.39409999998</v>
      </c>
      <c r="H15" s="164">
        <f t="shared" si="0"/>
        <v>1</v>
      </c>
    </row>
    <row r="16" spans="1:9">
      <c r="A16" s="45">
        <v>9</v>
      </c>
      <c r="B16" s="85" t="s">
        <v>913</v>
      </c>
      <c r="C16" s="148">
        <v>0</v>
      </c>
      <c r="D16" s="148">
        <v>0</v>
      </c>
      <c r="E16" s="148">
        <v>0</v>
      </c>
      <c r="F16" s="148">
        <v>0</v>
      </c>
      <c r="G16" s="157">
        <v>0</v>
      </c>
      <c r="H16" s="164" t="e">
        <f t="shared" si="0"/>
        <v>#DIV/0!</v>
      </c>
    </row>
    <row r="17" spans="1:8">
      <c r="A17" s="45">
        <v>10</v>
      </c>
      <c r="B17" s="85" t="s">
        <v>67</v>
      </c>
      <c r="C17" s="148">
        <v>15953891.2305</v>
      </c>
      <c r="D17" s="148"/>
      <c r="E17" s="148"/>
      <c r="F17" s="148">
        <v>21744533.957599998</v>
      </c>
      <c r="G17" s="157">
        <v>21744533.957599998</v>
      </c>
      <c r="H17" s="164">
        <f t="shared" si="0"/>
        <v>1.3629611511973758</v>
      </c>
    </row>
    <row r="18" spans="1:8">
      <c r="A18" s="45">
        <v>11</v>
      </c>
      <c r="B18" s="85" t="s">
        <v>68</v>
      </c>
      <c r="C18" s="148">
        <v>0</v>
      </c>
      <c r="D18" s="148"/>
      <c r="E18" s="148"/>
      <c r="F18" s="148">
        <v>0</v>
      </c>
      <c r="G18" s="157">
        <v>0</v>
      </c>
      <c r="H18" s="164" t="e">
        <f t="shared" si="0"/>
        <v>#DIV/0!</v>
      </c>
    </row>
    <row r="19" spans="1:8">
      <c r="A19" s="45">
        <v>12</v>
      </c>
      <c r="B19" s="85" t="s">
        <v>69</v>
      </c>
      <c r="C19" s="148">
        <v>0</v>
      </c>
      <c r="D19" s="148"/>
      <c r="E19" s="148"/>
      <c r="F19" s="148">
        <v>0</v>
      </c>
      <c r="G19" s="157">
        <v>0</v>
      </c>
      <c r="H19" s="164" t="e">
        <f t="shared" si="0"/>
        <v>#DIV/0!</v>
      </c>
    </row>
    <row r="20" spans="1:8">
      <c r="A20" s="45">
        <v>13</v>
      </c>
      <c r="B20" s="85" t="s">
        <v>70</v>
      </c>
      <c r="C20" s="148">
        <v>0</v>
      </c>
      <c r="D20" s="148"/>
      <c r="E20" s="148"/>
      <c r="F20" s="148">
        <v>0</v>
      </c>
      <c r="G20" s="157">
        <v>0</v>
      </c>
      <c r="H20" s="164" t="e">
        <f t="shared" si="0"/>
        <v>#DIV/0!</v>
      </c>
    </row>
    <row r="21" spans="1:8">
      <c r="A21" s="45">
        <v>14</v>
      </c>
      <c r="B21" s="85" t="s">
        <v>143</v>
      </c>
      <c r="C21" s="148">
        <v>29566696.703599997</v>
      </c>
      <c r="D21" s="148"/>
      <c r="E21" s="148"/>
      <c r="F21" s="148">
        <v>26128093.6459</v>
      </c>
      <c r="G21" s="157">
        <v>26128093.6459</v>
      </c>
      <c r="H21" s="164">
        <f t="shared" si="0"/>
        <v>0.88370012747209203</v>
      </c>
    </row>
    <row r="22" spans="1:8" ht="14.4" thickBot="1">
      <c r="A22" s="79"/>
      <c r="B22" s="84" t="s">
        <v>66</v>
      </c>
      <c r="C22" s="149">
        <f>SUM(C8:C21)</f>
        <v>692849125.07709992</v>
      </c>
      <c r="D22" s="149">
        <f>SUM(D8:D21)</f>
        <v>78109987.639699996</v>
      </c>
      <c r="E22" s="149">
        <f>SUM(E8:E21)</f>
        <v>35119811.601200007</v>
      </c>
      <c r="F22" s="149">
        <f>SUM(F8:F21)</f>
        <v>595025840.57699001</v>
      </c>
      <c r="G22" s="149">
        <f>SUM(G8:G21)</f>
        <v>546567894.93318999</v>
      </c>
      <c r="H22" s="165">
        <f>G22/(C22+E22)</f>
        <v>0.75081211215847021</v>
      </c>
    </row>
    <row r="28" spans="1:8" ht="10.5" customHeight="1"/>
  </sheetData>
  <mergeCells count="5">
    <mergeCell ref="C6:C7"/>
    <mergeCell ref="F6:F7"/>
    <mergeCell ref="G6:G7"/>
    <mergeCell ref="H6:H7"/>
    <mergeCell ref="D6:E6"/>
  </mergeCells>
  <pageMargins left="0.7" right="0.7" top="0.75" bottom="0.75" header="0.3" footer="0.3"/>
  <headerFooter>
    <oddFooter>&amp;C_x000D_&amp;1#&amp;"Calibri"&amp;10&amp;K000000 C1 - FOR INTERNAL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C34" sqref="C34"/>
    </sheetView>
  </sheetViews>
  <sheetFormatPr defaultColWidth="9.21875" defaultRowHeight="13.8"/>
  <cols>
    <col min="1" max="1" width="10.5546875" style="1" bestFit="1" customWidth="1"/>
    <col min="2" max="2" width="104.21875" style="1" customWidth="1"/>
    <col min="3" max="11" width="12.77734375" style="1" customWidth="1"/>
    <col min="12" max="16384" width="9.21875" style="1"/>
  </cols>
  <sheetData>
    <row r="1" spans="1:11">
      <c r="A1" s="1" t="s">
        <v>97</v>
      </c>
      <c r="B1" s="1" t="str">
        <f>Info!C2</f>
        <v>სს " პაშა ბანკი საქართველო"</v>
      </c>
    </row>
    <row r="2" spans="1:11">
      <c r="A2" s="1" t="s">
        <v>98</v>
      </c>
      <c r="B2" s="278">
        <f>'1. key ratios'!B2</f>
        <v>45747</v>
      </c>
    </row>
    <row r="4" spans="1:11" ht="14.4" thickBot="1">
      <c r="A4" s="1" t="s">
        <v>340</v>
      </c>
      <c r="B4" s="22" t="s">
        <v>339</v>
      </c>
    </row>
    <row r="5" spans="1:11" ht="30" customHeight="1">
      <c r="A5" s="827"/>
      <c r="B5" s="828"/>
      <c r="C5" s="825" t="s">
        <v>372</v>
      </c>
      <c r="D5" s="825"/>
      <c r="E5" s="825"/>
      <c r="F5" s="825" t="s">
        <v>373</v>
      </c>
      <c r="G5" s="825"/>
      <c r="H5" s="825"/>
      <c r="I5" s="825" t="s">
        <v>374</v>
      </c>
      <c r="J5" s="825"/>
      <c r="K5" s="826"/>
    </row>
    <row r="6" spans="1:11">
      <c r="A6" s="186"/>
      <c r="B6" s="686"/>
      <c r="C6" s="687" t="s">
        <v>26</v>
      </c>
      <c r="D6" s="687" t="s">
        <v>79</v>
      </c>
      <c r="E6" s="687" t="s">
        <v>66</v>
      </c>
      <c r="F6" s="687" t="s">
        <v>26</v>
      </c>
      <c r="G6" s="687" t="s">
        <v>79</v>
      </c>
      <c r="H6" s="687" t="s">
        <v>66</v>
      </c>
      <c r="I6" s="687" t="s">
        <v>26</v>
      </c>
      <c r="J6" s="687" t="s">
        <v>79</v>
      </c>
      <c r="K6" s="688" t="s">
        <v>66</v>
      </c>
    </row>
    <row r="7" spans="1:11">
      <c r="A7" s="188" t="s">
        <v>310</v>
      </c>
      <c r="B7" s="689"/>
      <c r="C7" s="689"/>
      <c r="D7" s="689"/>
      <c r="E7" s="689"/>
      <c r="F7" s="689"/>
      <c r="G7" s="689"/>
      <c r="H7" s="689"/>
      <c r="I7" s="689"/>
      <c r="J7" s="689"/>
      <c r="K7" s="189"/>
    </row>
    <row r="8" spans="1:11">
      <c r="A8" s="185">
        <v>1</v>
      </c>
      <c r="B8" s="173" t="s">
        <v>310</v>
      </c>
      <c r="C8" s="171"/>
      <c r="D8" s="171"/>
      <c r="E8" s="171"/>
      <c r="F8" s="174">
        <v>57909013.729232192</v>
      </c>
      <c r="G8" s="174">
        <v>166637168.08273447</v>
      </c>
      <c r="H8" s="174">
        <v>224546181.81196672</v>
      </c>
      <c r="I8" s="174">
        <v>58986102.879999995</v>
      </c>
      <c r="J8" s="174">
        <v>66029083.649400003</v>
      </c>
      <c r="K8" s="177">
        <v>125015186.52939999</v>
      </c>
    </row>
    <row r="9" spans="1:11">
      <c r="A9" s="188" t="s">
        <v>311</v>
      </c>
      <c r="B9" s="689"/>
      <c r="C9" s="689"/>
      <c r="D9" s="689"/>
      <c r="E9" s="689"/>
      <c r="F9" s="689"/>
      <c r="G9" s="689"/>
      <c r="H9" s="689"/>
      <c r="I9" s="689"/>
      <c r="J9" s="689"/>
      <c r="K9" s="189"/>
    </row>
    <row r="10" spans="1:11">
      <c r="A10" s="690">
        <v>2</v>
      </c>
      <c r="B10" s="691" t="s">
        <v>312</v>
      </c>
      <c r="C10" s="691">
        <v>12958267.198777778</v>
      </c>
      <c r="D10" s="692">
        <v>63784704.354142256</v>
      </c>
      <c r="E10" s="692">
        <v>76742971.552920029</v>
      </c>
      <c r="F10" s="692">
        <v>1353941.0502583331</v>
      </c>
      <c r="G10" s="692">
        <v>18174360.66947059</v>
      </c>
      <c r="H10" s="692">
        <v>19528301.719728932</v>
      </c>
      <c r="I10" s="692">
        <v>340702.87600000005</v>
      </c>
      <c r="J10" s="692">
        <v>4076365.5529450001</v>
      </c>
      <c r="K10" s="693">
        <v>4417068.4289449994</v>
      </c>
    </row>
    <row r="11" spans="1:11">
      <c r="A11" s="690">
        <v>3</v>
      </c>
      <c r="B11" s="691" t="s">
        <v>313</v>
      </c>
      <c r="C11" s="691">
        <v>104881776.05360004</v>
      </c>
      <c r="D11" s="692">
        <v>336985321.0676803</v>
      </c>
      <c r="E11" s="692">
        <v>441867097.12128007</v>
      </c>
      <c r="F11" s="692">
        <v>37490533.631152749</v>
      </c>
      <c r="G11" s="692">
        <v>107667428.34172896</v>
      </c>
      <c r="H11" s="692">
        <v>145157961.97288173</v>
      </c>
      <c r="I11" s="692">
        <v>23378510.780222222</v>
      </c>
      <c r="J11" s="692">
        <v>54531189.960927732</v>
      </c>
      <c r="K11" s="693">
        <v>77909700.741149977</v>
      </c>
    </row>
    <row r="12" spans="1:11">
      <c r="A12" s="690">
        <v>4</v>
      </c>
      <c r="B12" s="691" t="s">
        <v>314</v>
      </c>
      <c r="C12" s="691">
        <v>18144444.444444444</v>
      </c>
      <c r="D12" s="692">
        <v>0</v>
      </c>
      <c r="E12" s="692">
        <v>18144444.444444444</v>
      </c>
      <c r="F12" s="692">
        <v>0</v>
      </c>
      <c r="G12" s="692">
        <v>0</v>
      </c>
      <c r="H12" s="692">
        <v>0</v>
      </c>
      <c r="I12" s="692">
        <v>0</v>
      </c>
      <c r="J12" s="692">
        <v>0</v>
      </c>
      <c r="K12" s="693">
        <v>0</v>
      </c>
    </row>
    <row r="13" spans="1:11">
      <c r="A13" s="690">
        <v>5</v>
      </c>
      <c r="B13" s="691" t="s">
        <v>315</v>
      </c>
      <c r="C13" s="691">
        <v>28386117.009999987</v>
      </c>
      <c r="D13" s="692">
        <v>54650791.577657744</v>
      </c>
      <c r="E13" s="692">
        <v>83036908.58765772</v>
      </c>
      <c r="F13" s="692">
        <v>5692588.6864722222</v>
      </c>
      <c r="G13" s="692">
        <v>13391759.736573972</v>
      </c>
      <c r="H13" s="692">
        <v>19084348.423046198</v>
      </c>
      <c r="I13" s="692">
        <v>1896310.7734999999</v>
      </c>
      <c r="J13" s="692">
        <v>4412975.3057849994</v>
      </c>
      <c r="K13" s="693">
        <v>6309286.0792849995</v>
      </c>
    </row>
    <row r="14" spans="1:11">
      <c r="A14" s="690">
        <v>6</v>
      </c>
      <c r="B14" s="691" t="s">
        <v>330</v>
      </c>
      <c r="C14" s="691">
        <v>0</v>
      </c>
      <c r="D14" s="692">
        <v>0</v>
      </c>
      <c r="E14" s="692">
        <v>0</v>
      </c>
      <c r="F14" s="692">
        <v>0</v>
      </c>
      <c r="G14" s="692">
        <v>0</v>
      </c>
      <c r="H14" s="692">
        <v>0</v>
      </c>
      <c r="I14" s="692">
        <v>0</v>
      </c>
      <c r="J14" s="692">
        <v>0</v>
      </c>
      <c r="K14" s="693">
        <v>0</v>
      </c>
    </row>
    <row r="15" spans="1:11">
      <c r="A15" s="690">
        <v>7</v>
      </c>
      <c r="B15" s="691" t="s">
        <v>317</v>
      </c>
      <c r="C15" s="691">
        <v>8263147.3873333344</v>
      </c>
      <c r="D15" s="692">
        <v>8197156.822227777</v>
      </c>
      <c r="E15" s="692">
        <v>16460304.209561111</v>
      </c>
      <c r="F15" s="692">
        <v>4792241.6620000014</v>
      </c>
      <c r="G15" s="692">
        <v>2196717.4518644451</v>
      </c>
      <c r="H15" s="692">
        <v>6988959.113864447</v>
      </c>
      <c r="I15" s="692">
        <v>5589424.2800000003</v>
      </c>
      <c r="J15" s="692">
        <v>425602.79979999998</v>
      </c>
      <c r="K15" s="693">
        <v>6015027.0798000004</v>
      </c>
    </row>
    <row r="16" spans="1:11">
      <c r="A16" s="690">
        <v>8</v>
      </c>
      <c r="B16" s="694" t="s">
        <v>318</v>
      </c>
      <c r="C16" s="705">
        <f t="shared" ref="C16:K16" si="0">SUM(C10:C15)</f>
        <v>172633752.09415558</v>
      </c>
      <c r="D16" s="705">
        <f t="shared" si="0"/>
        <v>463617973.82170808</v>
      </c>
      <c r="E16" s="705">
        <f t="shared" si="0"/>
        <v>636251725.91586339</v>
      </c>
      <c r="F16" s="705">
        <f t="shared" si="0"/>
        <v>49329305.029883303</v>
      </c>
      <c r="G16" s="705">
        <f t="shared" si="0"/>
        <v>141430266.19963798</v>
      </c>
      <c r="H16" s="705">
        <f t="shared" si="0"/>
        <v>190759571.22952133</v>
      </c>
      <c r="I16" s="705">
        <f t="shared" si="0"/>
        <v>31204948.709722221</v>
      </c>
      <c r="J16" s="705">
        <f t="shared" si="0"/>
        <v>63446133.619457737</v>
      </c>
      <c r="K16" s="705">
        <f t="shared" si="0"/>
        <v>94651082.329179972</v>
      </c>
    </row>
    <row r="17" spans="1:11">
      <c r="A17" s="188" t="s">
        <v>319</v>
      </c>
      <c r="B17" s="689"/>
      <c r="C17" s="689"/>
      <c r="D17" s="689"/>
      <c r="E17" s="689"/>
      <c r="F17" s="689"/>
      <c r="G17" s="689"/>
      <c r="H17" s="689"/>
      <c r="I17" s="689"/>
      <c r="J17" s="689"/>
      <c r="K17" s="189"/>
    </row>
    <row r="18" spans="1:11">
      <c r="A18" s="690">
        <v>9</v>
      </c>
      <c r="B18" s="691" t="s">
        <v>320</v>
      </c>
      <c r="C18" s="691">
        <v>0</v>
      </c>
      <c r="D18" s="692">
        <v>0</v>
      </c>
      <c r="E18" s="692">
        <v>0</v>
      </c>
      <c r="F18" s="692">
        <v>0</v>
      </c>
      <c r="G18" s="692">
        <v>0</v>
      </c>
      <c r="H18" s="692">
        <v>0</v>
      </c>
      <c r="I18" s="692">
        <v>0</v>
      </c>
      <c r="J18" s="692">
        <v>0</v>
      </c>
      <c r="K18" s="693">
        <v>0</v>
      </c>
    </row>
    <row r="19" spans="1:11">
      <c r="A19" s="690">
        <v>10</v>
      </c>
      <c r="B19" s="691" t="s">
        <v>321</v>
      </c>
      <c r="C19" s="691">
        <v>175467259.09936592</v>
      </c>
      <c r="D19" s="692">
        <v>299733424.39017111</v>
      </c>
      <c r="E19" s="692">
        <v>475200683.48953688</v>
      </c>
      <c r="F19" s="692">
        <v>2924281.5888168765</v>
      </c>
      <c r="G19" s="692">
        <v>2676141.8139055115</v>
      </c>
      <c r="H19" s="692">
        <v>5600423.4027223894</v>
      </c>
      <c r="I19" s="692">
        <v>17184662.5962</v>
      </c>
      <c r="J19" s="692">
        <v>117256362.26924999</v>
      </c>
      <c r="K19" s="693">
        <v>134441024.86544997</v>
      </c>
    </row>
    <row r="20" spans="1:11">
      <c r="A20" s="690">
        <v>11</v>
      </c>
      <c r="B20" s="691" t="s">
        <v>322</v>
      </c>
      <c r="C20" s="691">
        <v>33223283.088458888</v>
      </c>
      <c r="D20" s="692">
        <v>6654766.5737699997</v>
      </c>
      <c r="E20" s="692">
        <v>39878049.662228897</v>
      </c>
      <c r="F20" s="692">
        <v>0</v>
      </c>
      <c r="G20" s="692">
        <v>821948.13085444435</v>
      </c>
      <c r="H20" s="692">
        <v>821948.13085444435</v>
      </c>
      <c r="I20" s="692">
        <v>0</v>
      </c>
      <c r="J20" s="692">
        <v>3204777.4074999997</v>
      </c>
      <c r="K20" s="693">
        <v>3204777.4074999997</v>
      </c>
    </row>
    <row r="21" spans="1:11" ht="14.4" thickBot="1">
      <c r="A21" s="695">
        <v>12</v>
      </c>
      <c r="B21" s="696" t="s">
        <v>323</v>
      </c>
      <c r="C21" s="697">
        <f>SUM(C18:C20)</f>
        <v>208690542.18782482</v>
      </c>
      <c r="D21" s="697">
        <f t="shared" ref="D21:K21" si="1">SUM(D18:D20)</f>
        <v>306388190.9639411</v>
      </c>
      <c r="E21" s="697">
        <f t="shared" si="1"/>
        <v>515078733.15176576</v>
      </c>
      <c r="F21" s="697">
        <f t="shared" si="1"/>
        <v>2924281.5888168765</v>
      </c>
      <c r="G21" s="697">
        <f t="shared" si="1"/>
        <v>3498089.9447599556</v>
      </c>
      <c r="H21" s="697">
        <f t="shared" si="1"/>
        <v>6422371.533576834</v>
      </c>
      <c r="I21" s="697">
        <f t="shared" si="1"/>
        <v>17184662.5962</v>
      </c>
      <c r="J21" s="697">
        <f t="shared" si="1"/>
        <v>120461139.67674999</v>
      </c>
      <c r="K21" s="697">
        <f t="shared" si="1"/>
        <v>137645802.27294996</v>
      </c>
    </row>
    <row r="22" spans="1:11" ht="38.25" customHeight="1" thickBot="1">
      <c r="A22" s="184"/>
      <c r="B22" s="698"/>
      <c r="C22" s="698"/>
      <c r="D22" s="698"/>
      <c r="E22" s="698"/>
      <c r="F22" s="824" t="s">
        <v>324</v>
      </c>
      <c r="G22" s="825"/>
      <c r="H22" s="825"/>
      <c r="I22" s="824" t="s">
        <v>325</v>
      </c>
      <c r="J22" s="825"/>
      <c r="K22" s="826"/>
    </row>
    <row r="23" spans="1:11">
      <c r="A23" s="178">
        <v>13</v>
      </c>
      <c r="B23" s="175" t="s">
        <v>310</v>
      </c>
      <c r="C23" s="183"/>
      <c r="D23" s="183"/>
      <c r="E23" s="183"/>
      <c r="F23" s="701">
        <f>F8</f>
        <v>57909013.729232192</v>
      </c>
      <c r="G23" s="701">
        <f t="shared" ref="G23:H23" si="2">G8</f>
        <v>166637168.08273447</v>
      </c>
      <c r="H23" s="701">
        <f t="shared" si="2"/>
        <v>224546181.81196672</v>
      </c>
      <c r="I23" s="701">
        <f>I8</f>
        <v>58986102.879999995</v>
      </c>
      <c r="J23" s="701">
        <f t="shared" ref="J23:K23" si="3">J8</f>
        <v>66029083.649400003</v>
      </c>
      <c r="K23" s="702">
        <f t="shared" si="3"/>
        <v>125015186.52939999</v>
      </c>
    </row>
    <row r="24" spans="1:11" ht="14.4" thickBot="1">
      <c r="A24" s="179">
        <v>14</v>
      </c>
      <c r="B24" s="699" t="s">
        <v>326</v>
      </c>
      <c r="C24" s="190"/>
      <c r="D24" s="182"/>
      <c r="E24" s="313"/>
      <c r="F24" s="703">
        <f>MAX(F16-F21,F16*0.25)</f>
        <v>46405023.441066429</v>
      </c>
      <c r="G24" s="703">
        <f t="shared" ref="G24:H24" si="4">MAX(G16-G21,G16*0.25)</f>
        <v>137932176.25487801</v>
      </c>
      <c r="H24" s="703">
        <f t="shared" si="4"/>
        <v>184337199.69594449</v>
      </c>
      <c r="I24" s="703">
        <f>MAX(I16-I21,I16*0.25)</f>
        <v>14020286.11352222</v>
      </c>
      <c r="J24" s="703">
        <f t="shared" ref="J24:K24" si="5">MAX(J16-J21,J16*0.25)</f>
        <v>15861533.404864434</v>
      </c>
      <c r="K24" s="704">
        <f t="shared" si="5"/>
        <v>23662770.582294993</v>
      </c>
    </row>
    <row r="25" spans="1:11" ht="14.4" thickBot="1">
      <c r="A25" s="180">
        <v>15</v>
      </c>
      <c r="B25" s="176" t="s">
        <v>327</v>
      </c>
      <c r="C25" s="181"/>
      <c r="D25" s="181"/>
      <c r="E25" s="181"/>
      <c r="F25" s="700">
        <f>F23/F24</f>
        <v>1.2479039861444232</v>
      </c>
      <c r="G25" s="700">
        <f t="shared" ref="G25:H25" si="6">G23/G24</f>
        <v>1.2081094680534434</v>
      </c>
      <c r="H25" s="700">
        <f t="shared" si="6"/>
        <v>1.2181273350270323</v>
      </c>
      <c r="I25" s="700">
        <f>I23/I24</f>
        <v>4.2071968005780818</v>
      </c>
      <c r="J25" s="700">
        <f t="shared" ref="J25:K25" si="7">J23/J24</f>
        <v>4.1628436522505528</v>
      </c>
      <c r="K25" s="700">
        <f t="shared" si="7"/>
        <v>5.283201563173634</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Footer>&amp;C_x000D_&amp;1#&amp;"Calibri"&amp;10&amp;K000000 C1 - FOR INTERNAL USE ONLY</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D2" sqref="D2"/>
    </sheetView>
  </sheetViews>
  <sheetFormatPr defaultColWidth="9.21875" defaultRowHeight="13.8"/>
  <cols>
    <col min="1" max="1" width="10.5546875" style="31" bestFit="1" customWidth="1"/>
    <col min="2" max="2" width="95" style="31" customWidth="1"/>
    <col min="3" max="9" width="15" style="31" customWidth="1"/>
    <col min="10" max="14" width="18.5546875" style="31" customWidth="1"/>
    <col min="15" max="17" width="18.5546875" style="8" customWidth="1"/>
    <col min="18" max="16384" width="9.21875" style="8"/>
  </cols>
  <sheetData>
    <row r="1" spans="1:17">
      <c r="A1" s="12" t="s">
        <v>97</v>
      </c>
      <c r="B1" s="763" t="str">
        <f>'1. key ratios'!B1</f>
        <v>სს " პაშა ბანკი საქართველო"</v>
      </c>
    </row>
    <row r="2" spans="1:17">
      <c r="A2" s="31" t="s">
        <v>98</v>
      </c>
      <c r="B2" s="278">
        <f>'1. key ratios'!B2</f>
        <v>45747</v>
      </c>
    </row>
    <row r="3" spans="1:17">
      <c r="B3" s="8"/>
      <c r="C3" s="8"/>
      <c r="D3" s="8"/>
      <c r="E3" s="8"/>
      <c r="F3" s="8"/>
      <c r="G3" s="8"/>
      <c r="H3" s="8"/>
      <c r="I3" s="8"/>
      <c r="J3" s="8"/>
      <c r="K3" s="8"/>
      <c r="L3" s="8"/>
      <c r="M3" s="8"/>
      <c r="N3" s="8"/>
    </row>
    <row r="4" spans="1:17" ht="14.4">
      <c r="B4" s="580" t="s">
        <v>980</v>
      </c>
      <c r="C4" s="8"/>
      <c r="D4" s="8"/>
      <c r="E4" s="8"/>
      <c r="F4" s="8"/>
      <c r="G4" s="8"/>
      <c r="H4" s="8"/>
      <c r="I4" s="8"/>
      <c r="J4" s="8"/>
      <c r="K4" s="8"/>
      <c r="L4" s="8"/>
      <c r="M4" s="8"/>
      <c r="N4" s="8"/>
    </row>
    <row r="5" spans="1:17" ht="86.4">
      <c r="B5" s="581" t="s">
        <v>981</v>
      </c>
      <c r="C5" s="582" t="s">
        <v>982</v>
      </c>
      <c r="D5" s="582" t="s">
        <v>983</v>
      </c>
      <c r="E5" s="582" t="s">
        <v>984</v>
      </c>
      <c r="F5" s="582" t="s">
        <v>985</v>
      </c>
      <c r="G5" s="582" t="s">
        <v>986</v>
      </c>
      <c r="H5" s="582" t="s">
        <v>987</v>
      </c>
      <c r="I5" s="583" t="s">
        <v>988</v>
      </c>
      <c r="J5" s="584">
        <v>0.02</v>
      </c>
      <c r="K5" s="584">
        <v>0.2</v>
      </c>
      <c r="L5" s="584">
        <v>0.35</v>
      </c>
      <c r="M5" s="584">
        <v>0.5</v>
      </c>
      <c r="N5" s="584">
        <v>0.75</v>
      </c>
      <c r="O5" s="584">
        <v>1</v>
      </c>
      <c r="P5" s="584">
        <v>1.5</v>
      </c>
      <c r="Q5" s="585" t="s">
        <v>73</v>
      </c>
    </row>
    <row r="6" spans="1:17" ht="14.4">
      <c r="B6" s="586"/>
      <c r="C6" s="552">
        <f>IF(C7&gt;0,C7,IF(C8&gt;0,C8,IF(C9&gt;0,C9,0)))</f>
        <v>94232915</v>
      </c>
      <c r="D6" s="552">
        <f>IF(D7&gt;0,D7,IF(D8&gt;0,D8,IF(D9&gt;0,D9,0)))</f>
        <v>0</v>
      </c>
      <c r="E6" s="552">
        <f>IF(E7&gt;0,E7,IF(E8&gt;0,E8,IF(E9&gt;0,E9,0)))</f>
        <v>9792800</v>
      </c>
      <c r="F6" s="552">
        <f>IF(F7&gt;0,F7,IF(F8&gt;0,F8,IF(F9&gt;0,F9,0)))</f>
        <v>221045.89</v>
      </c>
      <c r="G6" s="552">
        <f>IF(G7&gt;0,G7,IF(G8&gt;0,G8,IF(G9&gt;0,G9,0)))</f>
        <v>532198</v>
      </c>
      <c r="H6" s="552"/>
      <c r="I6" s="552">
        <f t="shared" ref="I6:Q6" si="0">IF(I7&gt;0,I7,IF(I8&gt;0,I8,IF(I9&gt;0,I9,0)))</f>
        <v>1054541.446</v>
      </c>
      <c r="J6" s="552">
        <f t="shared" si="0"/>
        <v>0</v>
      </c>
      <c r="K6" s="552">
        <f t="shared" si="0"/>
        <v>0</v>
      </c>
      <c r="L6" s="552">
        <f t="shared" si="0"/>
        <v>0</v>
      </c>
      <c r="M6" s="552">
        <f t="shared" si="0"/>
        <v>886353.84600000002</v>
      </c>
      <c r="N6" s="552">
        <f t="shared" si="0"/>
        <v>0</v>
      </c>
      <c r="O6" s="552">
        <f t="shared" si="0"/>
        <v>168187.6</v>
      </c>
      <c r="P6" s="552">
        <f t="shared" si="0"/>
        <v>0</v>
      </c>
      <c r="Q6" s="552">
        <f t="shared" si="0"/>
        <v>611364.52299999993</v>
      </c>
    </row>
    <row r="7" spans="1:17" ht="14.4">
      <c r="B7" s="587" t="s">
        <v>976</v>
      </c>
      <c r="C7" s="552">
        <f>C11+C15+C19+C23+C27+C31</f>
        <v>94232915</v>
      </c>
      <c r="D7" s="552">
        <f t="shared" ref="D7:G9" si="1">D11+D15+D19+D23+D27+D31</f>
        <v>-128058.55999999997</v>
      </c>
      <c r="E7" s="552">
        <f t="shared" si="1"/>
        <v>9792800</v>
      </c>
      <c r="F7" s="552">
        <f t="shared" si="1"/>
        <v>221045.89</v>
      </c>
      <c r="G7" s="552">
        <f t="shared" si="1"/>
        <v>532198</v>
      </c>
      <c r="H7" s="588">
        <v>1.4</v>
      </c>
      <c r="I7" s="589">
        <f t="shared" ref="I7:I33" si="2">(F7+G7)*H7</f>
        <v>1054541.446</v>
      </c>
      <c r="J7" s="552">
        <f>J11+J15+J19+J23+J27+J31</f>
        <v>0</v>
      </c>
      <c r="K7" s="552">
        <f t="shared" ref="J7:Q9" si="3">K11+K15+K19+K23+K27+K31</f>
        <v>0</v>
      </c>
      <c r="L7" s="552">
        <f t="shared" si="3"/>
        <v>0</v>
      </c>
      <c r="M7" s="552">
        <f t="shared" si="3"/>
        <v>886353.84600000002</v>
      </c>
      <c r="N7" s="552">
        <f t="shared" si="3"/>
        <v>0</v>
      </c>
      <c r="O7" s="552">
        <f t="shared" si="3"/>
        <v>168187.6</v>
      </c>
      <c r="P7" s="552">
        <f t="shared" si="3"/>
        <v>0</v>
      </c>
      <c r="Q7" s="552">
        <f>Q11+Q15+Q19+Q23+Q27+Q31</f>
        <v>611364.52299999993</v>
      </c>
    </row>
    <row r="8" spans="1:17" ht="14.4">
      <c r="B8" s="587" t="s">
        <v>977</v>
      </c>
      <c r="C8" s="552">
        <f>C12+C16+C20+C24+C28+C32</f>
        <v>0</v>
      </c>
      <c r="D8" s="552">
        <f t="shared" si="1"/>
        <v>0</v>
      </c>
      <c r="E8" s="552">
        <f t="shared" si="1"/>
        <v>0</v>
      </c>
      <c r="F8" s="552">
        <f t="shared" si="1"/>
        <v>0</v>
      </c>
      <c r="G8" s="552">
        <f t="shared" si="1"/>
        <v>0</v>
      </c>
      <c r="H8" s="588">
        <v>1.4</v>
      </c>
      <c r="I8" s="589">
        <f t="shared" si="2"/>
        <v>0</v>
      </c>
      <c r="J8" s="552">
        <f t="shared" si="3"/>
        <v>0</v>
      </c>
      <c r="K8" s="552">
        <f t="shared" si="3"/>
        <v>0</v>
      </c>
      <c r="L8" s="552">
        <f t="shared" si="3"/>
        <v>0</v>
      </c>
      <c r="M8" s="552">
        <f t="shared" si="3"/>
        <v>0</v>
      </c>
      <c r="N8" s="552">
        <f t="shared" si="3"/>
        <v>0</v>
      </c>
      <c r="O8" s="552">
        <f t="shared" si="3"/>
        <v>0</v>
      </c>
      <c r="P8" s="552">
        <f t="shared" si="3"/>
        <v>0</v>
      </c>
      <c r="Q8" s="552">
        <f>Q12+Q16+Q20+Q24+Q28+Q32</f>
        <v>0</v>
      </c>
    </row>
    <row r="9" spans="1:17" ht="14.4">
      <c r="B9" s="587" t="s">
        <v>978</v>
      </c>
      <c r="C9" s="552">
        <f>C13+C17+C21+C25+C29+C33</f>
        <v>0</v>
      </c>
      <c r="D9" s="552">
        <f>D13+D17+D21+D25+D29+D33</f>
        <v>0</v>
      </c>
      <c r="E9" s="552">
        <f>E13+E17+E21+E25+E29+E33</f>
        <v>0</v>
      </c>
      <c r="F9" s="552">
        <f t="shared" si="1"/>
        <v>0</v>
      </c>
      <c r="G9" s="552">
        <f t="shared" si="1"/>
        <v>0</v>
      </c>
      <c r="H9" s="588">
        <v>1.4</v>
      </c>
      <c r="I9" s="589">
        <f t="shared" si="2"/>
        <v>0</v>
      </c>
      <c r="J9" s="552">
        <f t="shared" si="3"/>
        <v>0</v>
      </c>
      <c r="K9" s="552">
        <f t="shared" si="3"/>
        <v>0</v>
      </c>
      <c r="L9" s="552">
        <f t="shared" si="3"/>
        <v>0</v>
      </c>
      <c r="M9" s="552">
        <f t="shared" si="3"/>
        <v>0</v>
      </c>
      <c r="N9" s="552">
        <f t="shared" si="3"/>
        <v>0</v>
      </c>
      <c r="O9" s="552">
        <f t="shared" si="3"/>
        <v>0</v>
      </c>
      <c r="P9" s="552">
        <f t="shared" si="3"/>
        <v>0</v>
      </c>
      <c r="Q9" s="552">
        <f t="shared" si="3"/>
        <v>0</v>
      </c>
    </row>
    <row r="10" spans="1:17" ht="14.4">
      <c r="B10" s="590" t="s">
        <v>989</v>
      </c>
      <c r="C10" s="591"/>
      <c r="D10" s="591"/>
      <c r="E10" s="591"/>
      <c r="F10" s="591"/>
      <c r="G10" s="591"/>
      <c r="H10" s="588">
        <v>1.4</v>
      </c>
      <c r="I10" s="589">
        <f t="shared" si="2"/>
        <v>0</v>
      </c>
      <c r="J10" s="549"/>
      <c r="K10" s="549"/>
      <c r="L10" s="549"/>
      <c r="M10" s="549"/>
      <c r="N10" s="549"/>
      <c r="O10" s="549"/>
      <c r="P10" s="549"/>
      <c r="Q10" s="552">
        <f>SUM(Q11:Q13)</f>
        <v>0</v>
      </c>
    </row>
    <row r="11" spans="1:17" ht="14.4">
      <c r="B11" s="592" t="s">
        <v>976</v>
      </c>
      <c r="C11" s="591"/>
      <c r="D11" s="591"/>
      <c r="E11" s="591"/>
      <c r="F11" s="591"/>
      <c r="G11" s="591"/>
      <c r="H11" s="588">
        <v>1.4</v>
      </c>
      <c r="I11" s="589">
        <f t="shared" si="2"/>
        <v>0</v>
      </c>
      <c r="J11" s="549"/>
      <c r="K11" s="549"/>
      <c r="L11" s="549"/>
      <c r="M11" s="549"/>
      <c r="N11" s="549"/>
      <c r="O11" s="549"/>
      <c r="P11" s="549"/>
      <c r="Q11" s="552">
        <f>SUMPRODUCT($J$5:$P$5,J11:P11)</f>
        <v>0</v>
      </c>
    </row>
    <row r="12" spans="1:17" ht="14.4">
      <c r="B12" s="592" t="s">
        <v>977</v>
      </c>
      <c r="C12" s="591"/>
      <c r="D12" s="591"/>
      <c r="E12" s="591"/>
      <c r="F12" s="591"/>
      <c r="G12" s="591"/>
      <c r="H12" s="588">
        <v>1.4</v>
      </c>
      <c r="I12" s="589">
        <f t="shared" si="2"/>
        <v>0</v>
      </c>
      <c r="J12" s="549"/>
      <c r="K12" s="549"/>
      <c r="L12" s="549"/>
      <c r="M12" s="549"/>
      <c r="N12" s="549"/>
      <c r="O12" s="549"/>
      <c r="P12" s="549"/>
      <c r="Q12" s="552">
        <f t="shared" ref="Q12:Q13" si="4">SUMPRODUCT($J$5:$P$5,J12:P12)</f>
        <v>0</v>
      </c>
    </row>
    <row r="13" spans="1:17" ht="14.4">
      <c r="B13" s="592" t="s">
        <v>978</v>
      </c>
      <c r="C13" s="591"/>
      <c r="D13" s="591"/>
      <c r="E13" s="591"/>
      <c r="F13" s="591"/>
      <c r="G13" s="591"/>
      <c r="H13" s="588">
        <v>1.4</v>
      </c>
      <c r="I13" s="589">
        <f t="shared" si="2"/>
        <v>0</v>
      </c>
      <c r="J13" s="549"/>
      <c r="K13" s="549"/>
      <c r="L13" s="549"/>
      <c r="M13" s="549"/>
      <c r="N13" s="549"/>
      <c r="O13" s="549"/>
      <c r="P13" s="549"/>
      <c r="Q13" s="552">
        <f t="shared" si="4"/>
        <v>0</v>
      </c>
    </row>
    <row r="14" spans="1:17" ht="14.4">
      <c r="B14" s="590" t="s">
        <v>990</v>
      </c>
      <c r="C14" s="591"/>
      <c r="D14" s="591"/>
      <c r="E14" s="591"/>
      <c r="F14" s="591"/>
      <c r="G14" s="591"/>
      <c r="H14" s="588">
        <v>1.4</v>
      </c>
      <c r="I14" s="589">
        <f t="shared" si="2"/>
        <v>0</v>
      </c>
      <c r="J14" s="549"/>
      <c r="K14" s="549"/>
      <c r="L14" s="549"/>
      <c r="M14" s="549"/>
      <c r="N14" s="549"/>
      <c r="O14" s="549"/>
      <c r="P14" s="549"/>
      <c r="Q14" s="552">
        <f>SUM(Q15:Q17)</f>
        <v>0</v>
      </c>
    </row>
    <row r="15" spans="1:17" ht="14.4">
      <c r="B15" s="592" t="s">
        <v>976</v>
      </c>
      <c r="C15" s="591"/>
      <c r="D15" s="591"/>
      <c r="E15" s="591"/>
      <c r="F15" s="591"/>
      <c r="G15" s="591"/>
      <c r="H15" s="588">
        <v>1.4</v>
      </c>
      <c r="I15" s="589">
        <f t="shared" si="2"/>
        <v>0</v>
      </c>
      <c r="J15" s="549"/>
      <c r="K15" s="549"/>
      <c r="L15" s="549"/>
      <c r="M15" s="549"/>
      <c r="N15" s="549"/>
      <c r="O15" s="549"/>
      <c r="P15" s="549"/>
      <c r="Q15" s="552">
        <f>SUMPRODUCT($J$5:$P$5,J15:P15)</f>
        <v>0</v>
      </c>
    </row>
    <row r="16" spans="1:17" ht="14.4">
      <c r="B16" s="592" t="s">
        <v>977</v>
      </c>
      <c r="C16" s="591"/>
      <c r="D16" s="591"/>
      <c r="E16" s="591"/>
      <c r="F16" s="591"/>
      <c r="G16" s="591"/>
      <c r="H16" s="588">
        <v>1.4</v>
      </c>
      <c r="I16" s="589">
        <f t="shared" si="2"/>
        <v>0</v>
      </c>
      <c r="J16" s="549"/>
      <c r="K16" s="549"/>
      <c r="L16" s="549"/>
      <c r="M16" s="549"/>
      <c r="N16" s="549"/>
      <c r="O16" s="549"/>
      <c r="P16" s="549"/>
      <c r="Q16" s="552">
        <f t="shared" ref="Q16:Q17" si="5">SUMPRODUCT($J$5:$P$5,J16:P16)</f>
        <v>0</v>
      </c>
    </row>
    <row r="17" spans="2:17" ht="14.4">
      <c r="B17" s="592" t="s">
        <v>978</v>
      </c>
      <c r="C17" s="591"/>
      <c r="D17" s="591"/>
      <c r="E17" s="591"/>
      <c r="F17" s="591"/>
      <c r="G17" s="591"/>
      <c r="H17" s="588">
        <v>1.4</v>
      </c>
      <c r="I17" s="589">
        <f t="shared" si="2"/>
        <v>0</v>
      </c>
      <c r="J17" s="549"/>
      <c r="K17" s="549"/>
      <c r="L17" s="549"/>
      <c r="M17" s="549"/>
      <c r="N17" s="549"/>
      <c r="O17" s="549"/>
      <c r="P17" s="549"/>
      <c r="Q17" s="552">
        <f t="shared" si="5"/>
        <v>0</v>
      </c>
    </row>
    <row r="18" spans="2:17" ht="14.4">
      <c r="B18" s="590" t="s">
        <v>991</v>
      </c>
      <c r="C18" s="591"/>
      <c r="D18" s="591"/>
      <c r="E18" s="591"/>
      <c r="F18" s="591"/>
      <c r="G18" s="591"/>
      <c r="H18" s="588">
        <v>1.4</v>
      </c>
      <c r="I18" s="589">
        <f t="shared" si="2"/>
        <v>0</v>
      </c>
      <c r="J18" s="549"/>
      <c r="K18" s="549"/>
      <c r="L18" s="549"/>
      <c r="M18" s="549"/>
      <c r="N18" s="549"/>
      <c r="O18" s="549"/>
      <c r="P18" s="549"/>
      <c r="Q18" s="552">
        <f>SUM(Q19:Q21)</f>
        <v>443176.92300000001</v>
      </c>
    </row>
    <row r="19" spans="2:17" ht="14.4">
      <c r="B19" s="592" t="s">
        <v>976</v>
      </c>
      <c r="C19" s="591">
        <v>51508006</v>
      </c>
      <c r="D19" s="591">
        <v>221045.89</v>
      </c>
      <c r="E19" s="591"/>
      <c r="F19" s="591">
        <v>221045.89</v>
      </c>
      <c r="G19" s="591">
        <v>412064</v>
      </c>
      <c r="H19" s="588">
        <v>1.4</v>
      </c>
      <c r="I19" s="589">
        <f t="shared" si="2"/>
        <v>886353.84600000002</v>
      </c>
      <c r="J19" s="549"/>
      <c r="K19" s="549"/>
      <c r="L19" s="549"/>
      <c r="M19" s="549">
        <v>886353.84600000002</v>
      </c>
      <c r="N19" s="549"/>
      <c r="O19" s="549"/>
      <c r="P19" s="549"/>
      <c r="Q19" s="552">
        <f>SUMPRODUCT($J$5:$P$5,J19:P19)</f>
        <v>443176.92300000001</v>
      </c>
    </row>
    <row r="20" spans="2:17" ht="14.4">
      <c r="B20" s="592" t="s">
        <v>977</v>
      </c>
      <c r="C20" s="591"/>
      <c r="D20" s="591"/>
      <c r="E20" s="591"/>
      <c r="F20" s="591"/>
      <c r="G20" s="591"/>
      <c r="H20" s="588">
        <v>1.4</v>
      </c>
      <c r="I20" s="589">
        <f t="shared" si="2"/>
        <v>0</v>
      </c>
      <c r="J20" s="549"/>
      <c r="K20" s="549"/>
      <c r="L20" s="549"/>
      <c r="M20" s="549"/>
      <c r="N20" s="549"/>
      <c r="O20" s="549"/>
      <c r="P20" s="549"/>
      <c r="Q20" s="552">
        <f t="shared" ref="Q20:Q21" si="6">SUMPRODUCT($J$5:$P$5,J20:P20)</f>
        <v>0</v>
      </c>
    </row>
    <row r="21" spans="2:17" ht="14.4">
      <c r="B21" s="592" t="s">
        <v>978</v>
      </c>
      <c r="C21" s="591"/>
      <c r="D21" s="591"/>
      <c r="E21" s="591"/>
      <c r="F21" s="591"/>
      <c r="G21" s="591"/>
      <c r="H21" s="588">
        <v>1.4</v>
      </c>
      <c r="I21" s="589">
        <f t="shared" si="2"/>
        <v>0</v>
      </c>
      <c r="J21" s="549"/>
      <c r="K21" s="549"/>
      <c r="L21" s="549"/>
      <c r="M21" s="549"/>
      <c r="N21" s="549"/>
      <c r="O21" s="549"/>
      <c r="P21" s="549"/>
      <c r="Q21" s="552">
        <f t="shared" si="6"/>
        <v>0</v>
      </c>
    </row>
    <row r="22" spans="2:17" ht="14.4">
      <c r="B22" s="590" t="s">
        <v>992</v>
      </c>
      <c r="C22" s="591"/>
      <c r="D22" s="591"/>
      <c r="E22" s="591"/>
      <c r="F22" s="591"/>
      <c r="G22" s="591"/>
      <c r="H22" s="588">
        <v>1.4</v>
      </c>
      <c r="I22" s="589">
        <f t="shared" si="2"/>
        <v>0</v>
      </c>
      <c r="J22" s="549"/>
      <c r="K22" s="549"/>
      <c r="L22" s="549"/>
      <c r="M22" s="549"/>
      <c r="N22" s="549"/>
      <c r="O22" s="549"/>
      <c r="P22" s="549"/>
      <c r="Q22" s="552">
        <f>SUM(Q23:Q25)</f>
        <v>155204</v>
      </c>
    </row>
    <row r="23" spans="2:17" ht="14.4">
      <c r="B23" s="592" t="s">
        <v>976</v>
      </c>
      <c r="C23" s="591">
        <v>34423009</v>
      </c>
      <c r="D23" s="591">
        <v>-610511.73</v>
      </c>
      <c r="E23" s="591">
        <v>1490900</v>
      </c>
      <c r="F23" s="591">
        <v>0</v>
      </c>
      <c r="G23" s="591">
        <v>110860</v>
      </c>
      <c r="H23" s="588">
        <v>1.4</v>
      </c>
      <c r="I23" s="589">
        <f t="shared" si="2"/>
        <v>155204</v>
      </c>
      <c r="J23" s="549"/>
      <c r="K23" s="549"/>
      <c r="L23" s="549"/>
      <c r="M23" s="549"/>
      <c r="N23" s="549"/>
      <c r="O23" s="549">
        <v>155204</v>
      </c>
      <c r="P23" s="549"/>
      <c r="Q23" s="552">
        <f>SUMPRODUCT($J$5:$P$5,J23:P23)</f>
        <v>155204</v>
      </c>
    </row>
    <row r="24" spans="2:17" ht="14.4">
      <c r="B24" s="592" t="s">
        <v>977</v>
      </c>
      <c r="C24" s="591"/>
      <c r="D24" s="591"/>
      <c r="E24" s="591"/>
      <c r="F24" s="591"/>
      <c r="G24" s="591"/>
      <c r="H24" s="588">
        <v>1.4</v>
      </c>
      <c r="I24" s="589">
        <f t="shared" si="2"/>
        <v>0</v>
      </c>
      <c r="J24" s="549"/>
      <c r="K24" s="549"/>
      <c r="L24" s="549"/>
      <c r="M24" s="549"/>
      <c r="N24" s="549"/>
      <c r="O24" s="549"/>
      <c r="P24" s="549"/>
      <c r="Q24" s="552">
        <f t="shared" ref="Q24:Q25" si="7">SUMPRODUCT($J$5:$P$5,J24:P24)</f>
        <v>0</v>
      </c>
    </row>
    <row r="25" spans="2:17" ht="14.4">
      <c r="B25" s="592" t="s">
        <v>978</v>
      </c>
      <c r="C25" s="591"/>
      <c r="D25" s="591"/>
      <c r="E25" s="591"/>
      <c r="F25" s="591"/>
      <c r="G25" s="591"/>
      <c r="H25" s="588">
        <v>1.4</v>
      </c>
      <c r="I25" s="589">
        <f t="shared" si="2"/>
        <v>0</v>
      </c>
      <c r="J25" s="549"/>
      <c r="K25" s="549"/>
      <c r="L25" s="549"/>
      <c r="M25" s="549"/>
      <c r="N25" s="549"/>
      <c r="O25" s="549"/>
      <c r="P25" s="549"/>
      <c r="Q25" s="552">
        <f t="shared" si="7"/>
        <v>0</v>
      </c>
    </row>
    <row r="26" spans="2:17" ht="14.4">
      <c r="B26" s="590" t="s">
        <v>993</v>
      </c>
      <c r="C26" s="591"/>
      <c r="D26" s="591"/>
      <c r="E26" s="591"/>
      <c r="F26" s="591"/>
      <c r="G26" s="591"/>
      <c r="H26" s="588">
        <v>1.4</v>
      </c>
      <c r="I26" s="589">
        <f t="shared" si="2"/>
        <v>0</v>
      </c>
      <c r="J26" s="549"/>
      <c r="K26" s="549"/>
      <c r="L26" s="549"/>
      <c r="M26" s="549"/>
      <c r="N26" s="549"/>
      <c r="O26" s="549"/>
      <c r="P26" s="549"/>
      <c r="Q26" s="552">
        <f>SUM(Q27:Q29)</f>
        <v>12983.599999999999</v>
      </c>
    </row>
    <row r="27" spans="2:17" ht="14.4">
      <c r="B27" s="592" t="s">
        <v>976</v>
      </c>
      <c r="C27" s="591">
        <v>8301900</v>
      </c>
      <c r="D27" s="591">
        <v>261407.28</v>
      </c>
      <c r="E27" s="591">
        <v>8301900</v>
      </c>
      <c r="F27" s="591">
        <v>0</v>
      </c>
      <c r="G27" s="591">
        <v>9274</v>
      </c>
      <c r="H27" s="588">
        <v>1.4</v>
      </c>
      <c r="I27" s="589">
        <f t="shared" si="2"/>
        <v>12983.599999999999</v>
      </c>
      <c r="J27" s="549"/>
      <c r="K27" s="549"/>
      <c r="L27" s="549"/>
      <c r="M27" s="549"/>
      <c r="N27" s="549"/>
      <c r="O27" s="549">
        <v>12983.599999999999</v>
      </c>
      <c r="P27" s="549"/>
      <c r="Q27" s="552">
        <f>SUMPRODUCT($J$5:$P$5,J27:P27)</f>
        <v>12983.599999999999</v>
      </c>
    </row>
    <row r="28" spans="2:17" ht="14.4">
      <c r="B28" s="592" t="s">
        <v>977</v>
      </c>
      <c r="C28" s="591"/>
      <c r="D28" s="591"/>
      <c r="E28" s="591"/>
      <c r="F28" s="591"/>
      <c r="G28" s="591"/>
      <c r="H28" s="588">
        <v>1.4</v>
      </c>
      <c r="I28" s="589">
        <f t="shared" si="2"/>
        <v>0</v>
      </c>
      <c r="J28" s="549"/>
      <c r="K28" s="549"/>
      <c r="L28" s="549"/>
      <c r="M28" s="549"/>
      <c r="N28" s="549"/>
      <c r="O28" s="549"/>
      <c r="P28" s="549"/>
      <c r="Q28" s="552">
        <f t="shared" ref="Q28:Q29" si="8">SUMPRODUCT($J$5:$P$5,J28:P28)</f>
        <v>0</v>
      </c>
    </row>
    <row r="29" spans="2:17" ht="14.4">
      <c r="B29" s="592" t="s">
        <v>978</v>
      </c>
      <c r="C29" s="591"/>
      <c r="D29" s="591"/>
      <c r="E29" s="591"/>
      <c r="F29" s="591"/>
      <c r="G29" s="591"/>
      <c r="H29" s="588">
        <v>1.4</v>
      </c>
      <c r="I29" s="589">
        <f t="shared" si="2"/>
        <v>0</v>
      </c>
      <c r="J29" s="549"/>
      <c r="K29" s="549"/>
      <c r="L29" s="549"/>
      <c r="M29" s="549"/>
      <c r="N29" s="549"/>
      <c r="O29" s="549"/>
      <c r="P29" s="549"/>
      <c r="Q29" s="552">
        <f t="shared" si="8"/>
        <v>0</v>
      </c>
    </row>
    <row r="30" spans="2:17" ht="14.4">
      <c r="B30" s="593" t="s">
        <v>994</v>
      </c>
      <c r="C30" s="591"/>
      <c r="D30" s="591"/>
      <c r="E30" s="591"/>
      <c r="F30" s="591"/>
      <c r="G30" s="591"/>
      <c r="H30" s="588">
        <v>1.4</v>
      </c>
      <c r="I30" s="589">
        <f t="shared" si="2"/>
        <v>0</v>
      </c>
      <c r="J30" s="549"/>
      <c r="K30" s="549"/>
      <c r="L30" s="549"/>
      <c r="M30" s="549"/>
      <c r="N30" s="549"/>
      <c r="O30" s="549"/>
      <c r="P30" s="549"/>
      <c r="Q30" s="552">
        <f>SUM(Q31:Q33)</f>
        <v>0</v>
      </c>
    </row>
    <row r="31" spans="2:17" ht="14.4">
      <c r="B31" s="592" t="s">
        <v>976</v>
      </c>
      <c r="C31" s="591"/>
      <c r="D31" s="591"/>
      <c r="E31" s="591"/>
      <c r="F31" s="591"/>
      <c r="G31" s="591"/>
      <c r="H31" s="588">
        <v>1.4</v>
      </c>
      <c r="I31" s="589">
        <f t="shared" si="2"/>
        <v>0</v>
      </c>
      <c r="J31" s="549"/>
      <c r="K31" s="549"/>
      <c r="L31" s="549"/>
      <c r="M31" s="549"/>
      <c r="N31" s="549"/>
      <c r="O31" s="549"/>
      <c r="P31" s="549"/>
      <c r="Q31" s="552">
        <f>SUMPRODUCT($J$5:$P$5,J31:P31)</f>
        <v>0</v>
      </c>
    </row>
    <row r="32" spans="2:17" ht="14.4">
      <c r="B32" s="592" t="s">
        <v>977</v>
      </c>
      <c r="C32" s="591"/>
      <c r="D32" s="591"/>
      <c r="E32" s="591"/>
      <c r="F32" s="591"/>
      <c r="G32" s="591"/>
      <c r="H32" s="588">
        <v>1.4</v>
      </c>
      <c r="I32" s="589">
        <f t="shared" si="2"/>
        <v>0</v>
      </c>
      <c r="J32" s="549"/>
      <c r="K32" s="549"/>
      <c r="L32" s="549"/>
      <c r="M32" s="549"/>
      <c r="N32" s="549"/>
      <c r="O32" s="549"/>
      <c r="P32" s="549"/>
      <c r="Q32" s="552">
        <f t="shared" ref="Q32:Q33" si="9">SUMPRODUCT($J$5:$P$5,J32:P32)</f>
        <v>0</v>
      </c>
    </row>
    <row r="33" spans="2:17" ht="14.4">
      <c r="B33" s="592" t="s">
        <v>978</v>
      </c>
      <c r="C33" s="591"/>
      <c r="D33" s="591"/>
      <c r="E33" s="591"/>
      <c r="F33" s="591"/>
      <c r="G33" s="591"/>
      <c r="H33" s="588">
        <v>1.4</v>
      </c>
      <c r="I33" s="589">
        <f t="shared" si="2"/>
        <v>0</v>
      </c>
      <c r="J33" s="549"/>
      <c r="K33" s="549"/>
      <c r="L33" s="549"/>
      <c r="M33" s="549"/>
      <c r="N33" s="549"/>
      <c r="O33" s="549"/>
      <c r="P33" s="549"/>
      <c r="Q33" s="552">
        <f t="shared" si="9"/>
        <v>0</v>
      </c>
    </row>
    <row r="34" spans="2:17" ht="14.4">
      <c r="B34" s="594" t="s">
        <v>66</v>
      </c>
      <c r="C34" s="595">
        <f>C6</f>
        <v>94232915</v>
      </c>
      <c r="D34" s="595">
        <f t="shared" ref="D34:G34" si="10">D6</f>
        <v>0</v>
      </c>
      <c r="E34" s="595">
        <f t="shared" si="10"/>
        <v>9792800</v>
      </c>
      <c r="F34" s="595">
        <f t="shared" si="10"/>
        <v>221045.89</v>
      </c>
      <c r="G34" s="595">
        <f t="shared" si="10"/>
        <v>532198</v>
      </c>
      <c r="H34" s="588">
        <v>1.4</v>
      </c>
      <c r="I34" s="589">
        <f>(F34+G34)*H34</f>
        <v>1054541.446</v>
      </c>
      <c r="J34" s="595">
        <f t="shared" ref="J34:Q34" si="11">J6</f>
        <v>0</v>
      </c>
      <c r="K34" s="595">
        <f t="shared" si="11"/>
        <v>0</v>
      </c>
      <c r="L34" s="595">
        <f t="shared" si="11"/>
        <v>0</v>
      </c>
      <c r="M34" s="595">
        <f t="shared" si="11"/>
        <v>886353.84600000002</v>
      </c>
      <c r="N34" s="595">
        <f t="shared" si="11"/>
        <v>0</v>
      </c>
      <c r="O34" s="595">
        <f t="shared" si="11"/>
        <v>168187.6</v>
      </c>
      <c r="P34" s="595">
        <f t="shared" si="11"/>
        <v>0</v>
      </c>
      <c r="Q34" s="595">
        <f t="shared" si="11"/>
        <v>611364.52299999993</v>
      </c>
    </row>
  </sheetData>
  <conditionalFormatting sqref="I7:I34">
    <cfRule type="expression" dxfId="26" priority="1">
      <formula>(C7*#REF!)&lt;&gt;SUM(#REF!)</formula>
    </cfRule>
  </conditionalFormatting>
  <pageMargins left="0.7" right="0.7" top="0.75" bottom="0.75" header="0.3" footer="0.3"/>
  <headerFooter>
    <oddFooter>&amp;C_x000D_&amp;1#&amp;"Calibri"&amp;10&amp;K000000 C1 - FOR INTERNAL USE ONLY</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3"/>
  <sheetViews>
    <sheetView tabSelected="1" zoomScale="80" zoomScaleNormal="80" workbookViewId="0">
      <pane xSplit="1" ySplit="5" topLeftCell="B6" activePane="bottomRight" state="frozen"/>
      <selection pane="topRight" activeCell="B1" sqref="B1"/>
      <selection pane="bottomLeft" activeCell="A6" sqref="A6"/>
      <selection pane="bottomRight" activeCell="D1" sqref="D1"/>
    </sheetView>
  </sheetViews>
  <sheetFormatPr defaultRowHeight="14.4"/>
  <cols>
    <col min="1" max="1" width="9.5546875" style="14" bestFit="1" customWidth="1"/>
    <col min="2" max="2" width="88.33203125" style="12" customWidth="1"/>
    <col min="3" max="3" width="12.77734375" style="12" customWidth="1"/>
    <col min="4" max="7" width="12.77734375" style="1" customWidth="1"/>
    <col min="8" max="9" width="6.77734375" customWidth="1"/>
  </cols>
  <sheetData>
    <row r="1" spans="1:7">
      <c r="A1" s="13" t="s">
        <v>97</v>
      </c>
      <c r="B1" s="241" t="str">
        <f>Info!C2</f>
        <v>სს " პაშა ბანკი საქართველო"</v>
      </c>
    </row>
    <row r="2" spans="1:7">
      <c r="A2" s="13" t="s">
        <v>98</v>
      </c>
      <c r="B2" s="278">
        <v>45747</v>
      </c>
    </row>
    <row r="3" spans="1:7" ht="15" thickBot="1">
      <c r="A3" s="13"/>
    </row>
    <row r="4" spans="1:7" ht="15" customHeight="1" thickBot="1">
      <c r="A4" s="32" t="s">
        <v>241</v>
      </c>
      <c r="B4" s="112" t="s">
        <v>128</v>
      </c>
      <c r="C4" s="113"/>
      <c r="D4" s="769" t="s">
        <v>904</v>
      </c>
      <c r="E4" s="770"/>
      <c r="F4" s="770"/>
      <c r="G4" s="771"/>
    </row>
    <row r="5" spans="1:7">
      <c r="A5" s="169" t="s">
        <v>25</v>
      </c>
      <c r="B5" s="170"/>
      <c r="C5" s="262" t="str">
        <f>INT((MONTH($B$2))/3)&amp;"Q"&amp;"-"&amp;YEAR($B$2)</f>
        <v>1Q-2025</v>
      </c>
      <c r="D5" s="262" t="str">
        <f>IF(INT(MONTH($B$2))=3, "4"&amp;"Q"&amp;"-"&amp;YEAR($B$2)-1, IF(INT(MONTH($B$2))=6, "1"&amp;"Q"&amp;"-"&amp;YEAR($B$2), IF(INT(MONTH($B$2))=9, "2"&amp;"Q"&amp;"-"&amp;YEAR($B$2),IF(INT(MONTH($B$2))=12, "3"&amp;"Q"&amp;"-"&amp;YEAR($B$2), 0))))</f>
        <v>4Q-2024</v>
      </c>
      <c r="E5" s="262" t="str">
        <f>IF(INT(MONTH($B$2))=3, "3"&amp;"Q"&amp;"-"&amp;YEAR($B$2)-1, IF(INT(MONTH($B$2))=6, "4"&amp;"Q"&amp;"-"&amp;YEAR($B$2)-1, IF(INT(MONTH($B$2))=9, "1"&amp;"Q"&amp;"-"&amp;YEAR($B$2),IF(INT(MONTH($B$2))=12, "2"&amp;"Q"&amp;"-"&amp;YEAR($B$2), 0))))</f>
        <v>3Q-2024</v>
      </c>
      <c r="F5" s="262" t="str">
        <f>IF(INT(MONTH($B$2))=3, "2"&amp;"Q"&amp;"-"&amp;YEAR($B$2)-1, IF(INT(MONTH($B$2))=6, "3"&amp;"Q"&amp;"-"&amp;YEAR($B$2)-1, IF(INT(MONTH($B$2))=9, "4"&amp;"Q"&amp;"-"&amp;YEAR($B$2)-1,IF(INT(MONTH($B$2))=12, "1"&amp;"Q"&amp;"-"&amp;YEAR($B$2), 0))))</f>
        <v>2Q-2024</v>
      </c>
      <c r="G5" s="263" t="str">
        <f>IF(INT(MONTH($B$2))=3, "1"&amp;"Q"&amp;"-"&amp;YEAR($B$2)-1, IF(INT(MONTH($B$2))=6, "2"&amp;"Q"&amp;"-"&amp;YEAR($B$2)-1, IF(INT(MONTH($B$2))=9, "3"&amp;"Q"&amp;"-"&amp;YEAR($B$2)-1,IF(INT(MONTH($B$2))=12, "4"&amp;"Q"&amp;"-"&amp;YEAR($B$2)-1, 0))))</f>
        <v>1Q-2024</v>
      </c>
    </row>
    <row r="6" spans="1:7">
      <c r="A6" s="264"/>
      <c r="B6" s="265" t="s">
        <v>95</v>
      </c>
      <c r="C6" s="171"/>
      <c r="D6" s="171"/>
      <c r="E6" s="171"/>
      <c r="F6" s="171"/>
      <c r="G6" s="172"/>
    </row>
    <row r="7" spans="1:7">
      <c r="A7" s="264"/>
      <c r="B7" s="266" t="s">
        <v>99</v>
      </c>
      <c r="C7" s="171"/>
      <c r="D7" s="171"/>
      <c r="E7" s="171"/>
      <c r="F7" s="171"/>
      <c r="G7" s="172"/>
    </row>
    <row r="8" spans="1:7">
      <c r="A8" s="245">
        <v>1</v>
      </c>
      <c r="B8" s="246" t="s">
        <v>22</v>
      </c>
      <c r="C8" s="267">
        <v>114576078.96000001</v>
      </c>
      <c r="D8" s="268">
        <v>115092463.53</v>
      </c>
      <c r="E8" s="268">
        <v>113245384</v>
      </c>
      <c r="F8" s="268">
        <v>109139841.13</v>
      </c>
      <c r="G8" s="269">
        <v>107195535.98999999</v>
      </c>
    </row>
    <row r="9" spans="1:7">
      <c r="A9" s="245">
        <v>2</v>
      </c>
      <c r="B9" s="246" t="s">
        <v>75</v>
      </c>
      <c r="C9" s="267">
        <v>114576078.96000001</v>
      </c>
      <c r="D9" s="268">
        <v>115092463.53</v>
      </c>
      <c r="E9" s="268">
        <v>113245384</v>
      </c>
      <c r="F9" s="268">
        <v>109139841.13</v>
      </c>
      <c r="G9" s="269">
        <v>107195535.98999999</v>
      </c>
    </row>
    <row r="10" spans="1:7">
      <c r="A10" s="245">
        <v>3</v>
      </c>
      <c r="B10" s="246" t="s">
        <v>74</v>
      </c>
      <c r="C10" s="267">
        <v>146400028.96000001</v>
      </c>
      <c r="D10" s="268">
        <v>147370663.53</v>
      </c>
      <c r="E10" s="268">
        <v>133716639.09549999</v>
      </c>
      <c r="F10" s="268">
        <v>130214052.25</v>
      </c>
      <c r="G10" s="269">
        <v>123365859.92209199</v>
      </c>
    </row>
    <row r="11" spans="1:7">
      <c r="A11" s="245">
        <v>4</v>
      </c>
      <c r="B11" s="246" t="s">
        <v>414</v>
      </c>
      <c r="C11" s="267">
        <v>93003478.205027804</v>
      </c>
      <c r="D11" s="268">
        <v>94637194.606505588</v>
      </c>
      <c r="E11" s="268">
        <v>84519272.377334282</v>
      </c>
      <c r="F11" s="268">
        <v>84854664.549999997</v>
      </c>
      <c r="G11" s="269">
        <v>78126524.569018409</v>
      </c>
    </row>
    <row r="12" spans="1:7">
      <c r="A12" s="245">
        <v>5</v>
      </c>
      <c r="B12" s="246" t="s">
        <v>415</v>
      </c>
      <c r="C12" s="267">
        <v>112597126.85167614</v>
      </c>
      <c r="D12" s="268">
        <v>114802687.37104781</v>
      </c>
      <c r="E12" s="268">
        <v>103196317.83790517</v>
      </c>
      <c r="F12" s="268">
        <v>103805115.92</v>
      </c>
      <c r="G12" s="269">
        <v>95396528.507053524</v>
      </c>
    </row>
    <row r="13" spans="1:7">
      <c r="A13" s="245">
        <v>6</v>
      </c>
      <c r="B13" s="246" t="s">
        <v>416</v>
      </c>
      <c r="C13" s="267">
        <v>138542811.82171732</v>
      </c>
      <c r="D13" s="268">
        <v>141504075.99891743</v>
      </c>
      <c r="E13" s="268">
        <v>127929639.42225404</v>
      </c>
      <c r="F13" s="268">
        <v>128897779.34999999</v>
      </c>
      <c r="G13" s="269">
        <v>118267114.486205</v>
      </c>
    </row>
    <row r="14" spans="1:7">
      <c r="A14" s="264"/>
      <c r="B14" s="265" t="s">
        <v>418</v>
      </c>
      <c r="C14" s="171"/>
      <c r="D14" s="171"/>
      <c r="E14" s="171"/>
      <c r="F14" s="171"/>
      <c r="G14" s="172"/>
    </row>
    <row r="15" spans="1:7" ht="22.05" customHeight="1">
      <c r="A15" s="245">
        <v>7</v>
      </c>
      <c r="B15" s="246" t="s">
        <v>417</v>
      </c>
      <c r="C15" s="270">
        <v>625359652.91482067</v>
      </c>
      <c r="D15" s="268">
        <v>637812963.19341671</v>
      </c>
      <c r="E15" s="268">
        <v>601394717.67122078</v>
      </c>
      <c r="F15" s="268">
        <v>599864131</v>
      </c>
      <c r="G15" s="269">
        <v>558207030.59996772</v>
      </c>
    </row>
    <row r="16" spans="1:7">
      <c r="A16" s="264"/>
      <c r="B16" s="265" t="s">
        <v>421</v>
      </c>
      <c r="C16" s="171"/>
      <c r="D16" s="171"/>
      <c r="E16" s="171"/>
      <c r="F16" s="171"/>
      <c r="G16" s="172"/>
    </row>
    <row r="17" spans="1:7">
      <c r="A17" s="245"/>
      <c r="B17" s="266" t="s">
        <v>967</v>
      </c>
      <c r="C17" s="171"/>
      <c r="D17" s="171"/>
      <c r="E17" s="171"/>
      <c r="F17" s="171"/>
      <c r="G17" s="172"/>
    </row>
    <row r="18" spans="1:7">
      <c r="A18" s="245">
        <v>8</v>
      </c>
      <c r="B18" s="246" t="s">
        <v>412</v>
      </c>
      <c r="C18" s="279">
        <v>0.1832162954964513</v>
      </c>
      <c r="D18" s="280">
        <v>0.18044861138248491</v>
      </c>
      <c r="E18" s="280">
        <v>0.18830458710798095</v>
      </c>
      <c r="F18" s="280">
        <v>0.18190000000000001</v>
      </c>
      <c r="G18" s="281">
        <v>0.19203544583590237</v>
      </c>
    </row>
    <row r="19" spans="1:7" ht="15" customHeight="1">
      <c r="A19" s="245">
        <v>9</v>
      </c>
      <c r="B19" s="246" t="s">
        <v>411</v>
      </c>
      <c r="C19" s="279">
        <v>0.1832162954964513</v>
      </c>
      <c r="D19" s="280">
        <v>0.18044861138248491</v>
      </c>
      <c r="E19" s="280">
        <v>0.18830458710798095</v>
      </c>
      <c r="F19" s="280">
        <v>0.18190000000000001</v>
      </c>
      <c r="G19" s="281">
        <v>0.19203544583590237</v>
      </c>
    </row>
    <row r="20" spans="1:7">
      <c r="A20" s="245">
        <v>10</v>
      </c>
      <c r="B20" s="246" t="s">
        <v>413</v>
      </c>
      <c r="C20" s="279">
        <v>0.23410533167214251</v>
      </c>
      <c r="D20" s="280">
        <v>0.23105623754045568</v>
      </c>
      <c r="E20" s="280">
        <v>0.22234421947251315</v>
      </c>
      <c r="F20" s="280">
        <v>0.21709999999999999</v>
      </c>
      <c r="G20" s="281">
        <v>0.22100377307949143</v>
      </c>
    </row>
    <row r="21" spans="1:7">
      <c r="A21" s="245">
        <v>11</v>
      </c>
      <c r="B21" s="246" t="s">
        <v>414</v>
      </c>
      <c r="C21" s="279">
        <v>0.14871998500628514</v>
      </c>
      <c r="D21" s="280">
        <v>0.1483776593888495</v>
      </c>
      <c r="E21" s="280">
        <v>0.14053876745811478</v>
      </c>
      <c r="F21" s="280">
        <v>0.14149999999999999</v>
      </c>
      <c r="G21" s="281">
        <v>0.13995976454299952</v>
      </c>
    </row>
    <row r="22" spans="1:7">
      <c r="A22" s="245">
        <v>12</v>
      </c>
      <c r="B22" s="246" t="s">
        <v>415</v>
      </c>
      <c r="C22" s="279">
        <v>0.18005179311913944</v>
      </c>
      <c r="D22" s="280">
        <v>0.17999428358472216</v>
      </c>
      <c r="E22" s="280">
        <v>0.17159498546563895</v>
      </c>
      <c r="F22" s="280">
        <v>0.17299999999999999</v>
      </c>
      <c r="G22" s="281">
        <v>0.17089811356284812</v>
      </c>
    </row>
    <row r="23" spans="1:7">
      <c r="A23" s="245">
        <v>13</v>
      </c>
      <c r="B23" s="246" t="s">
        <v>416</v>
      </c>
      <c r="C23" s="279">
        <v>0.22154101432026355</v>
      </c>
      <c r="D23" s="280">
        <v>0.2218582627898178</v>
      </c>
      <c r="E23" s="280">
        <v>0.21272158810711816</v>
      </c>
      <c r="F23" s="280">
        <v>0.21490000000000001</v>
      </c>
      <c r="G23" s="281">
        <v>0.21186962543107002</v>
      </c>
    </row>
    <row r="24" spans="1:7">
      <c r="A24" s="264"/>
      <c r="B24" s="265" t="s">
        <v>952</v>
      </c>
      <c r="C24" s="171"/>
      <c r="D24" s="171"/>
      <c r="E24" s="171"/>
      <c r="F24" s="171"/>
      <c r="G24" s="172"/>
    </row>
    <row r="25" spans="1:7" ht="27.6">
      <c r="A25" s="245">
        <v>14</v>
      </c>
      <c r="B25" s="246" t="s">
        <v>953</v>
      </c>
      <c r="C25" s="279">
        <v>0</v>
      </c>
      <c r="D25" s="279">
        <v>0</v>
      </c>
      <c r="E25" s="279">
        <v>0</v>
      </c>
      <c r="F25" s="279">
        <v>0</v>
      </c>
      <c r="G25" s="281">
        <v>0</v>
      </c>
    </row>
    <row r="26" spans="1:7">
      <c r="A26" s="264"/>
      <c r="B26" s="265" t="s">
        <v>6</v>
      </c>
      <c r="C26" s="171"/>
      <c r="D26" s="171"/>
      <c r="E26" s="171"/>
      <c r="F26" s="171"/>
      <c r="G26" s="172"/>
    </row>
    <row r="27" spans="1:7" ht="15" customHeight="1">
      <c r="A27" s="271">
        <v>15</v>
      </c>
      <c r="B27" s="272" t="s">
        <v>7</v>
      </c>
      <c r="C27" s="598">
        <v>7.5199785725246507E-2</v>
      </c>
      <c r="D27" s="596">
        <v>8.4455794896949363E-2</v>
      </c>
      <c r="E27" s="596">
        <v>8.677151535176017E-2</v>
      </c>
      <c r="F27" s="596">
        <v>8.9700000000000002E-2</v>
      </c>
      <c r="G27" s="597">
        <v>9.5886030903459929E-2</v>
      </c>
    </row>
    <row r="28" spans="1:7">
      <c r="A28" s="271">
        <v>16</v>
      </c>
      <c r="B28" s="272" t="s">
        <v>8</v>
      </c>
      <c r="C28" s="598">
        <v>3.9735782325567508E-2</v>
      </c>
      <c r="D28" s="596">
        <v>3.9135507161925723E-2</v>
      </c>
      <c r="E28" s="596">
        <v>3.8882615767060091E-2</v>
      </c>
      <c r="F28" s="596">
        <v>3.9399999999999998E-2</v>
      </c>
      <c r="G28" s="597">
        <v>4.0520378067413598E-2</v>
      </c>
    </row>
    <row r="29" spans="1:7">
      <c r="A29" s="271">
        <v>17</v>
      </c>
      <c r="B29" s="272" t="s">
        <v>9</v>
      </c>
      <c r="C29" s="598">
        <v>7.9801559988163823E-2</v>
      </c>
      <c r="D29" s="596">
        <v>0.10430778313433346</v>
      </c>
      <c r="E29" s="596">
        <v>0.10159692135706903</v>
      </c>
      <c r="F29" s="596">
        <v>0.1106</v>
      </c>
      <c r="G29" s="597">
        <v>0.12619778138159277</v>
      </c>
    </row>
    <row r="30" spans="1:7">
      <c r="A30" s="271">
        <v>18</v>
      </c>
      <c r="B30" s="272" t="s">
        <v>129</v>
      </c>
      <c r="C30" s="598">
        <v>3.5464003399679006E-2</v>
      </c>
      <c r="D30" s="596">
        <v>4.5320287735023633E-2</v>
      </c>
      <c r="E30" s="596">
        <v>4.7888899584700093E-2</v>
      </c>
      <c r="F30" s="596">
        <v>5.0299999999999997E-2</v>
      </c>
      <c r="G30" s="597">
        <v>5.536565283604631E-2</v>
      </c>
    </row>
    <row r="31" spans="1:7">
      <c r="A31" s="271">
        <v>19</v>
      </c>
      <c r="B31" s="272" t="s">
        <v>10</v>
      </c>
      <c r="C31" s="598">
        <v>-5.2582282465460026E-3</v>
      </c>
      <c r="D31" s="596">
        <v>1.2417834068845579E-2</v>
      </c>
      <c r="E31" s="596">
        <v>1.4640520666768901E-2</v>
      </c>
      <c r="F31" s="596">
        <v>1.15E-2</v>
      </c>
      <c r="G31" s="597">
        <v>1.0442800918214147E-2</v>
      </c>
    </row>
    <row r="32" spans="1:7">
      <c r="A32" s="271">
        <v>20</v>
      </c>
      <c r="B32" s="272" t="s">
        <v>11</v>
      </c>
      <c r="C32" s="598">
        <v>-3.0128498143912601E-2</v>
      </c>
      <c r="D32" s="596">
        <v>6.2709020380734518E-2</v>
      </c>
      <c r="E32" s="596">
        <v>7.1343561980496531E-2</v>
      </c>
      <c r="F32" s="596">
        <v>5.5199999999999999E-2</v>
      </c>
      <c r="G32" s="597">
        <v>4.8665875549575688E-2</v>
      </c>
    </row>
    <row r="33" spans="1:7">
      <c r="A33" s="264"/>
      <c r="B33" s="265" t="s">
        <v>12</v>
      </c>
      <c r="C33" s="171"/>
      <c r="D33" s="171"/>
      <c r="E33" s="171"/>
      <c r="F33" s="171"/>
      <c r="G33" s="172"/>
    </row>
    <row r="34" spans="1:7">
      <c r="A34" s="271">
        <v>21</v>
      </c>
      <c r="B34" s="272" t="s">
        <v>13</v>
      </c>
      <c r="C34" s="598">
        <v>7.6862849782852474E-2</v>
      </c>
      <c r="D34" s="596">
        <v>5.6073456554977676E-2</v>
      </c>
      <c r="E34" s="596">
        <v>7.9918818717348045E-2</v>
      </c>
      <c r="F34" s="596">
        <v>8.2199999999999995E-2</v>
      </c>
      <c r="G34" s="597">
        <v>8.3754507254769309E-2</v>
      </c>
    </row>
    <row r="35" spans="1:7" ht="15" customHeight="1">
      <c r="A35" s="271">
        <v>22</v>
      </c>
      <c r="B35" s="272" t="s">
        <v>917</v>
      </c>
      <c r="C35" s="598">
        <v>2.8485640639040008E-2</v>
      </c>
      <c r="D35" s="596">
        <v>2.065458141958804E-2</v>
      </c>
      <c r="E35" s="596">
        <v>2.6961203129576065E-2</v>
      </c>
      <c r="F35" s="596">
        <v>2.93E-2</v>
      </c>
      <c r="G35" s="597">
        <v>3.141989674239444E-2</v>
      </c>
    </row>
    <row r="36" spans="1:7">
      <c r="A36" s="271">
        <v>23</v>
      </c>
      <c r="B36" s="272" t="s">
        <v>14</v>
      </c>
      <c r="C36" s="598">
        <v>0.57157109710675547</v>
      </c>
      <c r="D36" s="596">
        <v>0.55120954788240673</v>
      </c>
      <c r="E36" s="596">
        <v>0.54307916303550308</v>
      </c>
      <c r="F36" s="596">
        <v>0.57150000000000001</v>
      </c>
      <c r="G36" s="597">
        <v>0.5644798810516557</v>
      </c>
    </row>
    <row r="37" spans="1:7" ht="15" customHeight="1">
      <c r="A37" s="271">
        <v>24</v>
      </c>
      <c r="B37" s="272" t="s">
        <v>15</v>
      </c>
      <c r="C37" s="598">
        <v>0.56608425379687843</v>
      </c>
      <c r="D37" s="596">
        <v>0.55913895601917318</v>
      </c>
      <c r="E37" s="596">
        <v>0.57547857249439538</v>
      </c>
      <c r="F37" s="596">
        <v>0.57279999999999998</v>
      </c>
      <c r="G37" s="597">
        <v>0.51931668441942525</v>
      </c>
    </row>
    <row r="38" spans="1:7">
      <c r="A38" s="271">
        <v>25</v>
      </c>
      <c r="B38" s="272" t="s">
        <v>16</v>
      </c>
      <c r="C38" s="598">
        <v>9.6740630104112046E-2</v>
      </c>
      <c r="D38" s="596">
        <v>0.16073765380705596</v>
      </c>
      <c r="E38" s="596">
        <v>-1.1304129831490872E-4</v>
      </c>
      <c r="F38" s="596">
        <v>-2.0899999999999998E-2</v>
      </c>
      <c r="G38" s="597">
        <v>-0.12857628734455473</v>
      </c>
    </row>
    <row r="39" spans="1:7" ht="15" customHeight="1">
      <c r="A39" s="264"/>
      <c r="B39" s="265" t="s">
        <v>17</v>
      </c>
      <c r="C39" s="171"/>
      <c r="D39" s="171"/>
      <c r="E39" s="171"/>
      <c r="F39" s="171"/>
      <c r="G39" s="172"/>
    </row>
    <row r="40" spans="1:7" ht="15" customHeight="1">
      <c r="A40" s="271">
        <v>26</v>
      </c>
      <c r="B40" s="272" t="s">
        <v>18</v>
      </c>
      <c r="C40" s="598">
        <v>0.12215729579927162</v>
      </c>
      <c r="D40" s="598">
        <v>0.16431717314614264</v>
      </c>
      <c r="E40" s="598">
        <v>0.28634070765830338</v>
      </c>
      <c r="F40" s="598">
        <v>0.30470000000000003</v>
      </c>
      <c r="G40" s="599">
        <v>0.17952791231305065</v>
      </c>
    </row>
    <row r="41" spans="1:7" ht="15" customHeight="1">
      <c r="A41" s="271">
        <v>27</v>
      </c>
      <c r="B41" s="272" t="s">
        <v>19</v>
      </c>
      <c r="C41" s="598">
        <v>0.70682418956217785</v>
      </c>
      <c r="D41" s="598">
        <v>0.72156082962024748</v>
      </c>
      <c r="E41" s="598">
        <v>0.72450984632381921</v>
      </c>
      <c r="F41" s="598">
        <v>0.74619999999999997</v>
      </c>
      <c r="G41" s="599">
        <v>0.67763894205345754</v>
      </c>
    </row>
    <row r="42" spans="1:7" ht="15" customHeight="1">
      <c r="A42" s="271">
        <v>28</v>
      </c>
      <c r="B42" s="273" t="s">
        <v>20</v>
      </c>
      <c r="C42" s="598">
        <v>0.23130777812520195</v>
      </c>
      <c r="D42" s="598">
        <v>0.14870800097122061</v>
      </c>
      <c r="E42" s="598">
        <v>0.20877098946386982</v>
      </c>
      <c r="F42" s="598">
        <v>0.28189999999999998</v>
      </c>
      <c r="G42" s="599">
        <v>0.19201429243507395</v>
      </c>
    </row>
    <row r="43" spans="1:7" ht="15" customHeight="1">
      <c r="A43" s="277"/>
      <c r="B43" s="265" t="s">
        <v>344</v>
      </c>
      <c r="C43" s="171"/>
      <c r="D43" s="171"/>
      <c r="E43" s="171"/>
      <c r="F43" s="171"/>
      <c r="G43" s="172"/>
    </row>
    <row r="44" spans="1:7" ht="15" customHeight="1">
      <c r="A44" s="271">
        <v>29</v>
      </c>
      <c r="B44" s="320" t="s">
        <v>328</v>
      </c>
      <c r="C44" s="273">
        <v>224546181.81196672</v>
      </c>
      <c r="D44" s="273">
        <v>227775251.46565872</v>
      </c>
      <c r="E44" s="273">
        <v>203264763.41620654</v>
      </c>
      <c r="F44" s="273">
        <v>181579068.78381318</v>
      </c>
      <c r="G44" s="276">
        <v>139702649.14356813</v>
      </c>
    </row>
    <row r="45" spans="1:7">
      <c r="A45" s="271">
        <v>30</v>
      </c>
      <c r="B45" s="272" t="s">
        <v>329</v>
      </c>
      <c r="C45" s="273">
        <v>184337199.69594449</v>
      </c>
      <c r="D45" s="274">
        <v>175405862.61822349</v>
      </c>
      <c r="E45" s="274">
        <v>159429601.24470124</v>
      </c>
      <c r="F45" s="274">
        <v>122603437.92307965</v>
      </c>
      <c r="G45" s="275">
        <v>94433712.680466294</v>
      </c>
    </row>
    <row r="46" spans="1:7">
      <c r="A46" s="315">
        <v>31</v>
      </c>
      <c r="B46" s="316" t="s">
        <v>327</v>
      </c>
      <c r="C46" s="598">
        <v>1.2181273350270323</v>
      </c>
      <c r="D46" s="598">
        <v>1.2985612229017618</v>
      </c>
      <c r="E46" s="598">
        <v>1.2749499580333561</v>
      </c>
      <c r="F46" s="598">
        <v>1.4810275458811712</v>
      </c>
      <c r="G46" s="599">
        <v>1.4793726221087753</v>
      </c>
    </row>
    <row r="47" spans="1:7">
      <c r="A47" s="315"/>
      <c r="B47" s="265" t="s">
        <v>422</v>
      </c>
      <c r="C47" s="171"/>
      <c r="D47" s="171"/>
      <c r="E47" s="171"/>
      <c r="F47" s="171"/>
      <c r="G47" s="172"/>
    </row>
    <row r="48" spans="1:7">
      <c r="A48" s="315">
        <v>32</v>
      </c>
      <c r="B48" s="316" t="s">
        <v>429</v>
      </c>
      <c r="C48" s="317">
        <v>402681589.8039</v>
      </c>
      <c r="D48" s="318">
        <v>412250716.22105998</v>
      </c>
      <c r="E48" s="318">
        <v>335313696.52079999</v>
      </c>
      <c r="F48" s="318">
        <v>388661700.29769504</v>
      </c>
      <c r="G48" s="319">
        <v>335903319.85475004</v>
      </c>
    </row>
    <row r="49" spans="1:7">
      <c r="A49" s="315">
        <v>33</v>
      </c>
      <c r="B49" s="316" t="s">
        <v>442</v>
      </c>
      <c r="C49" s="317">
        <v>306246443.26609409</v>
      </c>
      <c r="D49" s="318">
        <v>312469588.36279923</v>
      </c>
      <c r="E49" s="318">
        <v>297846133.32624358</v>
      </c>
      <c r="F49" s="318">
        <v>282232716.80138165</v>
      </c>
      <c r="G49" s="319">
        <v>280388726.74643266</v>
      </c>
    </row>
    <row r="50" spans="1:7" ht="15" thickBot="1">
      <c r="A50" s="61">
        <v>34</v>
      </c>
      <c r="B50" s="134" t="s">
        <v>456</v>
      </c>
      <c r="C50" s="755">
        <v>1.3148939315321762</v>
      </c>
      <c r="D50" s="600">
        <v>1.3193306855270914</v>
      </c>
      <c r="E50" s="600">
        <v>1.1257950297226675</v>
      </c>
      <c r="F50" s="600">
        <v>1.3770965489136104</v>
      </c>
      <c r="G50" s="601">
        <v>1.19799153037462</v>
      </c>
    </row>
    <row r="51" spans="1:7">
      <c r="A51" s="15"/>
    </row>
    <row r="52" spans="1:7">
      <c r="B52" s="17"/>
    </row>
    <row r="53" spans="1:7" ht="69">
      <c r="B53" s="199" t="s">
        <v>343</v>
      </c>
    </row>
  </sheetData>
  <mergeCells count="1">
    <mergeCell ref="D4:G4"/>
  </mergeCells>
  <pageMargins left="0.7" right="0.7" top="0.75" bottom="0.75" header="0.3" footer="0.3"/>
  <pageSetup paperSize="9" orientation="portrait" r:id="rId1"/>
  <headerFooter>
    <oddFooter>&amp;C_x000D_&amp;1#&amp;"Calibri"&amp;10&amp;K000000 C1 - FOR INTERNAL USE ONLY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9"/>
  <sheetViews>
    <sheetView zoomScale="80" zoomScaleNormal="80" workbookViewId="0">
      <selection activeCell="E36" sqref="E36"/>
    </sheetView>
  </sheetViews>
  <sheetFormatPr defaultRowHeight="14.4"/>
  <cols>
    <col min="1" max="1" width="11.44140625" customWidth="1"/>
    <col min="2" max="2" width="76.77734375" style="2" customWidth="1"/>
    <col min="3" max="3" width="22.77734375" customWidth="1"/>
  </cols>
  <sheetData>
    <row r="1" spans="1:3">
      <c r="A1" s="1" t="s">
        <v>97</v>
      </c>
      <c r="B1" t="str">
        <f>Info!C2</f>
        <v>სს " პაშა ბანკი საქართველო"</v>
      </c>
    </row>
    <row r="2" spans="1:3">
      <c r="A2" s="1" t="s">
        <v>98</v>
      </c>
      <c r="B2" s="278">
        <f>'1. key ratios'!B2</f>
        <v>45747</v>
      </c>
    </row>
    <row r="3" spans="1:3">
      <c r="A3" s="1"/>
      <c r="B3"/>
    </row>
    <row r="4" spans="1:3">
      <c r="A4" s="1" t="s">
        <v>406</v>
      </c>
      <c r="B4" t="s">
        <v>375</v>
      </c>
    </row>
    <row r="5" spans="1:3">
      <c r="A5" s="556"/>
      <c r="B5" s="556" t="s">
        <v>376</v>
      </c>
      <c r="C5" s="557"/>
    </row>
    <row r="6" spans="1:3">
      <c r="A6" s="558">
        <v>1</v>
      </c>
      <c r="B6" s="559" t="s">
        <v>376</v>
      </c>
      <c r="C6" s="560">
        <v>700228145.70709991</v>
      </c>
    </row>
    <row r="7" spans="1:3">
      <c r="A7" s="558">
        <v>2</v>
      </c>
      <c r="B7" s="559" t="s">
        <v>377</v>
      </c>
      <c r="C7" s="560">
        <v>-7379020.6299999999</v>
      </c>
    </row>
    <row r="8" spans="1:3">
      <c r="A8" s="561">
        <v>3</v>
      </c>
      <c r="B8" s="562" t="s">
        <v>378</v>
      </c>
      <c r="C8" s="563">
        <f>C6+C7</f>
        <v>692849125.07709992</v>
      </c>
    </row>
    <row r="9" spans="1:3">
      <c r="A9" s="564"/>
      <c r="B9" s="564" t="s">
        <v>379</v>
      </c>
      <c r="C9" s="565"/>
    </row>
    <row r="10" spans="1:3">
      <c r="A10" s="566">
        <v>4</v>
      </c>
      <c r="B10" s="567" t="s">
        <v>380</v>
      </c>
      <c r="C10" s="560">
        <f>'15. CCR'!F34</f>
        <v>221045.89</v>
      </c>
    </row>
    <row r="11" spans="1:3">
      <c r="A11" s="566">
        <v>5</v>
      </c>
      <c r="B11" s="568" t="s">
        <v>381</v>
      </c>
      <c r="C11" s="560">
        <f>'15. CCR'!G34</f>
        <v>532198</v>
      </c>
    </row>
    <row r="12" spans="1:3">
      <c r="A12" s="566">
        <v>6</v>
      </c>
      <c r="B12" s="569" t="s">
        <v>979</v>
      </c>
      <c r="C12" s="563">
        <f>'15. CCR'!I34</f>
        <v>1054541.446</v>
      </c>
    </row>
    <row r="13" spans="1:3">
      <c r="A13" s="570">
        <v>7</v>
      </c>
      <c r="B13" s="571" t="s">
        <v>382</v>
      </c>
      <c r="C13" s="560">
        <f>'15. CCR'!E34</f>
        <v>9792800</v>
      </c>
    </row>
    <row r="14" spans="1:3">
      <c r="A14" s="572">
        <v>8</v>
      </c>
      <c r="B14" s="573" t="s">
        <v>383</v>
      </c>
      <c r="C14" s="563">
        <f>C12</f>
        <v>1054541.446</v>
      </c>
    </row>
    <row r="15" spans="1:3">
      <c r="A15" s="564"/>
      <c r="B15" s="564" t="s">
        <v>384</v>
      </c>
      <c r="C15" s="574"/>
    </row>
    <row r="16" spans="1:3">
      <c r="A16" s="570">
        <v>9</v>
      </c>
      <c r="B16" s="575" t="s">
        <v>385</v>
      </c>
      <c r="C16" s="560"/>
    </row>
    <row r="17" spans="1:3">
      <c r="A17" s="566">
        <v>10</v>
      </c>
      <c r="B17" s="559" t="s">
        <v>386</v>
      </c>
      <c r="C17" s="560"/>
    </row>
    <row r="18" spans="1:3">
      <c r="A18" s="566">
        <v>11</v>
      </c>
      <c r="B18" s="559" t="s">
        <v>387</v>
      </c>
      <c r="C18" s="560"/>
    </row>
    <row r="19" spans="1:3" ht="22.8">
      <c r="A19" s="570">
        <v>12</v>
      </c>
      <c r="B19" s="575" t="s">
        <v>388</v>
      </c>
      <c r="C19" s="560"/>
    </row>
    <row r="20" spans="1:3">
      <c r="A20" s="570">
        <v>13</v>
      </c>
      <c r="B20" s="575" t="s">
        <v>389</v>
      </c>
      <c r="C20" s="560"/>
    </row>
    <row r="21" spans="1:3">
      <c r="A21" s="570">
        <v>14</v>
      </c>
      <c r="B21" s="559" t="s">
        <v>390</v>
      </c>
      <c r="C21" s="560"/>
    </row>
    <row r="22" spans="1:3">
      <c r="A22" s="572">
        <v>15</v>
      </c>
      <c r="B22" s="573" t="s">
        <v>391</v>
      </c>
      <c r="C22" s="563">
        <f>SUM(C16:C21)</f>
        <v>0</v>
      </c>
    </row>
    <row r="23" spans="1:3">
      <c r="A23" s="564"/>
      <c r="B23" s="564" t="s">
        <v>392</v>
      </c>
      <c r="C23" s="565"/>
    </row>
    <row r="24" spans="1:3">
      <c r="A24" s="566">
        <v>16</v>
      </c>
      <c r="B24" s="559" t="s">
        <v>393</v>
      </c>
      <c r="C24" s="560">
        <v>78109987.643474996</v>
      </c>
    </row>
    <row r="25" spans="1:3">
      <c r="A25" s="566">
        <v>17</v>
      </c>
      <c r="B25" s="559" t="s">
        <v>394</v>
      </c>
      <c r="C25" s="560">
        <v>-41517918.245380491</v>
      </c>
    </row>
    <row r="26" spans="1:3">
      <c r="A26" s="572">
        <v>18</v>
      </c>
      <c r="B26" s="573" t="s">
        <v>395</v>
      </c>
      <c r="C26" s="563">
        <f>C24+C25</f>
        <v>36592069.398094505</v>
      </c>
    </row>
    <row r="27" spans="1:3">
      <c r="A27" s="564"/>
      <c r="B27" s="564" t="s">
        <v>396</v>
      </c>
      <c r="C27" s="574"/>
    </row>
    <row r="28" spans="1:3">
      <c r="A28" s="566">
        <v>19</v>
      </c>
      <c r="B28" s="559" t="s">
        <v>397</v>
      </c>
      <c r="C28" s="560"/>
    </row>
    <row r="29" spans="1:3">
      <c r="A29" s="566">
        <v>20</v>
      </c>
      <c r="B29" s="559" t="s">
        <v>398</v>
      </c>
      <c r="C29" s="560"/>
    </row>
    <row r="30" spans="1:3">
      <c r="A30" s="564"/>
      <c r="B30" s="564" t="s">
        <v>399</v>
      </c>
      <c r="C30" s="565"/>
    </row>
    <row r="31" spans="1:3">
      <c r="A31" s="572">
        <v>21</v>
      </c>
      <c r="B31" s="573" t="s">
        <v>75</v>
      </c>
      <c r="C31" s="563">
        <v>114576078.96000001</v>
      </c>
    </row>
    <row r="32" spans="1:3">
      <c r="A32" s="572">
        <v>22</v>
      </c>
      <c r="B32" s="573" t="s">
        <v>400</v>
      </c>
      <c r="C32" s="563">
        <f>C8+C14+C22+C26</f>
        <v>730495735.92119443</v>
      </c>
    </row>
    <row r="33" spans="1:3">
      <c r="A33" s="576"/>
      <c r="B33" s="576" t="s">
        <v>375</v>
      </c>
      <c r="C33" s="565"/>
    </row>
    <row r="34" spans="1:3">
      <c r="A34" s="572">
        <v>23</v>
      </c>
      <c r="B34" s="573" t="s">
        <v>375</v>
      </c>
      <c r="C34" s="685">
        <f>IFERROR(C31/C32,0)</f>
        <v>0.15684701953189831</v>
      </c>
    </row>
    <row r="35" spans="1:3">
      <c r="A35" s="576"/>
      <c r="B35" s="576" t="s">
        <v>401</v>
      </c>
      <c r="C35" s="565"/>
    </row>
    <row r="36" spans="1:3">
      <c r="A36" s="570" t="s">
        <v>402</v>
      </c>
      <c r="B36" s="575" t="s">
        <v>403</v>
      </c>
      <c r="C36" s="577"/>
    </row>
    <row r="37" spans="1:3">
      <c r="A37" s="578" t="s">
        <v>404</v>
      </c>
      <c r="B37" s="579" t="s">
        <v>405</v>
      </c>
      <c r="C37" s="577"/>
    </row>
    <row r="39" spans="1:3">
      <c r="B39" s="242"/>
    </row>
  </sheetData>
  <pageMargins left="0.7" right="0.7" top="0.75" bottom="0.75" header="0.3" footer="0.3"/>
  <pageSetup paperSize="9" orientation="portrait" r:id="rId1"/>
  <headerFooter>
    <oddFooter>&amp;C_x000D_&amp;1#&amp;"Calibri"&amp;10&amp;K000000 C1 - FOR INTERNAL USE ONLY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9"/>
  <sheetViews>
    <sheetView zoomScale="80" zoomScaleNormal="80" workbookViewId="0">
      <selection activeCell="D15" sqref="D15"/>
    </sheetView>
  </sheetViews>
  <sheetFormatPr defaultRowHeight="14.4"/>
  <cols>
    <col min="1" max="1" width="11.44140625" customWidth="1"/>
    <col min="2" max="2" width="76.77734375" style="2" customWidth="1"/>
    <col min="3" max="6" width="24.44140625" customWidth="1"/>
  </cols>
  <sheetData>
    <row r="1" spans="1:6">
      <c r="A1" s="12" t="s">
        <v>97</v>
      </c>
      <c r="B1" s="661" t="str">
        <f>'1. key ratios'!B1</f>
        <v>სს " პაშა ბანკი საქართველო"</v>
      </c>
    </row>
    <row r="2" spans="1:6">
      <c r="A2" s="1" t="s">
        <v>98</v>
      </c>
      <c r="B2" s="662">
        <f>'1. key ratios'!B2</f>
        <v>45747</v>
      </c>
    </row>
    <row r="3" spans="1:6">
      <c r="A3" s="1"/>
      <c r="B3"/>
    </row>
    <row r="4" spans="1:6">
      <c r="A4" s="555" t="s">
        <v>971</v>
      </c>
    </row>
    <row r="5" spans="1:6" ht="86.4">
      <c r="B5" s="549"/>
      <c r="C5" s="550" t="s">
        <v>972</v>
      </c>
      <c r="D5" s="550" t="s">
        <v>973</v>
      </c>
      <c r="E5" s="550" t="s">
        <v>974</v>
      </c>
      <c r="F5" s="550" t="s">
        <v>975</v>
      </c>
    </row>
    <row r="6" spans="1:6">
      <c r="B6" s="551" t="s">
        <v>970</v>
      </c>
      <c r="C6" s="552">
        <f>IF(C7&gt;0,C7,IF(C8&gt;0,C8,IF(C9&gt;0,C9,0)))</f>
        <v>1053650</v>
      </c>
      <c r="D6" s="552">
        <f>IF(D7&gt;0,D7,IF(D8&gt;0,D8,IF(D9&gt;0,D9,0)))</f>
        <v>1150</v>
      </c>
      <c r="E6" s="552">
        <f>IF(E7&gt;0,E7,IF(E8&gt;0,E8,IF(E9&gt;0,E9,0)))</f>
        <v>0</v>
      </c>
      <c r="F6" s="552">
        <f>IF(F7&gt;0,F7,IF(F8&gt;0,F8,IF(F9&gt;0,F9,0)))</f>
        <v>14377</v>
      </c>
    </row>
    <row r="7" spans="1:6">
      <c r="B7" s="553" t="s">
        <v>976</v>
      </c>
      <c r="C7" s="554">
        <v>1053650</v>
      </c>
      <c r="D7" s="554">
        <v>1150</v>
      </c>
      <c r="E7" s="554">
        <v>0</v>
      </c>
      <c r="F7" s="554">
        <v>14377</v>
      </c>
    </row>
    <row r="8" spans="1:6">
      <c r="B8" s="553" t="s">
        <v>977</v>
      </c>
      <c r="C8" s="554"/>
      <c r="D8" s="554"/>
      <c r="E8" s="554"/>
      <c r="F8" s="554"/>
    </row>
    <row r="9" spans="1:6">
      <c r="B9" s="553" t="s">
        <v>978</v>
      </c>
      <c r="C9" s="554"/>
      <c r="D9" s="554"/>
      <c r="E9" s="554"/>
      <c r="F9" s="554"/>
    </row>
  </sheetData>
  <pageMargins left="0.7" right="0.7" top="0.75" bottom="0.75" header="0.3" footer="0.3"/>
  <pageSetup paperSize="9" orientation="portrait" r:id="rId1"/>
  <headerFooter>
    <oddFooter>&amp;C_x000D_&amp;1#&amp;"Calibri"&amp;10&amp;K000000 C1 - FOR INTERNAL USE ONLY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J42" sqref="J42"/>
    </sheetView>
  </sheetViews>
  <sheetFormatPr defaultRowHeight="14.4"/>
  <cols>
    <col min="1" max="1" width="9.88671875" style="1" bestFit="1" customWidth="1"/>
    <col min="2" max="2" width="82.6640625" style="17" customWidth="1"/>
    <col min="3" max="7" width="17.5546875" style="1" customWidth="1"/>
  </cols>
  <sheetData>
    <row r="1" spans="1:7">
      <c r="A1" s="1" t="s">
        <v>97</v>
      </c>
      <c r="B1" s="1" t="str">
        <f>Info!C2</f>
        <v>სს " პაშა ბანკი საქართველო"</v>
      </c>
    </row>
    <row r="2" spans="1:7">
      <c r="A2" s="1" t="s">
        <v>98</v>
      </c>
      <c r="B2" s="278">
        <f>'1. key ratios'!B2</f>
        <v>45747</v>
      </c>
    </row>
    <row r="3" spans="1:7">
      <c r="B3" s="278"/>
    </row>
    <row r="4" spans="1:7" ht="15" thickBot="1">
      <c r="A4" s="1" t="s">
        <v>457</v>
      </c>
      <c r="B4" s="163" t="s">
        <v>422</v>
      </c>
    </row>
    <row r="5" spans="1:7">
      <c r="A5" s="282"/>
      <c r="B5" s="283"/>
      <c r="C5" s="829" t="s">
        <v>423</v>
      </c>
      <c r="D5" s="829"/>
      <c r="E5" s="829"/>
      <c r="F5" s="829"/>
      <c r="G5" s="830" t="s">
        <v>424</v>
      </c>
    </row>
    <row r="6" spans="1:7">
      <c r="A6" s="284"/>
      <c r="B6" s="285"/>
      <c r="C6" s="286" t="s">
        <v>425</v>
      </c>
      <c r="D6" s="286" t="s">
        <v>426</v>
      </c>
      <c r="E6" s="286" t="s">
        <v>427</v>
      </c>
      <c r="F6" s="286" t="s">
        <v>428</v>
      </c>
      <c r="G6" s="831"/>
    </row>
    <row r="7" spans="1:7">
      <c r="A7" s="287"/>
      <c r="B7" s="288" t="s">
        <v>429</v>
      </c>
      <c r="C7" s="289"/>
      <c r="D7" s="289"/>
      <c r="E7" s="289"/>
      <c r="F7" s="289"/>
      <c r="G7" s="290"/>
    </row>
    <row r="8" spans="1:7">
      <c r="A8" s="291">
        <v>1</v>
      </c>
      <c r="B8" s="292" t="s">
        <v>430</v>
      </c>
      <c r="C8" s="293">
        <f>SUM(C9:C10)</f>
        <v>146400028.96000001</v>
      </c>
      <c r="D8" s="293">
        <f>SUM(D9:D10)</f>
        <v>0</v>
      </c>
      <c r="E8" s="293">
        <f>SUM(E9:E10)</f>
        <v>0</v>
      </c>
      <c r="F8" s="293">
        <f>SUM(F9:F10)</f>
        <v>142303439.61790001</v>
      </c>
      <c r="G8" s="294">
        <f>SUM(G9:G10)</f>
        <v>288703468.57790005</v>
      </c>
    </row>
    <row r="9" spans="1:7">
      <c r="A9" s="291">
        <v>2</v>
      </c>
      <c r="B9" s="295" t="s">
        <v>74</v>
      </c>
      <c r="C9" s="293">
        <v>146400028.96000001</v>
      </c>
      <c r="D9" s="293"/>
      <c r="E9" s="293"/>
      <c r="F9" s="293"/>
      <c r="G9" s="294">
        <v>146400028.96000001</v>
      </c>
    </row>
    <row r="10" spans="1:7">
      <c r="A10" s="291">
        <v>3</v>
      </c>
      <c r="B10" s="295" t="s">
        <v>431</v>
      </c>
      <c r="C10" s="296"/>
      <c r="D10" s="296"/>
      <c r="E10" s="296"/>
      <c r="F10" s="293">
        <v>142303439.61790001</v>
      </c>
      <c r="G10" s="294">
        <v>142303439.61790001</v>
      </c>
    </row>
    <row r="11" spans="1:7" ht="27.6">
      <c r="A11" s="291">
        <v>4</v>
      </c>
      <c r="B11" s="292" t="s">
        <v>432</v>
      </c>
      <c r="C11" s="293">
        <f t="shared" ref="C11:F11" si="0">SUM(C12:C13)</f>
        <v>16885480.449999999</v>
      </c>
      <c r="D11" s="293">
        <f t="shared" si="0"/>
        <v>36771447.549999997</v>
      </c>
      <c r="E11" s="293">
        <f t="shared" si="0"/>
        <v>15664016</v>
      </c>
      <c r="F11" s="293">
        <f t="shared" si="0"/>
        <v>2134569.9200000004</v>
      </c>
      <c r="G11" s="294">
        <f>SUM(G12:G13)</f>
        <v>46714197.126000002</v>
      </c>
    </row>
    <row r="12" spans="1:7">
      <c r="A12" s="291">
        <v>5</v>
      </c>
      <c r="B12" s="295" t="s">
        <v>433</v>
      </c>
      <c r="C12" s="293">
        <v>3545846.1399999997</v>
      </c>
      <c r="D12" s="297">
        <v>11809247.859999999</v>
      </c>
      <c r="E12" s="293">
        <v>8472648</v>
      </c>
      <c r="F12" s="293">
        <v>586569.48</v>
      </c>
      <c r="G12" s="294">
        <v>23193595.905999999</v>
      </c>
    </row>
    <row r="13" spans="1:7">
      <c r="A13" s="291">
        <v>6</v>
      </c>
      <c r="B13" s="295" t="s">
        <v>434</v>
      </c>
      <c r="C13" s="293">
        <v>13339634.310000001</v>
      </c>
      <c r="D13" s="297">
        <v>24962199.689999998</v>
      </c>
      <c r="E13" s="293">
        <v>7191368</v>
      </c>
      <c r="F13" s="293">
        <v>1548000.4400000004</v>
      </c>
      <c r="G13" s="294">
        <v>23520601.219999999</v>
      </c>
    </row>
    <row r="14" spans="1:7">
      <c r="A14" s="291">
        <v>7</v>
      </c>
      <c r="B14" s="292" t="s">
        <v>435</v>
      </c>
      <c r="C14" s="293">
        <f t="shared" ref="C14:F14" si="1">SUM(C15:C16)</f>
        <v>149047366.44999999</v>
      </c>
      <c r="D14" s="293">
        <f t="shared" si="1"/>
        <v>152244999.54999998</v>
      </c>
      <c r="E14" s="293">
        <f t="shared" si="1"/>
        <v>15140954</v>
      </c>
      <c r="F14" s="293">
        <f t="shared" si="1"/>
        <v>-0.32999999448657036</v>
      </c>
      <c r="G14" s="294">
        <f>SUM(G15:G16)</f>
        <v>67263924.099999979</v>
      </c>
    </row>
    <row r="15" spans="1:7" ht="55.2">
      <c r="A15" s="291">
        <v>8</v>
      </c>
      <c r="B15" s="295" t="s">
        <v>436</v>
      </c>
      <c r="C15" s="293">
        <v>68107761.349999994</v>
      </c>
      <c r="D15" s="297">
        <v>51279133.179999977</v>
      </c>
      <c r="E15" s="293">
        <v>9789516.0700000003</v>
      </c>
      <c r="F15" s="293">
        <v>-0.32999999448657036</v>
      </c>
      <c r="G15" s="294">
        <v>64588205.134999983</v>
      </c>
    </row>
    <row r="16" spans="1:7" ht="27.6">
      <c r="A16" s="291">
        <v>9</v>
      </c>
      <c r="B16" s="295" t="s">
        <v>437</v>
      </c>
      <c r="C16" s="293">
        <v>80939605.099999994</v>
      </c>
      <c r="D16" s="297">
        <v>100965866.37</v>
      </c>
      <c r="E16" s="293">
        <v>5351437.93</v>
      </c>
      <c r="F16" s="293">
        <v>0</v>
      </c>
      <c r="G16" s="294">
        <v>2675718.9649999999</v>
      </c>
    </row>
    <row r="17" spans="1:7">
      <c r="A17" s="291">
        <v>10</v>
      </c>
      <c r="B17" s="292" t="s">
        <v>438</v>
      </c>
      <c r="C17" s="293">
        <v>0</v>
      </c>
      <c r="D17" s="297"/>
      <c r="E17" s="293">
        <v>0</v>
      </c>
      <c r="F17" s="293">
        <v>0</v>
      </c>
      <c r="G17" s="294"/>
    </row>
    <row r="18" spans="1:7">
      <c r="A18" s="291">
        <v>11</v>
      </c>
      <c r="B18" s="292" t="s">
        <v>78</v>
      </c>
      <c r="C18" s="759">
        <f>SUM(C19:C20)</f>
        <v>0</v>
      </c>
      <c r="D18" s="758">
        <f t="shared" ref="D18:G18" si="2">SUM(D19:D20)</f>
        <v>15472021.550000001</v>
      </c>
      <c r="E18" s="759">
        <f t="shared" si="2"/>
        <v>0</v>
      </c>
      <c r="F18" s="759">
        <f t="shared" si="2"/>
        <v>0</v>
      </c>
      <c r="G18" s="757">
        <f t="shared" si="2"/>
        <v>0</v>
      </c>
    </row>
    <row r="19" spans="1:7">
      <c r="A19" s="291">
        <v>12</v>
      </c>
      <c r="B19" s="295" t="s">
        <v>439</v>
      </c>
      <c r="C19" s="296"/>
      <c r="D19" s="297">
        <v>549092.5</v>
      </c>
      <c r="E19" s="293">
        <v>0</v>
      </c>
      <c r="F19" s="293">
        <v>0</v>
      </c>
      <c r="G19" s="294"/>
    </row>
    <row r="20" spans="1:7" ht="27.6">
      <c r="A20" s="291">
        <v>13</v>
      </c>
      <c r="B20" s="295" t="s">
        <v>440</v>
      </c>
      <c r="C20" s="293"/>
      <c r="D20" s="293">
        <v>14922929.050000001</v>
      </c>
      <c r="E20" s="293"/>
      <c r="F20" s="293"/>
      <c r="G20" s="294"/>
    </row>
    <row r="21" spans="1:7">
      <c r="A21" s="298">
        <v>14</v>
      </c>
      <c r="B21" s="299" t="s">
        <v>441</v>
      </c>
      <c r="C21" s="296"/>
      <c r="D21" s="296"/>
      <c r="E21" s="296"/>
      <c r="F21" s="296"/>
      <c r="G21" s="300">
        <f>SUM(G8,G11,G14,G17,G18)</f>
        <v>402681589.8039</v>
      </c>
    </row>
    <row r="22" spans="1:7">
      <c r="A22" s="301"/>
      <c r="B22" s="321" t="s">
        <v>442</v>
      </c>
      <c r="C22" s="302"/>
      <c r="D22" s="303"/>
      <c r="E22" s="302"/>
      <c r="F22" s="302"/>
      <c r="G22" s="304"/>
    </row>
    <row r="23" spans="1:7">
      <c r="A23" s="291">
        <v>15</v>
      </c>
      <c r="B23" s="292" t="s">
        <v>310</v>
      </c>
      <c r="C23" s="305">
        <v>210500874.17939997</v>
      </c>
      <c r="D23" s="306">
        <v>62355600</v>
      </c>
      <c r="E23" s="305">
        <v>0</v>
      </c>
      <c r="F23" s="305">
        <v>0</v>
      </c>
      <c r="G23" s="294">
        <v>9000074.3825000003</v>
      </c>
    </row>
    <row r="24" spans="1:7">
      <c r="A24" s="291">
        <v>16</v>
      </c>
      <c r="B24" s="292" t="s">
        <v>443</v>
      </c>
      <c r="C24" s="293">
        <f>SUM(C25:C27,C29,C31)</f>
        <v>2761904.6547000003</v>
      </c>
      <c r="D24" s="297">
        <f t="shared" ref="D24:G24" si="3">SUM(D25:D27,D29,D31)</f>
        <v>74076712.249115273</v>
      </c>
      <c r="E24" s="293">
        <f t="shared" si="3"/>
        <v>90465821.683666989</v>
      </c>
      <c r="F24" s="293">
        <f t="shared" si="3"/>
        <v>204218773.46863499</v>
      </c>
      <c r="G24" s="294">
        <f t="shared" si="3"/>
        <v>247674502.66216373</v>
      </c>
    </row>
    <row r="25" spans="1:7" ht="27.6">
      <c r="A25" s="291">
        <v>17</v>
      </c>
      <c r="B25" s="295" t="s">
        <v>444</v>
      </c>
      <c r="C25" s="293">
        <v>2761904.6547000003</v>
      </c>
      <c r="D25" s="297">
        <v>36216605.476863265</v>
      </c>
      <c r="E25" s="293">
        <v>12006864.520973001</v>
      </c>
      <c r="F25" s="293">
        <v>27192029.7742</v>
      </c>
      <c r="G25" s="294">
        <v>39042238.554420993</v>
      </c>
    </row>
    <row r="26" spans="1:7" ht="27.6">
      <c r="A26" s="291">
        <v>18</v>
      </c>
      <c r="B26" s="295" t="s">
        <v>445</v>
      </c>
      <c r="C26" s="293">
        <v>0</v>
      </c>
      <c r="D26" s="297">
        <v>35094653.867436998</v>
      </c>
      <c r="E26" s="293">
        <v>70712216.349999994</v>
      </c>
      <c r="F26" s="293">
        <v>169748440.74573499</v>
      </c>
      <c r="G26" s="294">
        <v>197189609.74259323</v>
      </c>
    </row>
    <row r="27" spans="1:7">
      <c r="A27" s="291">
        <v>19</v>
      </c>
      <c r="B27" s="295" t="s">
        <v>446</v>
      </c>
      <c r="C27" s="293"/>
      <c r="D27" s="297"/>
      <c r="E27" s="293"/>
      <c r="F27" s="293"/>
      <c r="G27" s="294"/>
    </row>
    <row r="28" spans="1:7">
      <c r="A28" s="291">
        <v>20</v>
      </c>
      <c r="B28" s="307" t="s">
        <v>447</v>
      </c>
      <c r="C28" s="293"/>
      <c r="D28" s="297"/>
      <c r="E28" s="293"/>
      <c r="F28" s="293"/>
      <c r="G28" s="294"/>
    </row>
    <row r="29" spans="1:7">
      <c r="A29" s="291">
        <v>21</v>
      </c>
      <c r="B29" s="295" t="s">
        <v>448</v>
      </c>
      <c r="C29" s="293"/>
      <c r="D29" s="297"/>
      <c r="E29" s="293"/>
      <c r="F29" s="293"/>
      <c r="G29" s="294"/>
    </row>
    <row r="30" spans="1:7">
      <c r="A30" s="291">
        <v>22</v>
      </c>
      <c r="B30" s="307" t="s">
        <v>447</v>
      </c>
      <c r="C30" s="293"/>
      <c r="D30" s="297"/>
      <c r="E30" s="293"/>
      <c r="F30" s="293"/>
      <c r="G30" s="294"/>
    </row>
    <row r="31" spans="1:7" ht="27.6">
      <c r="A31" s="291">
        <v>23</v>
      </c>
      <c r="B31" s="295" t="s">
        <v>449</v>
      </c>
      <c r="C31" s="293">
        <v>0</v>
      </c>
      <c r="D31" s="297">
        <v>2765452.904815</v>
      </c>
      <c r="E31" s="293">
        <v>7746740.8126940001</v>
      </c>
      <c r="F31" s="293">
        <v>7278302.9486999996</v>
      </c>
      <c r="G31" s="294">
        <v>11442654.365149498</v>
      </c>
    </row>
    <row r="32" spans="1:7">
      <c r="A32" s="291">
        <v>24</v>
      </c>
      <c r="B32" s="292" t="s">
        <v>450</v>
      </c>
      <c r="C32" s="293"/>
      <c r="D32" s="297"/>
      <c r="E32" s="293"/>
      <c r="F32" s="293"/>
      <c r="G32" s="294"/>
    </row>
    <row r="33" spans="1:7">
      <c r="A33" s="291">
        <v>25</v>
      </c>
      <c r="B33" s="292" t="s">
        <v>88</v>
      </c>
      <c r="C33" s="756">
        <f>C34+C35</f>
        <v>6718453.9200000018</v>
      </c>
      <c r="D33" s="756">
        <f>D34+D35</f>
        <v>20677344.276099999</v>
      </c>
      <c r="E33" s="756">
        <f>E34+E35</f>
        <v>2247800.6364999996</v>
      </c>
      <c r="F33" s="756">
        <f>F34+F35</f>
        <v>22620910.652272001</v>
      </c>
      <c r="G33" s="294">
        <v>41097373.896622002</v>
      </c>
    </row>
    <row r="34" spans="1:7">
      <c r="A34" s="291">
        <v>26</v>
      </c>
      <c r="B34" s="295" t="s">
        <v>451</v>
      </c>
      <c r="C34" s="296"/>
      <c r="D34" s="297">
        <v>590873.73609999998</v>
      </c>
      <c r="E34" s="293">
        <v>0</v>
      </c>
      <c r="F34" s="293">
        <v>0</v>
      </c>
      <c r="G34" s="294">
        <v>590873.73609999998</v>
      </c>
    </row>
    <row r="35" spans="1:7">
      <c r="A35" s="291">
        <v>27</v>
      </c>
      <c r="B35" s="295" t="s">
        <v>452</v>
      </c>
      <c r="C35" s="293">
        <v>6718453.9200000018</v>
      </c>
      <c r="D35" s="297">
        <v>20086470.539999999</v>
      </c>
      <c r="E35" s="293">
        <v>2247800.6364999996</v>
      </c>
      <c r="F35" s="293">
        <v>22620910.652272001</v>
      </c>
      <c r="G35" s="294">
        <v>40506500.160521999</v>
      </c>
    </row>
    <row r="36" spans="1:7">
      <c r="A36" s="291">
        <v>28</v>
      </c>
      <c r="B36" s="292" t="s">
        <v>453</v>
      </c>
      <c r="C36" s="293">
        <v>0</v>
      </c>
      <c r="D36" s="297">
        <v>21170159.166166998</v>
      </c>
      <c r="E36" s="293">
        <v>22424499.16</v>
      </c>
      <c r="F36" s="293">
        <v>34490229.670000002</v>
      </c>
      <c r="G36" s="294">
        <v>8474492.3248083517</v>
      </c>
    </row>
    <row r="37" spans="1:7">
      <c r="A37" s="298">
        <v>29</v>
      </c>
      <c r="B37" s="299" t="s">
        <v>454</v>
      </c>
      <c r="C37" s="296"/>
      <c r="D37" s="296"/>
      <c r="E37" s="296"/>
      <c r="F37" s="296"/>
      <c r="G37" s="300">
        <f>SUM(G23:G24,G32:G33,G36)</f>
        <v>306246443.26609409</v>
      </c>
    </row>
    <row r="38" spans="1:7">
      <c r="A38" s="287"/>
      <c r="B38" s="308"/>
      <c r="C38" s="309"/>
      <c r="D38" s="309"/>
      <c r="E38" s="309"/>
      <c r="F38" s="309"/>
      <c r="G38" s="310"/>
    </row>
    <row r="39" spans="1:7" ht="15" thickBot="1">
      <c r="A39" s="311">
        <v>30</v>
      </c>
      <c r="B39" s="312" t="s">
        <v>422</v>
      </c>
      <c r="C39" s="190"/>
      <c r="D39" s="182"/>
      <c r="E39" s="182"/>
      <c r="F39" s="313"/>
      <c r="G39" s="314">
        <f>IFERROR(G21/G37,0)</f>
        <v>1.3148939315321762</v>
      </c>
    </row>
    <row r="42" spans="1:7" ht="41.4">
      <c r="B42" s="17" t="s">
        <v>455</v>
      </c>
    </row>
  </sheetData>
  <mergeCells count="2">
    <mergeCell ref="C5:F5"/>
    <mergeCell ref="G5:G6"/>
  </mergeCells>
  <pageMargins left="0.7" right="0.7" top="0.75" bottom="0.75" header="0.3" footer="0.3"/>
  <headerFooter>
    <oddFooter>&amp;C_x000D_&amp;1#&amp;"Calibri"&amp;10&amp;K000000 C1 - FOR INTERNAL USE ONLY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6"/>
  <sheetViews>
    <sheetView showGridLines="0" zoomScale="80" zoomScaleNormal="80" workbookViewId="0">
      <selection activeCell="F29" sqref="F29"/>
    </sheetView>
  </sheetViews>
  <sheetFormatPr defaultColWidth="9.21875" defaultRowHeight="12"/>
  <cols>
    <col min="1" max="1" width="11.77734375" style="326" bestFit="1" customWidth="1"/>
    <col min="2" max="2" width="105.21875" style="326" bestFit="1" customWidth="1"/>
    <col min="3" max="3" width="13.77734375" style="326" bestFit="1" customWidth="1"/>
    <col min="4" max="4" width="14.109375" style="326" bestFit="1" customWidth="1"/>
    <col min="5" max="5" width="17.44140625" style="326" bestFit="1" customWidth="1"/>
    <col min="6" max="6" width="15.109375" style="326" bestFit="1" customWidth="1"/>
    <col min="7" max="7" width="18.33203125" style="326" customWidth="1"/>
    <col min="8" max="8" width="16.5546875" style="326" customWidth="1"/>
    <col min="9" max="9" width="13.109375" style="326" bestFit="1" customWidth="1"/>
    <col min="10" max="10" width="12.109375" style="326" bestFit="1" customWidth="1"/>
    <col min="11" max="16384" width="9.21875" style="326"/>
  </cols>
  <sheetData>
    <row r="1" spans="1:10" ht="13.8">
      <c r="A1" s="325" t="s">
        <v>97</v>
      </c>
      <c r="B1" s="241" t="str">
        <f>Info!C2</f>
        <v>სს " პაშა ბანკი საქართველო"</v>
      </c>
    </row>
    <row r="2" spans="1:10">
      <c r="A2" s="325" t="s">
        <v>98</v>
      </c>
      <c r="B2" s="328">
        <f>'1. key ratios'!B2</f>
        <v>45747</v>
      </c>
    </row>
    <row r="3" spans="1:10">
      <c r="A3" s="327" t="s">
        <v>462</v>
      </c>
    </row>
    <row r="5" spans="1:10">
      <c r="A5" s="832" t="s">
        <v>463</v>
      </c>
      <c r="B5" s="833"/>
      <c r="C5" s="838" t="s">
        <v>464</v>
      </c>
      <c r="D5" s="839"/>
      <c r="E5" s="839"/>
      <c r="F5" s="839"/>
      <c r="G5" s="839"/>
      <c r="H5" s="840"/>
    </row>
    <row r="6" spans="1:10">
      <c r="A6" s="834"/>
      <c r="B6" s="835"/>
      <c r="C6" s="841"/>
      <c r="D6" s="842"/>
      <c r="E6" s="842"/>
      <c r="F6" s="842"/>
      <c r="G6" s="842"/>
      <c r="H6" s="843"/>
    </row>
    <row r="7" spans="1:10" ht="24">
      <c r="A7" s="836"/>
      <c r="B7" s="837"/>
      <c r="C7" s="386" t="s">
        <v>465</v>
      </c>
      <c r="D7" s="386" t="s">
        <v>466</v>
      </c>
      <c r="E7" s="386" t="s">
        <v>467</v>
      </c>
      <c r="F7" s="386" t="s">
        <v>468</v>
      </c>
      <c r="G7" s="386" t="s">
        <v>648</v>
      </c>
      <c r="H7" s="386" t="s">
        <v>66</v>
      </c>
    </row>
    <row r="8" spans="1:10">
      <c r="A8" s="382">
        <v>1</v>
      </c>
      <c r="B8" s="381" t="s">
        <v>123</v>
      </c>
      <c r="C8" s="707">
        <v>26458787.163800001</v>
      </c>
      <c r="D8" s="707"/>
      <c r="E8" s="707">
        <v>5346400</v>
      </c>
      <c r="F8" s="707"/>
      <c r="G8" s="707">
        <v>62957596.307899997</v>
      </c>
      <c r="H8" s="706">
        <f t="shared" ref="H8:H20" si="0">SUM(C8:G8)</f>
        <v>94762783.471699998</v>
      </c>
    </row>
    <row r="9" spans="1:10">
      <c r="A9" s="382">
        <v>2</v>
      </c>
      <c r="B9" s="381" t="s">
        <v>124</v>
      </c>
      <c r="C9" s="707"/>
      <c r="D9" s="707"/>
      <c r="E9" s="707"/>
      <c r="F9" s="707"/>
      <c r="G9" s="707"/>
      <c r="H9" s="706">
        <f t="shared" si="0"/>
        <v>0</v>
      </c>
    </row>
    <row r="10" spans="1:10">
      <c r="A10" s="382">
        <v>3</v>
      </c>
      <c r="B10" s="381" t="s">
        <v>125</v>
      </c>
      <c r="C10" s="707"/>
      <c r="D10" s="707"/>
      <c r="E10" s="707"/>
      <c r="F10" s="707"/>
      <c r="G10" s="707"/>
      <c r="H10" s="706">
        <f t="shared" si="0"/>
        <v>0</v>
      </c>
    </row>
    <row r="11" spans="1:10">
      <c r="A11" s="382">
        <v>4</v>
      </c>
      <c r="B11" s="381" t="s">
        <v>126</v>
      </c>
      <c r="C11" s="707"/>
      <c r="D11" s="707"/>
      <c r="E11" s="707"/>
      <c r="F11" s="707"/>
      <c r="G11" s="707"/>
      <c r="H11" s="706">
        <f t="shared" si="0"/>
        <v>0</v>
      </c>
    </row>
    <row r="12" spans="1:10">
      <c r="A12" s="382">
        <v>5</v>
      </c>
      <c r="B12" s="381" t="s">
        <v>912</v>
      </c>
      <c r="C12" s="707"/>
      <c r="D12" s="707"/>
      <c r="E12" s="707"/>
      <c r="F12" s="707"/>
      <c r="G12" s="707"/>
      <c r="H12" s="706">
        <f t="shared" si="0"/>
        <v>0</v>
      </c>
    </row>
    <row r="13" spans="1:10">
      <c r="A13" s="382">
        <v>6</v>
      </c>
      <c r="B13" s="381" t="s">
        <v>127</v>
      </c>
      <c r="C13" s="707">
        <v>30699611.4714</v>
      </c>
      <c r="D13" s="707">
        <f>148504973.4776-C13-E13</f>
        <v>111059052.82620001</v>
      </c>
      <c r="E13" s="707">
        <v>6746309.1800000006</v>
      </c>
      <c r="F13" s="707"/>
      <c r="G13" s="707"/>
      <c r="H13" s="706">
        <f t="shared" si="0"/>
        <v>148504973.47760001</v>
      </c>
    </row>
    <row r="14" spans="1:10">
      <c r="A14" s="382">
        <v>7</v>
      </c>
      <c r="B14" s="381" t="s">
        <v>71</v>
      </c>
      <c r="C14" s="707"/>
      <c r="D14" s="707">
        <f>48447705.379+124418.5541</f>
        <v>48572123.9331</v>
      </c>
      <c r="E14" s="707">
        <f>215220938.3251+330974.2106</f>
        <v>215551912.53569999</v>
      </c>
      <c r="F14" s="707">
        <f>155888100.7671+2534.1807</f>
        <v>155890634.94780001</v>
      </c>
      <c r="G14" s="707"/>
      <c r="H14" s="706">
        <f t="shared" si="0"/>
        <v>420014671.41659999</v>
      </c>
      <c r="I14" s="751"/>
      <c r="J14" s="750"/>
    </row>
    <row r="15" spans="1:10">
      <c r="A15" s="382">
        <v>8</v>
      </c>
      <c r="B15" s="383" t="s">
        <v>72</v>
      </c>
      <c r="C15" s="707"/>
      <c r="D15" s="707"/>
      <c r="E15" s="707"/>
      <c r="F15" s="707"/>
      <c r="G15" s="707"/>
      <c r="H15" s="706">
        <f t="shared" si="0"/>
        <v>0</v>
      </c>
    </row>
    <row r="16" spans="1:10">
      <c r="A16" s="382">
        <v>9</v>
      </c>
      <c r="B16" s="381" t="s">
        <v>913</v>
      </c>
      <c r="C16" s="707"/>
      <c r="D16" s="707"/>
      <c r="E16" s="707"/>
      <c r="F16" s="707"/>
      <c r="G16" s="707"/>
      <c r="H16" s="706">
        <f t="shared" si="0"/>
        <v>0</v>
      </c>
    </row>
    <row r="17" spans="1:10">
      <c r="A17" s="382">
        <v>10</v>
      </c>
      <c r="B17" s="385" t="s">
        <v>483</v>
      </c>
      <c r="C17" s="707"/>
      <c r="D17" s="707">
        <f>1273640.5893-1243.16</f>
        <v>1272397.4293000002</v>
      </c>
      <c r="E17" s="707">
        <v>1089058.4685</v>
      </c>
      <c r="F17" s="707">
        <v>13592435.336200001</v>
      </c>
      <c r="G17" s="707"/>
      <c r="H17" s="706">
        <f t="shared" si="0"/>
        <v>15953891.234000001</v>
      </c>
      <c r="J17" s="750"/>
    </row>
    <row r="18" spans="1:10">
      <c r="A18" s="382">
        <v>11</v>
      </c>
      <c r="B18" s="381" t="s">
        <v>68</v>
      </c>
      <c r="C18" s="707"/>
      <c r="D18" s="707"/>
      <c r="E18" s="707"/>
      <c r="F18" s="707"/>
      <c r="G18" s="707"/>
      <c r="H18" s="706">
        <f t="shared" si="0"/>
        <v>0</v>
      </c>
    </row>
    <row r="19" spans="1:10">
      <c r="A19" s="382">
        <v>12</v>
      </c>
      <c r="B19" s="381" t="s">
        <v>69</v>
      </c>
      <c r="C19" s="707"/>
      <c r="D19" s="707"/>
      <c r="E19" s="707"/>
      <c r="F19" s="707"/>
      <c r="G19" s="707"/>
      <c r="H19" s="706">
        <f t="shared" si="0"/>
        <v>0</v>
      </c>
    </row>
    <row r="20" spans="1:10">
      <c r="A20" s="384">
        <v>13</v>
      </c>
      <c r="B20" s="383" t="s">
        <v>70</v>
      </c>
      <c r="C20" s="707"/>
      <c r="D20" s="707"/>
      <c r="E20" s="707"/>
      <c r="F20" s="707"/>
      <c r="G20" s="707"/>
      <c r="H20" s="706">
        <f t="shared" si="0"/>
        <v>0</v>
      </c>
    </row>
    <row r="21" spans="1:10">
      <c r="A21" s="382">
        <v>14</v>
      </c>
      <c r="B21" s="381" t="s">
        <v>469</v>
      </c>
      <c r="C21" s="707">
        <v>3438603.0576999998</v>
      </c>
      <c r="D21" s="707">
        <v>24387147.665899999</v>
      </c>
      <c r="E21" s="707"/>
      <c r="F21" s="707"/>
      <c r="G21" s="707">
        <v>1740945.9800000004</v>
      </c>
      <c r="H21" s="706">
        <f>SUM(C21:G21)</f>
        <v>29566696.703600001</v>
      </c>
    </row>
    <row r="22" spans="1:10">
      <c r="A22" s="380">
        <v>15</v>
      </c>
      <c r="B22" s="379" t="s">
        <v>66</v>
      </c>
      <c r="C22" s="706">
        <f>SUM(C18:C21)+SUM(C8:C16)</f>
        <v>60597001.692900002</v>
      </c>
      <c r="D22" s="706">
        <f t="shared" ref="D22:H22" si="1">SUM(D18:D21)+SUM(D8:D16)</f>
        <v>184018324.42519999</v>
      </c>
      <c r="E22" s="706">
        <f t="shared" si="1"/>
        <v>227644621.7157</v>
      </c>
      <c r="F22" s="706">
        <f t="shared" si="1"/>
        <v>155890634.94780001</v>
      </c>
      <c r="G22" s="706">
        <f t="shared" si="1"/>
        <v>64698542.287900001</v>
      </c>
      <c r="H22" s="706">
        <f t="shared" si="1"/>
        <v>692849125.06950009</v>
      </c>
    </row>
    <row r="26" spans="1:10" ht="36">
      <c r="B26" s="343" t="s">
        <v>647</v>
      </c>
      <c r="H26" s="749"/>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headerFooter>
    <oddFooter>&amp;C_x000D_&amp;1#&amp;"Calibri"&amp;10&amp;K000000 C1 - FOR INTERNAL USE ONLY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29"/>
  <sheetViews>
    <sheetView showGridLines="0" topLeftCell="B1" zoomScale="80" zoomScaleNormal="80" workbookViewId="0">
      <selection activeCell="D34" sqref="D34"/>
    </sheetView>
  </sheetViews>
  <sheetFormatPr defaultColWidth="9.21875" defaultRowHeight="12"/>
  <cols>
    <col min="1" max="1" width="11.77734375" style="329" bestFit="1" customWidth="1"/>
    <col min="2" max="2" width="86.77734375" style="326" customWidth="1"/>
    <col min="3" max="4" width="31.5546875" style="326" customWidth="1"/>
    <col min="5" max="5" width="16.44140625" style="326" bestFit="1" customWidth="1"/>
    <col min="6" max="6" width="14.21875" style="326" bestFit="1" customWidth="1"/>
    <col min="7" max="7" width="20" style="326" bestFit="1" customWidth="1"/>
    <col min="8" max="8" width="25.21875" style="326" bestFit="1" customWidth="1"/>
    <col min="9" max="16384" width="9.21875" style="326"/>
  </cols>
  <sheetData>
    <row r="1" spans="1:10" ht="13.8">
      <c r="A1" s="325" t="s">
        <v>97</v>
      </c>
      <c r="B1" s="241" t="str">
        <f>Info!C2</f>
        <v>სს " პაშა ბანკი საქართველო"</v>
      </c>
      <c r="C1" s="398"/>
      <c r="D1" s="398"/>
      <c r="E1" s="398"/>
      <c r="F1" s="398"/>
      <c r="G1" s="398"/>
      <c r="H1" s="398"/>
    </row>
    <row r="2" spans="1:10">
      <c r="A2" s="325" t="s">
        <v>98</v>
      </c>
      <c r="B2" s="328">
        <f>'1. key ratios'!B2</f>
        <v>45747</v>
      </c>
      <c r="C2" s="398"/>
      <c r="D2" s="398"/>
      <c r="E2" s="398"/>
      <c r="F2" s="398"/>
      <c r="G2" s="398"/>
      <c r="H2" s="398"/>
    </row>
    <row r="3" spans="1:10">
      <c r="A3" s="327" t="s">
        <v>470</v>
      </c>
      <c r="B3" s="398"/>
      <c r="C3" s="398"/>
      <c r="D3" s="398"/>
      <c r="E3" s="398"/>
      <c r="F3" s="398"/>
      <c r="G3" s="398"/>
      <c r="H3" s="398"/>
    </row>
    <row r="4" spans="1:10">
      <c r="A4" s="399"/>
      <c r="B4" s="398"/>
      <c r="C4" s="397" t="s">
        <v>471</v>
      </c>
      <c r="D4" s="397" t="s">
        <v>472</v>
      </c>
      <c r="E4" s="397" t="s">
        <v>473</v>
      </c>
      <c r="F4" s="397" t="s">
        <v>474</v>
      </c>
      <c r="G4" s="397" t="s">
        <v>475</v>
      </c>
      <c r="H4" s="397" t="s">
        <v>476</v>
      </c>
    </row>
    <row r="5" spans="1:10" ht="34.049999999999997" customHeight="1">
      <c r="A5" s="832" t="s">
        <v>835</v>
      </c>
      <c r="B5" s="833"/>
      <c r="C5" s="846" t="s">
        <v>565</v>
      </c>
      <c r="D5" s="846"/>
      <c r="E5" s="846" t="s">
        <v>834</v>
      </c>
      <c r="F5" s="844" t="s">
        <v>833</v>
      </c>
      <c r="G5" s="844" t="s">
        <v>480</v>
      </c>
      <c r="H5" s="395" t="s">
        <v>832</v>
      </c>
    </row>
    <row r="6" spans="1:10" ht="24">
      <c r="A6" s="836"/>
      <c r="B6" s="837"/>
      <c r="C6" s="396" t="s">
        <v>481</v>
      </c>
      <c r="D6" s="396" t="s">
        <v>482</v>
      </c>
      <c r="E6" s="846"/>
      <c r="F6" s="845"/>
      <c r="G6" s="845"/>
      <c r="H6" s="395" t="s">
        <v>831</v>
      </c>
    </row>
    <row r="7" spans="1:10">
      <c r="A7" s="393">
        <v>1</v>
      </c>
      <c r="B7" s="381" t="s">
        <v>123</v>
      </c>
      <c r="C7" s="710"/>
      <c r="D7" s="710"/>
      <c r="E7" s="710"/>
      <c r="F7" s="710"/>
      <c r="G7" s="710"/>
      <c r="H7" s="711">
        <f t="shared" ref="H7:H20" si="0">C7+D7-E7-F7</f>
        <v>0</v>
      </c>
    </row>
    <row r="8" spans="1:10" ht="14.55" customHeight="1">
      <c r="A8" s="393">
        <v>2</v>
      </c>
      <c r="B8" s="381" t="s">
        <v>124</v>
      </c>
      <c r="C8" s="710"/>
      <c r="D8" s="710">
        <v>94762783.471699998</v>
      </c>
      <c r="E8" s="710"/>
      <c r="F8" s="710"/>
      <c r="G8" s="710"/>
      <c r="H8" s="711">
        <f t="shared" si="0"/>
        <v>94762783.471699998</v>
      </c>
    </row>
    <row r="9" spans="1:10">
      <c r="A9" s="393">
        <v>3</v>
      </c>
      <c r="B9" s="381" t="s">
        <v>125</v>
      </c>
      <c r="C9" s="710"/>
      <c r="D9" s="710"/>
      <c r="E9" s="710"/>
      <c r="F9" s="710"/>
      <c r="G9" s="710"/>
      <c r="H9" s="711">
        <f t="shared" si="0"/>
        <v>0</v>
      </c>
    </row>
    <row r="10" spans="1:10">
      <c r="A10" s="393">
        <v>4</v>
      </c>
      <c r="B10" s="381" t="s">
        <v>126</v>
      </c>
      <c r="C10" s="710"/>
      <c r="D10" s="710"/>
      <c r="E10" s="710"/>
      <c r="F10" s="710"/>
      <c r="G10" s="710"/>
      <c r="H10" s="711">
        <f t="shared" si="0"/>
        <v>0</v>
      </c>
    </row>
    <row r="11" spans="1:10">
      <c r="A11" s="393">
        <v>5</v>
      </c>
      <c r="B11" s="381" t="s">
        <v>912</v>
      </c>
      <c r="C11" s="710"/>
      <c r="D11" s="710"/>
      <c r="E11" s="710"/>
      <c r="F11" s="710"/>
      <c r="G11" s="710"/>
      <c r="H11" s="711">
        <f t="shared" si="0"/>
        <v>0</v>
      </c>
    </row>
    <row r="12" spans="1:10">
      <c r="A12" s="393">
        <v>6</v>
      </c>
      <c r="B12" s="381" t="s">
        <v>127</v>
      </c>
      <c r="C12" s="710"/>
      <c r="D12" s="710">
        <f>148504973.4776+331388.488</f>
        <v>148836361.96560001</v>
      </c>
      <c r="E12" s="710">
        <v>331388.48800000001</v>
      </c>
      <c r="F12" s="710"/>
      <c r="G12" s="710"/>
      <c r="H12" s="711">
        <f t="shared" si="0"/>
        <v>148504973.47760001</v>
      </c>
    </row>
    <row r="13" spans="1:10">
      <c r="A13" s="393">
        <v>7</v>
      </c>
      <c r="B13" s="381" t="s">
        <v>71</v>
      </c>
      <c r="C13" s="710">
        <f>30801262.2536+13983.3089</f>
        <v>30815245.5625</v>
      </c>
      <c r="D13" s="710">
        <f>400460443.3153+459899.0183</f>
        <v>400920342.33359998</v>
      </c>
      <c r="E13" s="710">
        <f>11704961.0977+15955.3818</f>
        <v>11720916.479499999</v>
      </c>
      <c r="F13" s="710"/>
      <c r="G13" s="710"/>
      <c r="H13" s="711">
        <f t="shared" si="0"/>
        <v>420014671.41659999</v>
      </c>
      <c r="J13" s="749"/>
    </row>
    <row r="14" spans="1:10">
      <c r="A14" s="393">
        <v>8</v>
      </c>
      <c r="B14" s="383" t="s">
        <v>72</v>
      </c>
      <c r="C14" s="710"/>
      <c r="D14" s="710"/>
      <c r="E14" s="710"/>
      <c r="F14" s="710"/>
      <c r="G14" s="710"/>
      <c r="H14" s="711">
        <f t="shared" si="0"/>
        <v>0</v>
      </c>
    </row>
    <row r="15" spans="1:10">
      <c r="A15" s="393">
        <v>9</v>
      </c>
      <c r="B15" s="381" t="s">
        <v>913</v>
      </c>
      <c r="C15" s="710"/>
      <c r="D15" s="710"/>
      <c r="E15" s="710"/>
      <c r="F15" s="710"/>
      <c r="G15" s="710"/>
      <c r="H15" s="711">
        <f t="shared" si="0"/>
        <v>0</v>
      </c>
    </row>
    <row r="16" spans="1:10">
      <c r="A16" s="393">
        <v>10</v>
      </c>
      <c r="B16" s="385" t="s">
        <v>483</v>
      </c>
      <c r="C16" s="710">
        <v>21687902.2511</v>
      </c>
      <c r="D16" s="710">
        <v>0</v>
      </c>
      <c r="E16" s="710">
        <v>5734011.0207000002</v>
      </c>
      <c r="F16" s="710"/>
      <c r="G16" s="710"/>
      <c r="H16" s="711">
        <f t="shared" si="0"/>
        <v>15953891.2304</v>
      </c>
      <c r="J16" s="749"/>
    </row>
    <row r="17" spans="1:8">
      <c r="A17" s="393">
        <v>11</v>
      </c>
      <c r="B17" s="381" t="s">
        <v>68</v>
      </c>
      <c r="C17" s="710"/>
      <c r="D17" s="710"/>
      <c r="E17" s="710"/>
      <c r="F17" s="710"/>
      <c r="G17" s="710"/>
      <c r="H17" s="711">
        <f t="shared" si="0"/>
        <v>0</v>
      </c>
    </row>
    <row r="18" spans="1:8">
      <c r="A18" s="393">
        <v>12</v>
      </c>
      <c r="B18" s="381" t="s">
        <v>69</v>
      </c>
      <c r="C18" s="710"/>
      <c r="D18" s="710"/>
      <c r="E18" s="710"/>
      <c r="F18" s="710"/>
      <c r="G18" s="710"/>
      <c r="H18" s="711">
        <f t="shared" si="0"/>
        <v>0</v>
      </c>
    </row>
    <row r="19" spans="1:8">
      <c r="A19" s="394">
        <v>13</v>
      </c>
      <c r="B19" s="383" t="s">
        <v>70</v>
      </c>
      <c r="C19" s="710"/>
      <c r="D19" s="710"/>
      <c r="E19" s="710"/>
      <c r="F19" s="710"/>
      <c r="G19" s="710"/>
      <c r="H19" s="711">
        <f t="shared" si="0"/>
        <v>0</v>
      </c>
    </row>
    <row r="20" spans="1:8">
      <c r="A20" s="393">
        <v>14</v>
      </c>
      <c r="B20" s="381" t="s">
        <v>469</v>
      </c>
      <c r="C20" s="710"/>
      <c r="D20" s="710">
        <v>36945717.3336</v>
      </c>
      <c r="E20" s="710"/>
      <c r="F20" s="710"/>
      <c r="G20" s="710"/>
      <c r="H20" s="711">
        <f t="shared" si="0"/>
        <v>36945717.3336</v>
      </c>
    </row>
    <row r="21" spans="1:8" s="330" customFormat="1">
      <c r="A21" s="392">
        <v>15</v>
      </c>
      <c r="B21" s="391" t="s">
        <v>66</v>
      </c>
      <c r="C21" s="712">
        <f t="shared" ref="C21:H21" si="1">SUM(C7:C15)+SUM(C17:C20)</f>
        <v>30815245.5625</v>
      </c>
      <c r="D21" s="712">
        <f t="shared" si="1"/>
        <v>681465205.10450006</v>
      </c>
      <c r="E21" s="712">
        <f t="shared" si="1"/>
        <v>12052304.967499999</v>
      </c>
      <c r="F21" s="712">
        <f t="shared" si="1"/>
        <v>0</v>
      </c>
      <c r="G21" s="712">
        <f t="shared" si="1"/>
        <v>0</v>
      </c>
      <c r="H21" s="711">
        <f t="shared" si="1"/>
        <v>700228145.69950008</v>
      </c>
    </row>
    <row r="22" spans="1:8">
      <c r="A22" s="390">
        <v>16</v>
      </c>
      <c r="B22" s="389" t="s">
        <v>484</v>
      </c>
      <c r="C22" s="710">
        <v>30622361.0625</v>
      </c>
      <c r="D22" s="710">
        <v>331516436.46719998</v>
      </c>
      <c r="E22" s="710">
        <v>11181368.934900001</v>
      </c>
      <c r="F22" s="710"/>
      <c r="G22" s="710"/>
      <c r="H22" s="711">
        <f>C22+D22-E22-F22</f>
        <v>350957428.5948</v>
      </c>
    </row>
    <row r="23" spans="1:8">
      <c r="A23" s="390">
        <v>17</v>
      </c>
      <c r="B23" s="389" t="s">
        <v>485</v>
      </c>
      <c r="C23" s="710"/>
      <c r="D23" s="710">
        <v>69348029.343600005</v>
      </c>
      <c r="E23" s="710">
        <v>373220.2721</v>
      </c>
      <c r="F23" s="710"/>
      <c r="G23" s="710"/>
      <c r="H23" s="711">
        <f>C23+D23-E23-F23</f>
        <v>68974809.071500003</v>
      </c>
    </row>
    <row r="26" spans="1:8" ht="42.45" customHeight="1">
      <c r="B26" s="343" t="s">
        <v>647</v>
      </c>
    </row>
    <row r="29" spans="1:8">
      <c r="H29" s="749"/>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headerFooter>
    <oddFooter>&amp;C_x000D_&amp;1#&amp;"Calibri"&amp;10&amp;K000000 C1 - FOR INTERNAL USE ONLY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37"/>
  <sheetViews>
    <sheetView showGridLines="0" topLeftCell="C1" zoomScale="80" zoomScaleNormal="80" workbookViewId="0">
      <selection activeCell="H36" sqref="H36:H37"/>
    </sheetView>
  </sheetViews>
  <sheetFormatPr defaultColWidth="9.21875" defaultRowHeight="12"/>
  <cols>
    <col min="1" max="1" width="11" style="326" bestFit="1" customWidth="1"/>
    <col min="2" max="2" width="93.44140625" style="326" customWidth="1"/>
    <col min="3" max="4" width="35" style="326" customWidth="1"/>
    <col min="5" max="7" width="22" style="326" customWidth="1"/>
    <col min="8" max="8" width="42.21875" style="326" bestFit="1" customWidth="1"/>
    <col min="9" max="16384" width="9.21875" style="326"/>
  </cols>
  <sheetData>
    <row r="1" spans="1:8" ht="13.8">
      <c r="A1" s="325" t="s">
        <v>97</v>
      </c>
      <c r="B1" s="241" t="str">
        <f>Info!C2</f>
        <v>სს " პაშა ბანკი საქართველო"</v>
      </c>
      <c r="C1" s="398"/>
      <c r="D1" s="398"/>
      <c r="E1" s="398"/>
      <c r="F1" s="398"/>
      <c r="G1" s="398"/>
      <c r="H1" s="398"/>
    </row>
    <row r="2" spans="1:8">
      <c r="A2" s="325" t="s">
        <v>98</v>
      </c>
      <c r="B2" s="328">
        <f>'1. key ratios'!B2</f>
        <v>45747</v>
      </c>
      <c r="C2" s="398"/>
      <c r="D2" s="398"/>
      <c r="E2" s="398"/>
      <c r="F2" s="398"/>
      <c r="G2" s="398"/>
      <c r="H2" s="398"/>
    </row>
    <row r="3" spans="1:8">
      <c r="A3" s="327" t="s">
        <v>486</v>
      </c>
      <c r="B3" s="398"/>
      <c r="C3" s="398"/>
      <c r="D3" s="398"/>
      <c r="E3" s="398"/>
      <c r="F3" s="398"/>
      <c r="G3" s="398"/>
      <c r="H3" s="398"/>
    </row>
    <row r="4" spans="1:8">
      <c r="A4" s="398"/>
      <c r="B4" s="398"/>
      <c r="C4" s="397" t="s">
        <v>471</v>
      </c>
      <c r="D4" s="397" t="s">
        <v>472</v>
      </c>
      <c r="E4" s="397" t="s">
        <v>473</v>
      </c>
      <c r="F4" s="397" t="s">
        <v>474</v>
      </c>
      <c r="G4" s="397" t="s">
        <v>475</v>
      </c>
      <c r="H4" s="397" t="s">
        <v>476</v>
      </c>
    </row>
    <row r="5" spans="1:8" ht="41.55" customHeight="1">
      <c r="A5" s="832" t="s">
        <v>837</v>
      </c>
      <c r="B5" s="833"/>
      <c r="C5" s="847" t="s">
        <v>565</v>
      </c>
      <c r="D5" s="848"/>
      <c r="E5" s="844" t="s">
        <v>834</v>
      </c>
      <c r="F5" s="844" t="s">
        <v>833</v>
      </c>
      <c r="G5" s="844" t="s">
        <v>480</v>
      </c>
      <c r="H5" s="395" t="s">
        <v>832</v>
      </c>
    </row>
    <row r="6" spans="1:8" ht="24">
      <c r="A6" s="836"/>
      <c r="B6" s="837"/>
      <c r="C6" s="396" t="s">
        <v>481</v>
      </c>
      <c r="D6" s="396" t="s">
        <v>482</v>
      </c>
      <c r="E6" s="845"/>
      <c r="F6" s="845"/>
      <c r="G6" s="845"/>
      <c r="H6" s="395" t="s">
        <v>831</v>
      </c>
    </row>
    <row r="7" spans="1:8">
      <c r="A7" s="388">
        <v>1</v>
      </c>
      <c r="B7" s="401" t="s">
        <v>487</v>
      </c>
      <c r="C7" s="710">
        <v>0</v>
      </c>
      <c r="D7" s="752">
        <v>94762783.471699998</v>
      </c>
      <c r="E7" s="710">
        <v>0</v>
      </c>
      <c r="F7" s="710"/>
      <c r="G7" s="710"/>
      <c r="H7" s="387">
        <f t="shared" ref="H7:H34" si="0">C7+D7-E7-F7</f>
        <v>94762783.471699998</v>
      </c>
    </row>
    <row r="8" spans="1:8">
      <c r="A8" s="388">
        <v>2</v>
      </c>
      <c r="B8" s="401" t="s">
        <v>488</v>
      </c>
      <c r="C8" s="710">
        <v>179775.75889999999</v>
      </c>
      <c r="D8" s="752">
        <v>244854239.96730003</v>
      </c>
      <c r="E8" s="710">
        <v>822811.07059999998</v>
      </c>
      <c r="F8" s="710"/>
      <c r="G8" s="710"/>
      <c r="H8" s="387">
        <f t="shared" si="0"/>
        <v>244211204.65560001</v>
      </c>
    </row>
    <row r="9" spans="1:8">
      <c r="A9" s="388">
        <v>3</v>
      </c>
      <c r="B9" s="401" t="s">
        <v>836</v>
      </c>
      <c r="C9" s="710"/>
      <c r="D9" s="710"/>
      <c r="E9" s="710"/>
      <c r="F9" s="710"/>
      <c r="G9" s="710"/>
      <c r="H9" s="387">
        <f t="shared" si="0"/>
        <v>0</v>
      </c>
    </row>
    <row r="10" spans="1:8">
      <c r="A10" s="388">
        <v>4</v>
      </c>
      <c r="B10" s="401" t="s">
        <v>489</v>
      </c>
      <c r="C10" s="710">
        <v>3634423.6039</v>
      </c>
      <c r="D10" s="710">
        <v>35454259.972999997</v>
      </c>
      <c r="E10" s="710">
        <v>2469559.2088000001</v>
      </c>
      <c r="F10" s="710"/>
      <c r="G10" s="710"/>
      <c r="H10" s="387">
        <f t="shared" si="0"/>
        <v>36619124.368099995</v>
      </c>
    </row>
    <row r="11" spans="1:8">
      <c r="A11" s="388">
        <v>5</v>
      </c>
      <c r="B11" s="401" t="s">
        <v>490</v>
      </c>
      <c r="C11" s="710">
        <v>0</v>
      </c>
      <c r="D11" s="710">
        <v>46724235.7152</v>
      </c>
      <c r="E11" s="710">
        <v>110088.0775</v>
      </c>
      <c r="F11" s="710"/>
      <c r="G11" s="710"/>
      <c r="H11" s="387">
        <f t="shared" si="0"/>
        <v>46614147.637699999</v>
      </c>
    </row>
    <row r="12" spans="1:8">
      <c r="A12" s="388">
        <v>6</v>
      </c>
      <c r="B12" s="401" t="s">
        <v>491</v>
      </c>
      <c r="C12" s="710">
        <v>0</v>
      </c>
      <c r="D12" s="710">
        <v>40072.267599999999</v>
      </c>
      <c r="E12" s="710">
        <v>0</v>
      </c>
      <c r="F12" s="710"/>
      <c r="G12" s="710"/>
      <c r="H12" s="387">
        <f t="shared" si="0"/>
        <v>40072.267599999999</v>
      </c>
    </row>
    <row r="13" spans="1:8">
      <c r="A13" s="388">
        <v>7</v>
      </c>
      <c r="B13" s="401" t="s">
        <v>492</v>
      </c>
      <c r="C13" s="710">
        <v>622.42999999999995</v>
      </c>
      <c r="D13" s="710">
        <v>2877158.0465000002</v>
      </c>
      <c r="E13" s="710">
        <v>2448.2592</v>
      </c>
      <c r="F13" s="710"/>
      <c r="G13" s="710"/>
      <c r="H13" s="387">
        <f t="shared" si="0"/>
        <v>2875332.2173000001</v>
      </c>
    </row>
    <row r="14" spans="1:8">
      <c r="A14" s="388">
        <v>8</v>
      </c>
      <c r="B14" s="401" t="s">
        <v>493</v>
      </c>
      <c r="C14" s="710">
        <v>1233816.2667</v>
      </c>
      <c r="D14" s="710">
        <v>14741834.420399999</v>
      </c>
      <c r="E14" s="710">
        <v>225719.30609999999</v>
      </c>
      <c r="F14" s="710"/>
      <c r="G14" s="710"/>
      <c r="H14" s="387">
        <f t="shared" si="0"/>
        <v>15749931.380999999</v>
      </c>
    </row>
    <row r="15" spans="1:8">
      <c r="A15" s="388">
        <v>9</v>
      </c>
      <c r="B15" s="401" t="s">
        <v>494</v>
      </c>
      <c r="C15" s="710">
        <v>0</v>
      </c>
      <c r="D15" s="710">
        <v>17670703.699999999</v>
      </c>
      <c r="E15" s="710">
        <v>140637.8971</v>
      </c>
      <c r="F15" s="710"/>
      <c r="G15" s="710"/>
      <c r="H15" s="387">
        <f t="shared" si="0"/>
        <v>17530065.802899998</v>
      </c>
    </row>
    <row r="16" spans="1:8">
      <c r="A16" s="388">
        <v>10</v>
      </c>
      <c r="B16" s="401" t="s">
        <v>495</v>
      </c>
      <c r="C16" s="710">
        <v>0</v>
      </c>
      <c r="D16" s="710">
        <v>2765430.9567999998</v>
      </c>
      <c r="E16" s="710">
        <v>6317.7782999999999</v>
      </c>
      <c r="F16" s="710"/>
      <c r="G16" s="710"/>
      <c r="H16" s="387">
        <f t="shared" si="0"/>
        <v>2759113.1784999999</v>
      </c>
    </row>
    <row r="17" spans="1:8">
      <c r="A17" s="388">
        <v>11</v>
      </c>
      <c r="B17" s="401" t="s">
        <v>496</v>
      </c>
      <c r="C17" s="710">
        <v>0</v>
      </c>
      <c r="D17" s="710">
        <v>7371811.1742000002</v>
      </c>
      <c r="E17" s="710">
        <v>79397.285600000003</v>
      </c>
      <c r="F17" s="710"/>
      <c r="G17" s="710"/>
      <c r="H17" s="387">
        <f t="shared" si="0"/>
        <v>7292413.8886000002</v>
      </c>
    </row>
    <row r="18" spans="1:8">
      <c r="A18" s="388">
        <v>12</v>
      </c>
      <c r="B18" s="401" t="s">
        <v>497</v>
      </c>
      <c r="C18" s="710">
        <v>0</v>
      </c>
      <c r="D18" s="710">
        <v>26188354.1076</v>
      </c>
      <c r="E18" s="710">
        <v>118641.17290000001</v>
      </c>
      <c r="F18" s="710"/>
      <c r="G18" s="710"/>
      <c r="H18" s="387">
        <f t="shared" si="0"/>
        <v>26069712.934700001</v>
      </c>
    </row>
    <row r="19" spans="1:8">
      <c r="A19" s="388">
        <v>13</v>
      </c>
      <c r="B19" s="401" t="s">
        <v>498</v>
      </c>
      <c r="C19" s="710">
        <v>494539.26270000002</v>
      </c>
      <c r="D19" s="710">
        <v>2203.5300000000002</v>
      </c>
      <c r="E19" s="710">
        <v>48695.129300000001</v>
      </c>
      <c r="F19" s="710"/>
      <c r="G19" s="710"/>
      <c r="H19" s="387">
        <f t="shared" si="0"/>
        <v>448047.66340000008</v>
      </c>
    </row>
    <row r="20" spans="1:8">
      <c r="A20" s="388">
        <v>14</v>
      </c>
      <c r="B20" s="401" t="s">
        <v>499</v>
      </c>
      <c r="C20" s="710">
        <v>2367488.8566999999</v>
      </c>
      <c r="D20" s="710">
        <v>12126619.089400001</v>
      </c>
      <c r="E20" s="710">
        <v>454091.8811</v>
      </c>
      <c r="F20" s="710"/>
      <c r="G20" s="710"/>
      <c r="H20" s="387">
        <f t="shared" si="0"/>
        <v>14040016.064999999</v>
      </c>
    </row>
    <row r="21" spans="1:8">
      <c r="A21" s="388">
        <v>15</v>
      </c>
      <c r="B21" s="401" t="s">
        <v>500</v>
      </c>
      <c r="C21" s="710">
        <v>9338181.7234000005</v>
      </c>
      <c r="D21" s="710">
        <v>9493173.3663999997</v>
      </c>
      <c r="E21" s="710">
        <v>1538462.6938</v>
      </c>
      <c r="F21" s="710"/>
      <c r="G21" s="710"/>
      <c r="H21" s="387">
        <f t="shared" si="0"/>
        <v>17292892.396000002</v>
      </c>
    </row>
    <row r="22" spans="1:8">
      <c r="A22" s="388">
        <v>16</v>
      </c>
      <c r="B22" s="401" t="s">
        <v>501</v>
      </c>
      <c r="C22" s="710"/>
      <c r="D22" s="710"/>
      <c r="E22" s="710"/>
      <c r="F22" s="710"/>
      <c r="G22" s="710"/>
      <c r="H22" s="387">
        <f t="shared" si="0"/>
        <v>0</v>
      </c>
    </row>
    <row r="23" spans="1:8">
      <c r="A23" s="388">
        <v>17</v>
      </c>
      <c r="B23" s="401" t="s">
        <v>502</v>
      </c>
      <c r="C23" s="710">
        <v>0</v>
      </c>
      <c r="D23" s="710">
        <v>8720133.1251999997</v>
      </c>
      <c r="E23" s="710">
        <v>23055.236099999998</v>
      </c>
      <c r="F23" s="710"/>
      <c r="G23" s="710"/>
      <c r="H23" s="387">
        <f t="shared" si="0"/>
        <v>8697077.8891000003</v>
      </c>
    </row>
    <row r="24" spans="1:8">
      <c r="A24" s="388">
        <v>18</v>
      </c>
      <c r="B24" s="401" t="s">
        <v>503</v>
      </c>
      <c r="C24" s="710">
        <v>0</v>
      </c>
      <c r="D24" s="710">
        <v>91310527.836899996</v>
      </c>
      <c r="E24" s="710">
        <v>684858.15650000004</v>
      </c>
      <c r="F24" s="710"/>
      <c r="G24" s="710"/>
      <c r="H24" s="387">
        <f t="shared" si="0"/>
        <v>90625669.680399999</v>
      </c>
    </row>
    <row r="25" spans="1:8">
      <c r="A25" s="388">
        <v>19</v>
      </c>
      <c r="B25" s="401" t="s">
        <v>504</v>
      </c>
      <c r="C25" s="710"/>
      <c r="D25" s="710"/>
      <c r="E25" s="710"/>
      <c r="F25" s="710"/>
      <c r="G25" s="710"/>
      <c r="H25" s="387">
        <f t="shared" si="0"/>
        <v>0</v>
      </c>
    </row>
    <row r="26" spans="1:8">
      <c r="A26" s="388">
        <v>20</v>
      </c>
      <c r="B26" s="401" t="s">
        <v>505</v>
      </c>
      <c r="C26" s="710">
        <v>0</v>
      </c>
      <c r="D26" s="710">
        <v>7969436.4689999996</v>
      </c>
      <c r="E26" s="710">
        <v>165459.09719999999</v>
      </c>
      <c r="F26" s="710"/>
      <c r="G26" s="710"/>
      <c r="H26" s="387">
        <f t="shared" si="0"/>
        <v>7803977.3717999998</v>
      </c>
    </row>
    <row r="27" spans="1:8">
      <c r="A27" s="388">
        <v>21</v>
      </c>
      <c r="B27" s="401" t="s">
        <v>506</v>
      </c>
      <c r="C27" s="710"/>
      <c r="D27" s="710"/>
      <c r="E27" s="710"/>
      <c r="F27" s="710"/>
      <c r="G27" s="710"/>
      <c r="H27" s="387">
        <f t="shared" si="0"/>
        <v>0</v>
      </c>
    </row>
    <row r="28" spans="1:8">
      <c r="A28" s="388">
        <v>22</v>
      </c>
      <c r="B28" s="401" t="s">
        <v>507</v>
      </c>
      <c r="C28" s="710">
        <v>0</v>
      </c>
      <c r="D28" s="710">
        <v>5151482.93</v>
      </c>
      <c r="E28" s="710">
        <v>36472.548799999997</v>
      </c>
      <c r="F28" s="710"/>
      <c r="G28" s="710"/>
      <c r="H28" s="387">
        <f t="shared" si="0"/>
        <v>5115010.3811999997</v>
      </c>
    </row>
    <row r="29" spans="1:8">
      <c r="A29" s="388">
        <v>23</v>
      </c>
      <c r="B29" s="401" t="s">
        <v>508</v>
      </c>
      <c r="C29" s="710">
        <v>2442903.2729000002</v>
      </c>
      <c r="D29" s="710">
        <v>14251949.3564</v>
      </c>
      <c r="E29" s="710">
        <v>355594.7499</v>
      </c>
      <c r="F29" s="710"/>
      <c r="G29" s="710"/>
      <c r="H29" s="387">
        <f t="shared" si="0"/>
        <v>16339257.8794</v>
      </c>
    </row>
    <row r="30" spans="1:8">
      <c r="A30" s="388">
        <v>24</v>
      </c>
      <c r="B30" s="401" t="s">
        <v>509</v>
      </c>
      <c r="C30" s="710">
        <v>11123248.837099999</v>
      </c>
      <c r="D30" s="710">
        <v>1505681.47</v>
      </c>
      <c r="E30" s="710">
        <v>4769669.3727000002</v>
      </c>
      <c r="F30" s="710"/>
      <c r="G30" s="710"/>
      <c r="H30" s="387">
        <f t="shared" si="0"/>
        <v>7859260.9343999997</v>
      </c>
    </row>
    <row r="31" spans="1:8">
      <c r="A31" s="388">
        <v>25</v>
      </c>
      <c r="B31" s="401" t="s">
        <v>510</v>
      </c>
      <c r="C31" s="710">
        <v>0</v>
      </c>
      <c r="D31" s="710">
        <v>506068.98930000002</v>
      </c>
      <c r="E31" s="710">
        <v>22.774000000000001</v>
      </c>
      <c r="F31" s="710"/>
      <c r="G31" s="710"/>
      <c r="H31" s="387">
        <f t="shared" si="0"/>
        <v>506046.21530000004</v>
      </c>
    </row>
    <row r="32" spans="1:8">
      <c r="A32" s="388">
        <v>26</v>
      </c>
      <c r="B32" s="401" t="s">
        <v>511</v>
      </c>
      <c r="C32" s="710">
        <v>245.55</v>
      </c>
      <c r="D32" s="710">
        <v>31327.808300000001</v>
      </c>
      <c r="E32" s="710">
        <v>303.27199999999999</v>
      </c>
      <c r="F32" s="710"/>
      <c r="G32" s="710"/>
      <c r="H32" s="387">
        <f t="shared" si="0"/>
        <v>31270.086299999999</v>
      </c>
    </row>
    <row r="33" spans="1:8">
      <c r="A33" s="388">
        <v>27</v>
      </c>
      <c r="B33" s="388" t="s">
        <v>88</v>
      </c>
      <c r="C33" s="710"/>
      <c r="D33" s="752">
        <v>29566696.703599997</v>
      </c>
      <c r="E33" s="710"/>
      <c r="F33" s="710"/>
      <c r="G33" s="710"/>
      <c r="H33" s="387">
        <f t="shared" si="0"/>
        <v>29566696.703599997</v>
      </c>
    </row>
    <row r="34" spans="1:8">
      <c r="A34" s="388">
        <v>28</v>
      </c>
      <c r="B34" s="391" t="s">
        <v>66</v>
      </c>
      <c r="C34" s="391">
        <f>SUM(C7:C33)</f>
        <v>30815245.5623</v>
      </c>
      <c r="D34" s="391">
        <f>SUM(D7:D33)</f>
        <v>674086184.47479999</v>
      </c>
      <c r="E34" s="391">
        <f>SUM(E7:E33)</f>
        <v>12052304.967500001</v>
      </c>
      <c r="F34" s="391">
        <f>SUM(F7:F33)</f>
        <v>0</v>
      </c>
      <c r="G34" s="391">
        <f>SUM(G7:G33)</f>
        <v>0</v>
      </c>
      <c r="H34" s="387">
        <f t="shared" si="0"/>
        <v>692849125.06959999</v>
      </c>
    </row>
    <row r="36" spans="1:8">
      <c r="B36" s="331"/>
    </row>
    <row r="37" spans="1:8">
      <c r="H37" s="750"/>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headerFooter>
    <oddFooter>&amp;C_x000D_&amp;1#&amp;"Calibri"&amp;10&amp;K000000 C1 - FOR INTERNAL USE ONLY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5"/>
  <sheetViews>
    <sheetView showGridLines="0" zoomScale="80" zoomScaleNormal="80" workbookViewId="0">
      <selection activeCell="C39" sqref="C39"/>
    </sheetView>
  </sheetViews>
  <sheetFormatPr defaultColWidth="9.21875" defaultRowHeight="12"/>
  <cols>
    <col min="1" max="1" width="11.77734375" style="326" bestFit="1" customWidth="1"/>
    <col min="2" max="2" width="108" style="326" bestFit="1" customWidth="1"/>
    <col min="3" max="3" width="35.5546875" style="326" customWidth="1"/>
    <col min="4" max="4" width="38.44140625" style="326" customWidth="1"/>
    <col min="5" max="16384" width="9.21875" style="326"/>
  </cols>
  <sheetData>
    <row r="1" spans="1:4" ht="13.8">
      <c r="A1" s="325" t="s">
        <v>97</v>
      </c>
      <c r="B1" s="241" t="str">
        <f>Info!C2</f>
        <v>სს " პაშა ბანკი საქართველო"</v>
      </c>
    </row>
    <row r="2" spans="1:4">
      <c r="A2" s="325" t="s">
        <v>98</v>
      </c>
      <c r="B2" s="328">
        <f>'1. key ratios'!B2</f>
        <v>45747</v>
      </c>
    </row>
    <row r="3" spans="1:4">
      <c r="A3" s="327" t="s">
        <v>512</v>
      </c>
    </row>
    <row r="5" spans="1:4">
      <c r="A5" s="849" t="s">
        <v>848</v>
      </c>
      <c r="B5" s="849"/>
      <c r="C5" s="409" t="s">
        <v>531</v>
      </c>
      <c r="D5" s="409" t="s">
        <v>847</v>
      </c>
    </row>
    <row r="6" spans="1:4">
      <c r="A6" s="408">
        <v>1</v>
      </c>
      <c r="B6" s="402" t="s">
        <v>846</v>
      </c>
      <c r="C6" s="754">
        <v>8446445.3341000006</v>
      </c>
      <c r="D6" s="754">
        <v>501186.05639999994</v>
      </c>
    </row>
    <row r="7" spans="1:4">
      <c r="A7" s="405">
        <v>2</v>
      </c>
      <c r="B7" s="402" t="s">
        <v>845</v>
      </c>
      <c r="C7" s="753">
        <f>SUM(C8:C9)</f>
        <v>4182844.5490999999</v>
      </c>
      <c r="D7" s="753">
        <f>SUM(D8:D9)</f>
        <v>1867.6950999999999</v>
      </c>
    </row>
    <row r="8" spans="1:4">
      <c r="A8" s="407">
        <v>2.1</v>
      </c>
      <c r="B8" s="406" t="s">
        <v>844</v>
      </c>
      <c r="C8" s="753">
        <v>3919800.3914999999</v>
      </c>
      <c r="D8" s="753">
        <v>0</v>
      </c>
    </row>
    <row r="9" spans="1:4">
      <c r="A9" s="407">
        <v>2.2000000000000002</v>
      </c>
      <c r="B9" s="406" t="s">
        <v>843</v>
      </c>
      <c r="C9" s="753">
        <v>263044.15759999998</v>
      </c>
      <c r="D9" s="753">
        <v>1867.6950999999999</v>
      </c>
    </row>
    <row r="10" spans="1:4">
      <c r="A10" s="408">
        <v>3</v>
      </c>
      <c r="B10" s="402" t="s">
        <v>842</v>
      </c>
      <c r="C10" s="753">
        <f>SUM(C11:C13)</f>
        <v>1071943.5493000001</v>
      </c>
      <c r="D10" s="753">
        <f>SUM(D11:D13)</f>
        <v>107456.4025</v>
      </c>
    </row>
    <row r="11" spans="1:4">
      <c r="A11" s="407">
        <v>3.1</v>
      </c>
      <c r="B11" s="406" t="s">
        <v>513</v>
      </c>
      <c r="C11" s="753">
        <v>0</v>
      </c>
      <c r="D11" s="753"/>
    </row>
    <row r="12" spans="1:4">
      <c r="A12" s="407">
        <v>3.2</v>
      </c>
      <c r="B12" s="406" t="s">
        <v>841</v>
      </c>
      <c r="C12" s="753">
        <v>881508.47239999997</v>
      </c>
      <c r="D12" s="753">
        <v>0</v>
      </c>
    </row>
    <row r="13" spans="1:4">
      <c r="A13" s="407">
        <v>3.3</v>
      </c>
      <c r="B13" s="406" t="s">
        <v>840</v>
      </c>
      <c r="C13" s="753">
        <v>190435.07689999999</v>
      </c>
      <c r="D13" s="753">
        <v>107456.4025</v>
      </c>
    </row>
    <row r="14" spans="1:4">
      <c r="A14" s="405">
        <v>4</v>
      </c>
      <c r="B14" s="404" t="s">
        <v>839</v>
      </c>
      <c r="C14" s="753">
        <v>-208592.34929977171</v>
      </c>
      <c r="D14" s="753">
        <v>-22377.080099999901</v>
      </c>
    </row>
    <row r="15" spans="1:4">
      <c r="A15" s="403">
        <v>5</v>
      </c>
      <c r="B15" s="402" t="s">
        <v>838</v>
      </c>
      <c r="C15" s="754">
        <f>C6+C7-C10+C14</f>
        <v>11348753.984600229</v>
      </c>
      <c r="D15" s="754">
        <f>D6+D7-D10+D14</f>
        <v>373220.26890000002</v>
      </c>
    </row>
  </sheetData>
  <mergeCells count="1">
    <mergeCell ref="A5:B5"/>
  </mergeCells>
  <pageMargins left="0.7" right="0.7" top="0.75" bottom="0.75" header="0.3" footer="0.3"/>
  <pageSetup orientation="portrait" horizontalDpi="4294967292" verticalDpi="0" r:id="rId1"/>
  <headerFooter>
    <oddFooter>&amp;C_x000D_&amp;1#&amp;"Calibri"&amp;10&amp;K000000 C1 - FOR INTERNAL USE ONLY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24"/>
  <sheetViews>
    <sheetView showGridLines="0" zoomScale="80" zoomScaleNormal="80" workbookViewId="0">
      <selection activeCell="B32" sqref="B32"/>
    </sheetView>
  </sheetViews>
  <sheetFormatPr defaultColWidth="9.21875" defaultRowHeight="12"/>
  <cols>
    <col min="1" max="1" width="11.77734375" style="398" bestFit="1" customWidth="1"/>
    <col min="2" max="2" width="128.88671875" style="398" bestFit="1" customWidth="1"/>
    <col min="3" max="3" width="37" style="398" customWidth="1"/>
    <col min="4" max="4" width="50.5546875" style="398" customWidth="1"/>
    <col min="5" max="16384" width="9.21875" style="398"/>
  </cols>
  <sheetData>
    <row r="1" spans="1:4" ht="13.8">
      <c r="A1" s="325" t="s">
        <v>97</v>
      </c>
      <c r="B1" s="241" t="str">
        <f>Info!C2</f>
        <v>სს " პაშა ბანკი საქართველო"</v>
      </c>
    </row>
    <row r="2" spans="1:4">
      <c r="A2" s="325" t="s">
        <v>98</v>
      </c>
      <c r="B2" s="328">
        <f>'1. key ratios'!B2</f>
        <v>45747</v>
      </c>
    </row>
    <row r="3" spans="1:4">
      <c r="A3" s="327" t="s">
        <v>514</v>
      </c>
    </row>
    <row r="4" spans="1:4">
      <c r="A4" s="327"/>
    </row>
    <row r="5" spans="1:4" ht="15" customHeight="1">
      <c r="A5" s="850" t="s">
        <v>515</v>
      </c>
      <c r="B5" s="851"/>
      <c r="C5" s="854" t="s">
        <v>516</v>
      </c>
      <c r="D5" s="854" t="s">
        <v>517</v>
      </c>
    </row>
    <row r="6" spans="1:4">
      <c r="A6" s="852"/>
      <c r="B6" s="853"/>
      <c r="C6" s="854"/>
      <c r="D6" s="854"/>
    </row>
    <row r="7" spans="1:4">
      <c r="A7" s="391">
        <v>1</v>
      </c>
      <c r="B7" s="391" t="s">
        <v>518</v>
      </c>
      <c r="C7" s="710">
        <v>22930572.9333</v>
      </c>
      <c r="D7" s="410"/>
    </row>
    <row r="8" spans="1:4">
      <c r="A8" s="388">
        <v>2</v>
      </c>
      <c r="B8" s="388" t="s">
        <v>519</v>
      </c>
      <c r="C8" s="710">
        <v>8539188.7096999995</v>
      </c>
      <c r="D8" s="410"/>
    </row>
    <row r="9" spans="1:4">
      <c r="A9" s="388">
        <v>3</v>
      </c>
      <c r="B9" s="413" t="s">
        <v>520</v>
      </c>
      <c r="C9" s="710">
        <v>158416.0692</v>
      </c>
      <c r="D9" s="410"/>
    </row>
    <row r="10" spans="1:4">
      <c r="A10" s="388">
        <v>4</v>
      </c>
      <c r="B10" s="388" t="s">
        <v>521</v>
      </c>
      <c r="C10" s="752">
        <f>SUM(C11:C17)</f>
        <v>1005816.6497000003</v>
      </c>
      <c r="D10" s="410"/>
    </row>
    <row r="11" spans="1:4">
      <c r="A11" s="388">
        <v>5</v>
      </c>
      <c r="B11" s="412" t="s">
        <v>849</v>
      </c>
      <c r="C11" s="710">
        <v>376231.2219</v>
      </c>
      <c r="D11" s="410"/>
    </row>
    <row r="12" spans="1:4">
      <c r="A12" s="388">
        <v>6</v>
      </c>
      <c r="B12" s="412" t="s">
        <v>522</v>
      </c>
      <c r="C12" s="710">
        <v>399081.36726500001</v>
      </c>
      <c r="D12" s="410"/>
    </row>
    <row r="13" spans="1:4">
      <c r="A13" s="388">
        <v>7</v>
      </c>
      <c r="B13" s="412" t="s">
        <v>525</v>
      </c>
      <c r="C13" s="710"/>
      <c r="D13" s="410"/>
    </row>
    <row r="14" spans="1:4">
      <c r="A14" s="388">
        <v>8</v>
      </c>
      <c r="B14" s="412" t="s">
        <v>523</v>
      </c>
      <c r="C14" s="710">
        <v>121658.671535</v>
      </c>
      <c r="D14" s="388"/>
    </row>
    <row r="15" spans="1:4">
      <c r="A15" s="388">
        <v>9</v>
      </c>
      <c r="B15" s="412" t="s">
        <v>524</v>
      </c>
      <c r="C15" s="710"/>
      <c r="D15" s="388"/>
    </row>
    <row r="16" spans="1:4">
      <c r="A16" s="388">
        <v>10</v>
      </c>
      <c r="B16" s="412" t="s">
        <v>526</v>
      </c>
      <c r="C16" s="710"/>
      <c r="D16" s="388"/>
    </row>
    <row r="17" spans="1:4">
      <c r="A17" s="388">
        <v>11</v>
      </c>
      <c r="B17" s="412" t="s">
        <v>527</v>
      </c>
      <c r="C17" s="710">
        <v>108845.3890000003</v>
      </c>
      <c r="D17" s="410"/>
    </row>
    <row r="18" spans="1:4">
      <c r="A18" s="391">
        <v>12</v>
      </c>
      <c r="B18" s="411" t="s">
        <v>528</v>
      </c>
      <c r="C18" s="712">
        <f>C7+C8+C9-C10</f>
        <v>30622361.0625</v>
      </c>
      <c r="D18" s="410"/>
    </row>
    <row r="21" spans="1:4">
      <c r="B21" s="325"/>
    </row>
    <row r="22" spans="1:4">
      <c r="B22" s="325"/>
      <c r="C22" s="714"/>
    </row>
    <row r="23" spans="1:4">
      <c r="B23" s="327"/>
    </row>
    <row r="24" spans="1:4">
      <c r="C24" s="715"/>
    </row>
  </sheetData>
  <mergeCells count="3">
    <mergeCell ref="A5:B6"/>
    <mergeCell ref="C5:C6"/>
    <mergeCell ref="D5:D6"/>
  </mergeCells>
  <pageMargins left="0.7" right="0.7" top="0.75" bottom="0.75" header="0.3" footer="0.3"/>
  <pageSetup paperSize="9" orientation="portrait" r:id="rId1"/>
  <headerFooter>
    <oddFooter>&amp;C_x000D_&amp;1#&amp;"Calibri"&amp;10&amp;K000000 C1 - FOR INTERNAL USE ONLY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B36"/>
  <sheetViews>
    <sheetView showGridLines="0" zoomScale="80" zoomScaleNormal="80" workbookViewId="0">
      <selection activeCell="C18" sqref="C18"/>
    </sheetView>
  </sheetViews>
  <sheetFormatPr defaultColWidth="9.21875" defaultRowHeight="12"/>
  <cols>
    <col min="1" max="1" width="11.77734375" style="398" bestFit="1" customWidth="1"/>
    <col min="2" max="2" width="63.88671875" style="398" customWidth="1"/>
    <col min="3" max="3" width="15.5546875" style="398" customWidth="1"/>
    <col min="4" max="18" width="22.21875" style="398" customWidth="1"/>
    <col min="19" max="19" width="23.21875" style="398" bestFit="1" customWidth="1"/>
    <col min="20" max="26" width="22.21875" style="398" customWidth="1"/>
    <col min="27" max="27" width="23.21875" style="398" bestFit="1" customWidth="1"/>
    <col min="28" max="28" width="20" style="398" customWidth="1"/>
    <col min="29" max="16384" width="9.21875" style="398"/>
  </cols>
  <sheetData>
    <row r="1" spans="1:28" ht="13.8">
      <c r="A1" s="325" t="s">
        <v>97</v>
      </c>
      <c r="B1" s="241" t="str">
        <f>Info!C2</f>
        <v>სს " პაშა ბანკი საქართველო"</v>
      </c>
    </row>
    <row r="2" spans="1:28">
      <c r="A2" s="325" t="s">
        <v>98</v>
      </c>
      <c r="B2" s="328">
        <f>'1. key ratios'!B2</f>
        <v>45747</v>
      </c>
      <c r="C2" s="399"/>
    </row>
    <row r="3" spans="1:28">
      <c r="A3" s="327" t="s">
        <v>529</v>
      </c>
    </row>
    <row r="5" spans="1:28" ht="15" customHeight="1">
      <c r="A5" s="855" t="s">
        <v>862</v>
      </c>
      <c r="B5" s="856"/>
      <c r="C5" s="847" t="s">
        <v>861</v>
      </c>
      <c r="D5" s="861"/>
      <c r="E5" s="861"/>
      <c r="F5" s="861"/>
      <c r="G5" s="861"/>
      <c r="H5" s="861"/>
      <c r="I5" s="861"/>
      <c r="J5" s="861"/>
      <c r="K5" s="861"/>
      <c r="L5" s="861"/>
      <c r="M5" s="861"/>
      <c r="N5" s="861"/>
      <c r="O5" s="861"/>
      <c r="P5" s="861"/>
      <c r="Q5" s="861"/>
      <c r="R5" s="861"/>
      <c r="S5" s="861"/>
      <c r="T5" s="423"/>
      <c r="U5" s="423"/>
      <c r="V5" s="423"/>
      <c r="W5" s="423"/>
      <c r="X5" s="423"/>
      <c r="Y5" s="423"/>
      <c r="Z5" s="423"/>
      <c r="AA5" s="422"/>
      <c r="AB5" s="415"/>
    </row>
    <row r="6" spans="1:28">
      <c r="A6" s="857"/>
      <c r="B6" s="858"/>
      <c r="C6" s="862" t="s">
        <v>66</v>
      </c>
      <c r="D6" s="864" t="s">
        <v>860</v>
      </c>
      <c r="E6" s="864"/>
      <c r="F6" s="864"/>
      <c r="G6" s="864"/>
      <c r="H6" s="865" t="s">
        <v>859</v>
      </c>
      <c r="I6" s="866"/>
      <c r="J6" s="866"/>
      <c r="K6" s="867"/>
      <c r="L6" s="420"/>
      <c r="M6" s="868" t="s">
        <v>858</v>
      </c>
      <c r="N6" s="868"/>
      <c r="O6" s="868"/>
      <c r="P6" s="868"/>
      <c r="Q6" s="868"/>
      <c r="R6" s="868"/>
      <c r="S6" s="845"/>
      <c r="T6" s="421"/>
      <c r="U6" s="848" t="s">
        <v>857</v>
      </c>
      <c r="V6" s="848"/>
      <c r="W6" s="848"/>
      <c r="X6" s="848"/>
      <c r="Y6" s="848"/>
      <c r="Z6" s="848"/>
      <c r="AA6" s="846"/>
      <c r="AB6" s="420"/>
    </row>
    <row r="7" spans="1:28" ht="24">
      <c r="A7" s="859"/>
      <c r="B7" s="860"/>
      <c r="C7" s="863"/>
      <c r="D7" s="419"/>
      <c r="E7" s="395" t="s">
        <v>530</v>
      </c>
      <c r="F7" s="395" t="s">
        <v>855</v>
      </c>
      <c r="G7" s="395" t="s">
        <v>856</v>
      </c>
      <c r="H7" s="418"/>
      <c r="I7" s="395" t="s">
        <v>530</v>
      </c>
      <c r="J7" s="395" t="s">
        <v>855</v>
      </c>
      <c r="K7" s="395" t="s">
        <v>856</v>
      </c>
      <c r="L7" s="417"/>
      <c r="M7" s="395" t="s">
        <v>530</v>
      </c>
      <c r="N7" s="395" t="s">
        <v>855</v>
      </c>
      <c r="O7" s="395" t="s">
        <v>854</v>
      </c>
      <c r="P7" s="395" t="s">
        <v>853</v>
      </c>
      <c r="Q7" s="395" t="s">
        <v>852</v>
      </c>
      <c r="R7" s="395" t="s">
        <v>851</v>
      </c>
      <c r="S7" s="395" t="s">
        <v>850</v>
      </c>
      <c r="T7" s="416"/>
      <c r="U7" s="395" t="s">
        <v>530</v>
      </c>
      <c r="V7" s="395" t="s">
        <v>855</v>
      </c>
      <c r="W7" s="395" t="s">
        <v>854</v>
      </c>
      <c r="X7" s="395" t="s">
        <v>853</v>
      </c>
      <c r="Y7" s="395" t="s">
        <v>852</v>
      </c>
      <c r="Z7" s="395" t="s">
        <v>851</v>
      </c>
      <c r="AA7" s="395" t="s">
        <v>850</v>
      </c>
      <c r="AB7" s="415"/>
    </row>
    <row r="8" spans="1:28">
      <c r="A8" s="414">
        <v>1</v>
      </c>
      <c r="B8" s="391" t="s">
        <v>531</v>
      </c>
      <c r="C8" s="709">
        <f>SUM(C9:C14)</f>
        <v>398402624.26970005</v>
      </c>
      <c r="D8" s="709">
        <f t="shared" ref="D8:AA8" si="0">SUM(D9:D14)</f>
        <v>360835659.08029997</v>
      </c>
      <c r="E8" s="709">
        <f t="shared" si="0"/>
        <v>5530083.9192000004</v>
      </c>
      <c r="F8" s="709">
        <f t="shared" si="0"/>
        <v>13128480.380000001</v>
      </c>
      <c r="G8" s="709">
        <f t="shared" si="0"/>
        <v>0</v>
      </c>
      <c r="H8" s="709">
        <f t="shared" si="0"/>
        <v>6944604.1271000002</v>
      </c>
      <c r="I8" s="709">
        <f t="shared" si="0"/>
        <v>0</v>
      </c>
      <c r="J8" s="709">
        <f t="shared" si="0"/>
        <v>2496364.92</v>
      </c>
      <c r="K8" s="709">
        <f t="shared" si="0"/>
        <v>0</v>
      </c>
      <c r="L8" s="709">
        <f t="shared" si="0"/>
        <v>28161270.929200001</v>
      </c>
      <c r="M8" s="709">
        <f t="shared" si="0"/>
        <v>0</v>
      </c>
      <c r="N8" s="709">
        <f t="shared" si="0"/>
        <v>0</v>
      </c>
      <c r="O8" s="709">
        <f t="shared" si="0"/>
        <v>396603.88650000002</v>
      </c>
      <c r="P8" s="709">
        <f t="shared" si="0"/>
        <v>4315730.2229000004</v>
      </c>
      <c r="Q8" s="709">
        <f t="shared" si="0"/>
        <v>2660349.4005</v>
      </c>
      <c r="R8" s="709">
        <f t="shared" si="0"/>
        <v>11666244.107899999</v>
      </c>
      <c r="S8" s="709">
        <f t="shared" si="0"/>
        <v>0</v>
      </c>
      <c r="T8" s="709">
        <f t="shared" si="0"/>
        <v>2461090.1331000002</v>
      </c>
      <c r="U8" s="709">
        <f t="shared" si="0"/>
        <v>0</v>
      </c>
      <c r="V8" s="709">
        <f t="shared" si="0"/>
        <v>0</v>
      </c>
      <c r="W8" s="709">
        <f t="shared" si="0"/>
        <v>0</v>
      </c>
      <c r="X8" s="709">
        <f t="shared" si="0"/>
        <v>0</v>
      </c>
      <c r="Y8" s="709">
        <f t="shared" si="0"/>
        <v>2461090.1331000002</v>
      </c>
      <c r="Z8" s="709">
        <f t="shared" si="0"/>
        <v>0</v>
      </c>
      <c r="AA8" s="709">
        <f t="shared" si="0"/>
        <v>0</v>
      </c>
    </row>
    <row r="9" spans="1:28">
      <c r="A9" s="388">
        <v>1.1000000000000001</v>
      </c>
      <c r="B9" s="405" t="s">
        <v>532</v>
      </c>
      <c r="C9" s="405"/>
      <c r="D9" s="388"/>
      <c r="E9" s="388"/>
      <c r="F9" s="388"/>
      <c r="G9" s="388"/>
      <c r="H9" s="708"/>
      <c r="I9" s="388"/>
      <c r="J9" s="388"/>
      <c r="K9" s="388"/>
      <c r="L9" s="388"/>
      <c r="M9" s="388"/>
      <c r="N9" s="388"/>
      <c r="O9" s="388"/>
      <c r="P9" s="388"/>
      <c r="Q9" s="388"/>
      <c r="R9" s="388"/>
      <c r="S9" s="388"/>
      <c r="T9" s="388"/>
      <c r="U9" s="388"/>
      <c r="V9" s="388"/>
      <c r="W9" s="388"/>
      <c r="X9" s="388"/>
      <c r="Y9" s="388"/>
      <c r="Z9" s="388"/>
      <c r="AA9" s="388"/>
    </row>
    <row r="10" spans="1:28">
      <c r="A10" s="388">
        <v>1.2</v>
      </c>
      <c r="B10" s="405" t="s">
        <v>533</v>
      </c>
      <c r="C10" s="405"/>
      <c r="D10" s="388"/>
      <c r="E10" s="388"/>
      <c r="F10" s="388"/>
      <c r="G10" s="388"/>
      <c r="H10" s="708"/>
      <c r="I10" s="388"/>
      <c r="J10" s="388"/>
      <c r="K10" s="388"/>
      <c r="L10" s="388"/>
      <c r="M10" s="388"/>
      <c r="N10" s="388"/>
      <c r="O10" s="388"/>
      <c r="P10" s="388"/>
      <c r="Q10" s="388"/>
      <c r="R10" s="388"/>
      <c r="S10" s="388"/>
      <c r="T10" s="388"/>
      <c r="U10" s="388"/>
      <c r="V10" s="388"/>
      <c r="W10" s="388"/>
      <c r="X10" s="388"/>
      <c r="Y10" s="388"/>
      <c r="Z10" s="388"/>
      <c r="AA10" s="388"/>
    </row>
    <row r="11" spans="1:28">
      <c r="A11" s="388">
        <v>1.3</v>
      </c>
      <c r="B11" s="405" t="s">
        <v>534</v>
      </c>
      <c r="C11" s="718">
        <v>36263826.740000002</v>
      </c>
      <c r="D11" s="713">
        <v>36263826.740000002</v>
      </c>
      <c r="E11" s="708"/>
      <c r="F11" s="708"/>
      <c r="G11" s="708"/>
      <c r="H11" s="713"/>
      <c r="I11" s="708"/>
      <c r="J11" s="708"/>
      <c r="K11" s="708"/>
      <c r="L11" s="708"/>
      <c r="M11" s="708"/>
      <c r="N11" s="708"/>
      <c r="O11" s="708"/>
      <c r="P11" s="708"/>
      <c r="Q11" s="708"/>
      <c r="R11" s="708"/>
      <c r="S11" s="708"/>
      <c r="T11" s="708"/>
      <c r="U11" s="708"/>
      <c r="V11" s="708"/>
      <c r="W11" s="708"/>
      <c r="X11" s="708"/>
      <c r="Y11" s="708"/>
      <c r="Z11" s="708"/>
      <c r="AA11" s="708"/>
    </row>
    <row r="12" spans="1:28">
      <c r="A12" s="388">
        <v>1.4</v>
      </c>
      <c r="B12" s="405" t="s">
        <v>535</v>
      </c>
      <c r="C12" s="718">
        <v>59875606.566600002</v>
      </c>
      <c r="D12" s="713">
        <v>59709568.566600002</v>
      </c>
      <c r="E12" s="708">
        <v>0</v>
      </c>
      <c r="F12" s="708">
        <v>0</v>
      </c>
      <c r="G12" s="708">
        <v>0</v>
      </c>
      <c r="H12" s="708">
        <v>0</v>
      </c>
      <c r="I12" s="708">
        <v>0</v>
      </c>
      <c r="J12" s="708">
        <v>0</v>
      </c>
      <c r="K12" s="708">
        <v>0</v>
      </c>
      <c r="L12" s="708">
        <v>166038</v>
      </c>
      <c r="M12" s="708">
        <v>0</v>
      </c>
      <c r="N12" s="708">
        <v>0</v>
      </c>
      <c r="O12" s="708">
        <v>0</v>
      </c>
      <c r="P12" s="708">
        <v>0</v>
      </c>
      <c r="Q12" s="708">
        <v>0</v>
      </c>
      <c r="R12" s="708">
        <v>166038</v>
      </c>
      <c r="S12" s="708">
        <v>0</v>
      </c>
      <c r="T12" s="708">
        <v>0</v>
      </c>
      <c r="U12" s="708">
        <v>0</v>
      </c>
      <c r="V12" s="708">
        <v>0</v>
      </c>
      <c r="W12" s="708">
        <v>0</v>
      </c>
      <c r="X12" s="708">
        <v>0</v>
      </c>
      <c r="Y12" s="708">
        <v>0</v>
      </c>
      <c r="Z12" s="708">
        <v>0</v>
      </c>
      <c r="AA12" s="708">
        <v>0</v>
      </c>
    </row>
    <row r="13" spans="1:28">
      <c r="A13" s="388">
        <v>1.5</v>
      </c>
      <c r="B13" s="405" t="s">
        <v>536</v>
      </c>
      <c r="C13" s="716">
        <v>295917648.31290001</v>
      </c>
      <c r="D13" s="708">
        <v>261035715.75619999</v>
      </c>
      <c r="E13" s="708">
        <v>5528989.6792000001</v>
      </c>
      <c r="F13" s="708">
        <v>13128480.380000001</v>
      </c>
      <c r="G13" s="708">
        <v>0</v>
      </c>
      <c r="H13" s="708">
        <v>6881503.6096999999</v>
      </c>
      <c r="I13" s="708">
        <v>0</v>
      </c>
      <c r="J13" s="708">
        <v>2496364.92</v>
      </c>
      <c r="K13" s="708">
        <v>0</v>
      </c>
      <c r="L13" s="708">
        <v>25539338.813900001</v>
      </c>
      <c r="M13" s="708">
        <v>0</v>
      </c>
      <c r="N13" s="708">
        <v>0</v>
      </c>
      <c r="O13" s="708">
        <v>382866.12760000001</v>
      </c>
      <c r="P13" s="708">
        <v>4162847.5410000002</v>
      </c>
      <c r="Q13" s="708">
        <v>2660349.4005</v>
      </c>
      <c r="R13" s="708">
        <v>9210932.4333999995</v>
      </c>
      <c r="S13" s="708">
        <v>0</v>
      </c>
      <c r="T13" s="708">
        <v>2461090.1331000002</v>
      </c>
      <c r="U13" s="708">
        <v>0</v>
      </c>
      <c r="V13" s="708">
        <v>0</v>
      </c>
      <c r="W13" s="708">
        <v>0</v>
      </c>
      <c r="X13" s="708">
        <v>0</v>
      </c>
      <c r="Y13" s="708">
        <v>2461090.1331000002</v>
      </c>
      <c r="Z13" s="708">
        <v>0</v>
      </c>
      <c r="AA13" s="708">
        <v>0</v>
      </c>
    </row>
    <row r="14" spans="1:28">
      <c r="A14" s="388">
        <v>1.6</v>
      </c>
      <c r="B14" s="405" t="s">
        <v>537</v>
      </c>
      <c r="C14" s="716">
        <v>6345542.6502</v>
      </c>
      <c r="D14" s="708">
        <v>3826548.0175000001</v>
      </c>
      <c r="E14" s="708">
        <v>1094.24</v>
      </c>
      <c r="F14" s="708">
        <v>0</v>
      </c>
      <c r="G14" s="713">
        <v>0</v>
      </c>
      <c r="H14" s="708">
        <v>63100.517399999997</v>
      </c>
      <c r="I14" s="708">
        <v>0</v>
      </c>
      <c r="J14" s="708">
        <v>0</v>
      </c>
      <c r="K14" s="708">
        <v>0</v>
      </c>
      <c r="L14" s="708">
        <v>2455894.1153000002</v>
      </c>
      <c r="M14" s="708">
        <v>0</v>
      </c>
      <c r="N14" s="708">
        <v>0</v>
      </c>
      <c r="O14" s="708">
        <v>13737.758900000001</v>
      </c>
      <c r="P14" s="708">
        <v>152882.6819</v>
      </c>
      <c r="Q14" s="708">
        <v>0</v>
      </c>
      <c r="R14" s="708">
        <v>2289273.6745000002</v>
      </c>
      <c r="S14" s="708">
        <v>0</v>
      </c>
      <c r="T14" s="708">
        <v>0</v>
      </c>
      <c r="U14" s="708">
        <v>0</v>
      </c>
      <c r="V14" s="708">
        <v>0</v>
      </c>
      <c r="W14" s="708">
        <v>0</v>
      </c>
      <c r="X14" s="708">
        <v>0</v>
      </c>
      <c r="Y14" s="708">
        <v>0</v>
      </c>
      <c r="Z14" s="708">
        <v>0</v>
      </c>
      <c r="AA14" s="708">
        <v>0</v>
      </c>
    </row>
    <row r="15" spans="1:28">
      <c r="A15" s="414">
        <v>2</v>
      </c>
      <c r="B15" s="391" t="s">
        <v>538</v>
      </c>
      <c r="C15" s="709">
        <f>SUM(C16:C21)</f>
        <v>81604021.5836</v>
      </c>
      <c r="D15" s="709">
        <f t="shared" ref="D15:AA15" si="1">SUM(D16:D21)</f>
        <v>81604021.5836</v>
      </c>
      <c r="E15" s="709">
        <f t="shared" si="1"/>
        <v>0</v>
      </c>
      <c r="F15" s="709">
        <f t="shared" si="1"/>
        <v>0</v>
      </c>
      <c r="G15" s="709">
        <f t="shared" si="1"/>
        <v>0</v>
      </c>
      <c r="H15" s="709">
        <f t="shared" si="1"/>
        <v>0</v>
      </c>
      <c r="I15" s="709">
        <f t="shared" si="1"/>
        <v>0</v>
      </c>
      <c r="J15" s="709">
        <f t="shared" si="1"/>
        <v>0</v>
      </c>
      <c r="K15" s="709">
        <f t="shared" si="1"/>
        <v>0</v>
      </c>
      <c r="L15" s="709">
        <f t="shared" si="1"/>
        <v>0</v>
      </c>
      <c r="M15" s="709">
        <f t="shared" si="1"/>
        <v>0</v>
      </c>
      <c r="N15" s="709">
        <f t="shared" si="1"/>
        <v>0</v>
      </c>
      <c r="O15" s="709">
        <f t="shared" si="1"/>
        <v>0</v>
      </c>
      <c r="P15" s="709">
        <f t="shared" si="1"/>
        <v>0</v>
      </c>
      <c r="Q15" s="709">
        <f t="shared" si="1"/>
        <v>0</v>
      </c>
      <c r="R15" s="709">
        <f t="shared" si="1"/>
        <v>0</v>
      </c>
      <c r="S15" s="709">
        <f t="shared" si="1"/>
        <v>0</v>
      </c>
      <c r="T15" s="709">
        <f t="shared" si="1"/>
        <v>0</v>
      </c>
      <c r="U15" s="709">
        <f t="shared" si="1"/>
        <v>0</v>
      </c>
      <c r="V15" s="709">
        <f t="shared" si="1"/>
        <v>0</v>
      </c>
      <c r="W15" s="709">
        <f t="shared" si="1"/>
        <v>0</v>
      </c>
      <c r="X15" s="709">
        <f t="shared" si="1"/>
        <v>0</v>
      </c>
      <c r="Y15" s="709">
        <f t="shared" si="1"/>
        <v>0</v>
      </c>
      <c r="Z15" s="709">
        <f t="shared" si="1"/>
        <v>0</v>
      </c>
      <c r="AA15" s="709">
        <f t="shared" si="1"/>
        <v>0</v>
      </c>
    </row>
    <row r="16" spans="1:28">
      <c r="A16" s="388">
        <v>2.1</v>
      </c>
      <c r="B16" s="405" t="s">
        <v>532</v>
      </c>
      <c r="C16" s="716"/>
      <c r="D16" s="708"/>
      <c r="E16" s="708"/>
      <c r="F16" s="708"/>
      <c r="G16" s="708"/>
      <c r="H16" s="708"/>
      <c r="I16" s="708"/>
      <c r="J16" s="708"/>
      <c r="K16" s="708"/>
      <c r="L16" s="708"/>
      <c r="M16" s="708"/>
      <c r="N16" s="708"/>
      <c r="O16" s="708"/>
      <c r="P16" s="708"/>
      <c r="Q16" s="708"/>
      <c r="R16" s="708"/>
      <c r="S16" s="708"/>
      <c r="T16" s="708"/>
      <c r="U16" s="708"/>
      <c r="V16" s="708"/>
      <c r="W16" s="388"/>
      <c r="X16" s="388"/>
      <c r="Y16" s="388"/>
      <c r="Z16" s="388"/>
      <c r="AA16" s="388"/>
    </row>
    <row r="17" spans="1:27">
      <c r="A17" s="388">
        <v>2.2000000000000002</v>
      </c>
      <c r="B17" s="405" t="s">
        <v>533</v>
      </c>
      <c r="C17" s="718">
        <v>5346400</v>
      </c>
      <c r="D17" s="713">
        <v>5346400</v>
      </c>
      <c r="E17" s="708"/>
      <c r="F17" s="708"/>
      <c r="G17" s="708"/>
      <c r="H17" s="708"/>
      <c r="I17" s="708"/>
      <c r="J17" s="708"/>
      <c r="K17" s="708"/>
      <c r="L17" s="708"/>
      <c r="M17" s="708"/>
      <c r="N17" s="708"/>
      <c r="O17" s="708"/>
      <c r="P17" s="708"/>
      <c r="Q17" s="708"/>
      <c r="R17" s="708"/>
      <c r="S17" s="708"/>
      <c r="T17" s="708"/>
      <c r="U17" s="708"/>
      <c r="V17" s="708"/>
      <c r="W17" s="388"/>
      <c r="X17" s="388"/>
      <c r="Y17" s="388"/>
      <c r="Z17" s="388"/>
      <c r="AA17" s="388"/>
    </row>
    <row r="18" spans="1:27">
      <c r="A18" s="388">
        <v>2.2999999999999998</v>
      </c>
      <c r="B18" s="405" t="s">
        <v>534</v>
      </c>
      <c r="C18" s="718">
        <v>6909592.2400000002</v>
      </c>
      <c r="D18" s="713">
        <v>6909592.2400000002</v>
      </c>
      <c r="E18" s="708">
        <v>0</v>
      </c>
      <c r="F18" s="708">
        <v>0</v>
      </c>
      <c r="G18" s="708">
        <v>0</v>
      </c>
      <c r="H18" s="708">
        <v>0</v>
      </c>
      <c r="I18" s="708">
        <v>0</v>
      </c>
      <c r="J18" s="708">
        <v>0</v>
      </c>
      <c r="K18" s="708">
        <v>0</v>
      </c>
      <c r="L18" s="708">
        <v>0</v>
      </c>
      <c r="M18" s="708">
        <v>0</v>
      </c>
      <c r="N18" s="708">
        <v>0</v>
      </c>
      <c r="O18" s="708">
        <v>0</v>
      </c>
      <c r="P18" s="708">
        <v>0</v>
      </c>
      <c r="Q18" s="708">
        <v>0</v>
      </c>
      <c r="R18" s="708">
        <v>0</v>
      </c>
      <c r="S18" s="708">
        <v>0</v>
      </c>
      <c r="T18" s="708">
        <v>0</v>
      </c>
      <c r="U18" s="708">
        <v>0</v>
      </c>
      <c r="V18" s="708">
        <v>0</v>
      </c>
      <c r="W18" s="388">
        <v>0</v>
      </c>
      <c r="X18" s="388">
        <v>0</v>
      </c>
      <c r="Y18" s="388">
        <v>0</v>
      </c>
      <c r="Z18" s="388">
        <v>0</v>
      </c>
      <c r="AA18" s="388">
        <v>0</v>
      </c>
    </row>
    <row r="19" spans="1:27">
      <c r="A19" s="388">
        <v>2.4</v>
      </c>
      <c r="B19" s="405" t="s">
        <v>535</v>
      </c>
      <c r="C19" s="718">
        <v>36132532.489999995</v>
      </c>
      <c r="D19" s="713">
        <v>36132532.489999995</v>
      </c>
      <c r="E19" s="708">
        <v>0</v>
      </c>
      <c r="F19" s="708">
        <v>0</v>
      </c>
      <c r="G19" s="708">
        <v>0</v>
      </c>
      <c r="H19" s="708">
        <v>0</v>
      </c>
      <c r="I19" s="708">
        <v>0</v>
      </c>
      <c r="J19" s="708">
        <v>0</v>
      </c>
      <c r="K19" s="708">
        <v>0</v>
      </c>
      <c r="L19" s="708">
        <v>0</v>
      </c>
      <c r="M19" s="708">
        <v>0</v>
      </c>
      <c r="N19" s="708">
        <v>0</v>
      </c>
      <c r="O19" s="708">
        <v>0</v>
      </c>
      <c r="P19" s="708">
        <v>0</v>
      </c>
      <c r="Q19" s="708">
        <v>0</v>
      </c>
      <c r="R19" s="708">
        <v>0</v>
      </c>
      <c r="S19" s="708">
        <v>0</v>
      </c>
      <c r="T19" s="708">
        <v>0</v>
      </c>
      <c r="U19" s="708">
        <v>0</v>
      </c>
      <c r="V19" s="708">
        <v>0</v>
      </c>
      <c r="W19" s="388">
        <v>0</v>
      </c>
      <c r="X19" s="388">
        <v>0</v>
      </c>
      <c r="Y19" s="388">
        <v>0</v>
      </c>
      <c r="Z19" s="388">
        <v>0</v>
      </c>
      <c r="AA19" s="388">
        <v>0</v>
      </c>
    </row>
    <row r="20" spans="1:27">
      <c r="A20" s="388">
        <v>2.5</v>
      </c>
      <c r="B20" s="405" t="s">
        <v>536</v>
      </c>
      <c r="C20" s="718">
        <v>33215496.853599999</v>
      </c>
      <c r="D20" s="713">
        <v>33215496.853599999</v>
      </c>
      <c r="E20" s="708">
        <v>0</v>
      </c>
      <c r="F20" s="708">
        <v>0</v>
      </c>
      <c r="G20" s="708">
        <v>0</v>
      </c>
      <c r="H20" s="708">
        <v>0</v>
      </c>
      <c r="I20" s="708">
        <v>0</v>
      </c>
      <c r="J20" s="708">
        <v>0</v>
      </c>
      <c r="K20" s="708">
        <v>0</v>
      </c>
      <c r="L20" s="708">
        <v>0</v>
      </c>
      <c r="M20" s="708">
        <v>0</v>
      </c>
      <c r="N20" s="708">
        <v>0</v>
      </c>
      <c r="O20" s="708">
        <v>0</v>
      </c>
      <c r="P20" s="708">
        <v>0</v>
      </c>
      <c r="Q20" s="708">
        <v>0</v>
      </c>
      <c r="R20" s="708">
        <v>0</v>
      </c>
      <c r="S20" s="708">
        <v>0</v>
      </c>
      <c r="T20" s="708">
        <v>0</v>
      </c>
      <c r="U20" s="708">
        <v>0</v>
      </c>
      <c r="V20" s="708">
        <v>0</v>
      </c>
      <c r="W20" s="388">
        <v>0</v>
      </c>
      <c r="X20" s="388">
        <v>0</v>
      </c>
      <c r="Y20" s="388">
        <v>0</v>
      </c>
      <c r="Z20" s="388">
        <v>0</v>
      </c>
      <c r="AA20" s="388">
        <v>0</v>
      </c>
    </row>
    <row r="21" spans="1:27">
      <c r="A21" s="388">
        <v>2.6</v>
      </c>
      <c r="B21" s="405" t="s">
        <v>537</v>
      </c>
      <c r="C21" s="405"/>
      <c r="D21" s="388"/>
      <c r="E21" s="388"/>
      <c r="F21" s="388"/>
      <c r="G21" s="388"/>
      <c r="H21" s="708"/>
      <c r="I21" s="388"/>
      <c r="J21" s="388"/>
      <c r="K21" s="388"/>
      <c r="L21" s="388"/>
      <c r="M21" s="388"/>
      <c r="N21" s="388"/>
      <c r="O21" s="388"/>
      <c r="P21" s="388"/>
      <c r="Q21" s="388"/>
      <c r="R21" s="388"/>
      <c r="S21" s="388"/>
      <c r="T21" s="388"/>
      <c r="U21" s="388"/>
      <c r="V21" s="388"/>
      <c r="W21" s="388"/>
      <c r="X21" s="388"/>
      <c r="Y21" s="388"/>
      <c r="Z21" s="388"/>
      <c r="AA21" s="388"/>
    </row>
    <row r="22" spans="1:27">
      <c r="A22" s="414">
        <v>3</v>
      </c>
      <c r="B22" s="391" t="s">
        <v>539</v>
      </c>
      <c r="C22" s="709">
        <f>SUM(C23:C28)</f>
        <v>78367935.928199992</v>
      </c>
      <c r="D22" s="709">
        <f>SUM(D23:D28)</f>
        <v>78004402.238199994</v>
      </c>
      <c r="E22" s="717"/>
      <c r="F22" s="717"/>
      <c r="G22" s="717"/>
      <c r="H22" s="709">
        <f>SUM(H23:H28)</f>
        <v>363533.69</v>
      </c>
      <c r="I22" s="717"/>
      <c r="J22" s="717"/>
      <c r="K22" s="717"/>
      <c r="L22" s="709">
        <v>0</v>
      </c>
      <c r="M22" s="717"/>
      <c r="N22" s="717"/>
      <c r="O22" s="717"/>
      <c r="P22" s="717"/>
      <c r="Q22" s="717"/>
      <c r="R22" s="717"/>
      <c r="S22" s="717"/>
      <c r="T22" s="709">
        <v>0</v>
      </c>
      <c r="U22" s="717"/>
      <c r="V22" s="717"/>
      <c r="W22" s="717"/>
      <c r="X22" s="717"/>
      <c r="Y22" s="717"/>
      <c r="Z22" s="717"/>
      <c r="AA22" s="717"/>
    </row>
    <row r="23" spans="1:27">
      <c r="A23" s="388">
        <v>3.1</v>
      </c>
      <c r="B23" s="405" t="s">
        <v>532</v>
      </c>
      <c r="C23" s="716"/>
      <c r="D23" s="709"/>
      <c r="E23" s="717"/>
      <c r="F23" s="717"/>
      <c r="G23" s="717"/>
      <c r="H23" s="709"/>
      <c r="I23" s="717"/>
      <c r="J23" s="717"/>
      <c r="K23" s="717"/>
      <c r="L23" s="709"/>
      <c r="M23" s="717"/>
      <c r="N23" s="717"/>
      <c r="O23" s="717"/>
      <c r="P23" s="717"/>
      <c r="Q23" s="717"/>
      <c r="R23" s="717"/>
      <c r="S23" s="717"/>
      <c r="T23" s="709"/>
      <c r="U23" s="717"/>
      <c r="V23" s="717"/>
      <c r="W23" s="717"/>
      <c r="X23" s="717"/>
      <c r="Y23" s="717"/>
      <c r="Z23" s="717"/>
      <c r="AA23" s="717"/>
    </row>
    <row r="24" spans="1:27">
      <c r="A24" s="388">
        <v>3.2</v>
      </c>
      <c r="B24" s="405" t="s">
        <v>533</v>
      </c>
      <c r="C24" s="716"/>
      <c r="D24" s="709"/>
      <c r="E24" s="717"/>
      <c r="F24" s="717"/>
      <c r="G24" s="717"/>
      <c r="H24" s="709"/>
      <c r="I24" s="717"/>
      <c r="J24" s="717"/>
      <c r="K24" s="717"/>
      <c r="L24" s="709"/>
      <c r="M24" s="717"/>
      <c r="N24" s="717"/>
      <c r="O24" s="717"/>
      <c r="P24" s="717"/>
      <c r="Q24" s="717"/>
      <c r="R24" s="717"/>
      <c r="S24" s="717"/>
      <c r="T24" s="709"/>
      <c r="U24" s="717"/>
      <c r="V24" s="717"/>
      <c r="W24" s="717"/>
      <c r="X24" s="717"/>
      <c r="Y24" s="717"/>
      <c r="Z24" s="717"/>
      <c r="AA24" s="717"/>
    </row>
    <row r="25" spans="1:27">
      <c r="A25" s="388">
        <v>3.3</v>
      </c>
      <c r="B25" s="405" t="s">
        <v>534</v>
      </c>
      <c r="C25" s="716">
        <v>1400000</v>
      </c>
      <c r="D25" s="708">
        <v>1400000</v>
      </c>
      <c r="E25" s="717"/>
      <c r="F25" s="717"/>
      <c r="G25" s="717"/>
      <c r="H25" s="709">
        <v>0</v>
      </c>
      <c r="I25" s="717"/>
      <c r="J25" s="717"/>
      <c r="K25" s="717"/>
      <c r="L25" s="709">
        <v>0</v>
      </c>
      <c r="M25" s="717"/>
      <c r="N25" s="717"/>
      <c r="O25" s="717"/>
      <c r="P25" s="717"/>
      <c r="Q25" s="717"/>
      <c r="R25" s="717"/>
      <c r="S25" s="717"/>
      <c r="T25" s="709">
        <v>0</v>
      </c>
      <c r="U25" s="717"/>
      <c r="V25" s="717"/>
      <c r="W25" s="717"/>
      <c r="X25" s="717"/>
      <c r="Y25" s="717"/>
      <c r="Z25" s="717"/>
      <c r="AA25" s="717"/>
    </row>
    <row r="26" spans="1:27">
      <c r="A26" s="388">
        <v>3.4</v>
      </c>
      <c r="B26" s="405" t="s">
        <v>535</v>
      </c>
      <c r="C26" s="716">
        <v>4750555.4530999996</v>
      </c>
      <c r="D26" s="708">
        <v>4750555.4530999996</v>
      </c>
      <c r="E26" s="717"/>
      <c r="F26" s="717"/>
      <c r="G26" s="717"/>
      <c r="H26" s="709">
        <v>0</v>
      </c>
      <c r="I26" s="717"/>
      <c r="J26" s="717"/>
      <c r="K26" s="717"/>
      <c r="L26" s="709">
        <v>0</v>
      </c>
      <c r="M26" s="717"/>
      <c r="N26" s="717"/>
      <c r="O26" s="717"/>
      <c r="P26" s="717"/>
      <c r="Q26" s="717"/>
      <c r="R26" s="717"/>
      <c r="S26" s="717"/>
      <c r="T26" s="709">
        <v>0</v>
      </c>
      <c r="U26" s="717"/>
      <c r="V26" s="717"/>
      <c r="W26" s="717"/>
      <c r="X26" s="717"/>
      <c r="Y26" s="717"/>
      <c r="Z26" s="717"/>
      <c r="AA26" s="717"/>
    </row>
    <row r="27" spans="1:27">
      <c r="A27" s="388">
        <v>3.5</v>
      </c>
      <c r="B27" s="405" t="s">
        <v>536</v>
      </c>
      <c r="C27" s="716">
        <v>70718496.925099999</v>
      </c>
      <c r="D27" s="708">
        <v>70354963.235100001</v>
      </c>
      <c r="E27" s="717"/>
      <c r="F27" s="717"/>
      <c r="G27" s="717"/>
      <c r="H27" s="708">
        <v>363533.69</v>
      </c>
      <c r="I27" s="717"/>
      <c r="J27" s="717"/>
      <c r="K27" s="717"/>
      <c r="L27" s="709">
        <v>0</v>
      </c>
      <c r="M27" s="717"/>
      <c r="N27" s="717"/>
      <c r="O27" s="717"/>
      <c r="P27" s="717"/>
      <c r="Q27" s="717"/>
      <c r="R27" s="717"/>
      <c r="S27" s="717"/>
      <c r="T27" s="709">
        <v>0</v>
      </c>
      <c r="U27" s="717"/>
      <c r="V27" s="717"/>
      <c r="W27" s="717"/>
      <c r="X27" s="717"/>
      <c r="Y27" s="717"/>
      <c r="Z27" s="717"/>
      <c r="AA27" s="717"/>
    </row>
    <row r="28" spans="1:27">
      <c r="A28" s="388">
        <v>3.6</v>
      </c>
      <c r="B28" s="405" t="s">
        <v>537</v>
      </c>
      <c r="C28" s="716">
        <v>1498883.55</v>
      </c>
      <c r="D28" s="708">
        <v>1498883.55</v>
      </c>
      <c r="E28" s="717"/>
      <c r="F28" s="717"/>
      <c r="G28" s="717"/>
      <c r="H28" s="709">
        <v>0</v>
      </c>
      <c r="I28" s="717"/>
      <c r="J28" s="717"/>
      <c r="K28" s="717"/>
      <c r="L28" s="709">
        <v>0</v>
      </c>
      <c r="M28" s="717"/>
      <c r="N28" s="717"/>
      <c r="O28" s="717"/>
      <c r="P28" s="717"/>
      <c r="Q28" s="717"/>
      <c r="R28" s="717"/>
      <c r="S28" s="717"/>
      <c r="T28" s="709">
        <v>0</v>
      </c>
      <c r="U28" s="717"/>
      <c r="V28" s="717"/>
      <c r="W28" s="717"/>
      <c r="X28" s="717"/>
      <c r="Y28" s="717"/>
      <c r="Z28" s="717"/>
      <c r="AA28" s="717"/>
    </row>
    <row r="36" spans="4:4">
      <c r="D36" s="734">
        <f>C19+C20</f>
        <v>69348029.34359999</v>
      </c>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Footer>&amp;C_x000D_&amp;1#&amp;"Calibri"&amp;10&amp;K000000 C1 - FOR INTERNAL USE ONLY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22"/>
  <sheetViews>
    <sheetView showGridLines="0" zoomScale="80" zoomScaleNormal="80" workbookViewId="0">
      <selection activeCell="C3" sqref="C3:C4"/>
    </sheetView>
  </sheetViews>
  <sheetFormatPr defaultColWidth="9.21875" defaultRowHeight="12"/>
  <cols>
    <col min="1" max="1" width="11.77734375" style="398" bestFit="1" customWidth="1"/>
    <col min="2" max="2" width="90.21875" style="398" bestFit="1" customWidth="1"/>
    <col min="3" max="3" width="20.21875" style="398" customWidth="1"/>
    <col min="4" max="4" width="22.21875" style="398" customWidth="1"/>
    <col min="5" max="7" width="17.109375" style="398" customWidth="1"/>
    <col min="8" max="8" width="22.21875" style="398" customWidth="1"/>
    <col min="9" max="10" width="17.109375" style="398" customWidth="1"/>
    <col min="11" max="27" width="22.21875" style="398" customWidth="1"/>
    <col min="28" max="16384" width="9.21875" style="398"/>
  </cols>
  <sheetData>
    <row r="1" spans="1:27" ht="13.8">
      <c r="A1" s="325" t="s">
        <v>97</v>
      </c>
      <c r="B1" s="241" t="str">
        <f>Info!C2</f>
        <v>სს " პაშა ბანკი საქართველო"</v>
      </c>
    </row>
    <row r="2" spans="1:27">
      <c r="A2" s="325" t="s">
        <v>98</v>
      </c>
      <c r="B2" s="328">
        <f>'1. key ratios'!B2</f>
        <v>45747</v>
      </c>
    </row>
    <row r="3" spans="1:27">
      <c r="A3" s="327" t="s">
        <v>540</v>
      </c>
      <c r="C3" s="735"/>
    </row>
    <row r="4" spans="1:27" ht="12.6" thickBot="1">
      <c r="A4" s="327"/>
      <c r="B4" s="400"/>
      <c r="C4" s="734"/>
    </row>
    <row r="5" spans="1:27" ht="13.5" customHeight="1">
      <c r="A5" s="873" t="s">
        <v>869</v>
      </c>
      <c r="B5" s="874"/>
      <c r="C5" s="870" t="s">
        <v>541</v>
      </c>
      <c r="D5" s="871"/>
      <c r="E5" s="871"/>
      <c r="F5" s="871"/>
      <c r="G5" s="871"/>
      <c r="H5" s="871"/>
      <c r="I5" s="871"/>
      <c r="J5" s="871"/>
      <c r="K5" s="871"/>
      <c r="L5" s="871"/>
      <c r="M5" s="871"/>
      <c r="N5" s="871"/>
      <c r="O5" s="871"/>
      <c r="P5" s="871"/>
      <c r="Q5" s="871"/>
      <c r="R5" s="871"/>
      <c r="S5" s="871"/>
      <c r="T5" s="871"/>
      <c r="U5" s="871"/>
      <c r="V5" s="871"/>
      <c r="W5" s="871"/>
      <c r="X5" s="871"/>
      <c r="Y5" s="871"/>
      <c r="Z5" s="871"/>
      <c r="AA5" s="872"/>
    </row>
    <row r="6" spans="1:27" ht="12" customHeight="1">
      <c r="A6" s="875"/>
      <c r="B6" s="876"/>
      <c r="C6" s="879" t="s">
        <v>66</v>
      </c>
      <c r="D6" s="844" t="s">
        <v>860</v>
      </c>
      <c r="E6" s="844"/>
      <c r="F6" s="844"/>
      <c r="G6" s="844"/>
      <c r="H6" s="865" t="s">
        <v>859</v>
      </c>
      <c r="I6" s="866"/>
      <c r="J6" s="866"/>
      <c r="K6" s="866"/>
      <c r="L6" s="421"/>
      <c r="M6" s="848" t="s">
        <v>858</v>
      </c>
      <c r="N6" s="848"/>
      <c r="O6" s="848"/>
      <c r="P6" s="848"/>
      <c r="Q6" s="848"/>
      <c r="R6" s="848"/>
      <c r="S6" s="846"/>
      <c r="T6" s="421"/>
      <c r="U6" s="848" t="s">
        <v>857</v>
      </c>
      <c r="V6" s="848"/>
      <c r="W6" s="848"/>
      <c r="X6" s="848"/>
      <c r="Y6" s="848"/>
      <c r="Z6" s="848"/>
      <c r="AA6" s="869"/>
    </row>
    <row r="7" spans="1:27" ht="36">
      <c r="A7" s="877"/>
      <c r="B7" s="878"/>
      <c r="C7" s="880"/>
      <c r="D7" s="419"/>
      <c r="E7" s="395" t="s">
        <v>530</v>
      </c>
      <c r="F7" s="395" t="s">
        <v>855</v>
      </c>
      <c r="G7" s="395" t="s">
        <v>856</v>
      </c>
      <c r="H7" s="399"/>
      <c r="I7" s="395" t="s">
        <v>530</v>
      </c>
      <c r="J7" s="395" t="s">
        <v>855</v>
      </c>
      <c r="K7" s="395" t="s">
        <v>856</v>
      </c>
      <c r="L7" s="416"/>
      <c r="M7" s="395" t="s">
        <v>530</v>
      </c>
      <c r="N7" s="395" t="s">
        <v>868</v>
      </c>
      <c r="O7" s="395" t="s">
        <v>867</v>
      </c>
      <c r="P7" s="395" t="s">
        <v>866</v>
      </c>
      <c r="Q7" s="395" t="s">
        <v>865</v>
      </c>
      <c r="R7" s="395" t="s">
        <v>864</v>
      </c>
      <c r="S7" s="395" t="s">
        <v>850</v>
      </c>
      <c r="T7" s="416"/>
      <c r="U7" s="395" t="s">
        <v>530</v>
      </c>
      <c r="V7" s="395" t="s">
        <v>868</v>
      </c>
      <c r="W7" s="395" t="s">
        <v>867</v>
      </c>
      <c r="X7" s="395" t="s">
        <v>866</v>
      </c>
      <c r="Y7" s="395" t="s">
        <v>865</v>
      </c>
      <c r="Z7" s="395" t="s">
        <v>864</v>
      </c>
      <c r="AA7" s="395" t="s">
        <v>850</v>
      </c>
    </row>
    <row r="8" spans="1:27">
      <c r="A8" s="442">
        <v>1</v>
      </c>
      <c r="B8" s="441" t="s">
        <v>531</v>
      </c>
      <c r="C8" s="719">
        <v>362138797.52969998</v>
      </c>
      <c r="D8" s="710">
        <v>324571832.34030002</v>
      </c>
      <c r="E8" s="710">
        <v>5530083.9192000004</v>
      </c>
      <c r="F8" s="710">
        <v>13128480.380000001</v>
      </c>
      <c r="G8" s="710">
        <v>1243.1636000000001</v>
      </c>
      <c r="H8" s="710">
        <v>6944604.1271000002</v>
      </c>
      <c r="I8" s="710">
        <v>0</v>
      </c>
      <c r="J8" s="710">
        <v>2496364.92</v>
      </c>
      <c r="K8" s="710">
        <v>0</v>
      </c>
      <c r="L8" s="710">
        <v>28161270.929200001</v>
      </c>
      <c r="M8" s="710">
        <v>0</v>
      </c>
      <c r="N8" s="710">
        <v>0</v>
      </c>
      <c r="O8" s="710">
        <v>396603.88650000002</v>
      </c>
      <c r="P8" s="710">
        <v>4315730.2229000004</v>
      </c>
      <c r="Q8" s="710">
        <v>2660349.4005</v>
      </c>
      <c r="R8" s="710">
        <v>11666244.107899999</v>
      </c>
      <c r="S8" s="710">
        <v>0</v>
      </c>
      <c r="T8" s="710">
        <v>2461090.1331000002</v>
      </c>
      <c r="U8" s="710">
        <v>0</v>
      </c>
      <c r="V8" s="710">
        <v>0</v>
      </c>
      <c r="W8" s="710">
        <v>0</v>
      </c>
      <c r="X8" s="710">
        <v>0</v>
      </c>
      <c r="Y8" s="710">
        <v>2461090.1331000002</v>
      </c>
      <c r="Z8" s="710">
        <v>0</v>
      </c>
      <c r="AA8" s="720">
        <v>0</v>
      </c>
    </row>
    <row r="9" spans="1:27">
      <c r="A9" s="434">
        <v>1.1000000000000001</v>
      </c>
      <c r="B9" s="440" t="s">
        <v>542</v>
      </c>
      <c r="C9" s="721">
        <v>358663128.44300002</v>
      </c>
      <c r="D9" s="710">
        <v>321185797.56410003</v>
      </c>
      <c r="E9" s="710">
        <v>5528989.6792000001</v>
      </c>
      <c r="F9" s="710">
        <v>13128480.380000001</v>
      </c>
      <c r="G9" s="710">
        <v>0</v>
      </c>
      <c r="H9" s="710">
        <v>6918971.7171</v>
      </c>
      <c r="I9" s="710">
        <v>0</v>
      </c>
      <c r="J9" s="710">
        <v>2496364.92</v>
      </c>
      <c r="K9" s="710">
        <v>0</v>
      </c>
      <c r="L9" s="710">
        <v>28097269.028700002</v>
      </c>
      <c r="M9" s="710">
        <v>0</v>
      </c>
      <c r="N9" s="710">
        <v>0</v>
      </c>
      <c r="O9" s="710">
        <v>382866.12760000001</v>
      </c>
      <c r="P9" s="710">
        <v>4306655.6513</v>
      </c>
      <c r="Q9" s="710">
        <v>2660349.4005</v>
      </c>
      <c r="R9" s="710">
        <v>11625054.537900001</v>
      </c>
      <c r="S9" s="710">
        <v>0</v>
      </c>
      <c r="T9" s="710">
        <v>2461090.1331000002</v>
      </c>
      <c r="U9" s="710">
        <v>0</v>
      </c>
      <c r="V9" s="710">
        <v>0</v>
      </c>
      <c r="W9" s="710">
        <v>0</v>
      </c>
      <c r="X9" s="710">
        <v>0</v>
      </c>
      <c r="Y9" s="710">
        <v>2461090.1331000002</v>
      </c>
      <c r="Z9" s="710">
        <v>0</v>
      </c>
      <c r="AA9" s="720">
        <v>0</v>
      </c>
    </row>
    <row r="10" spans="1:27">
      <c r="A10" s="438" t="s">
        <v>146</v>
      </c>
      <c r="B10" s="439" t="s">
        <v>543</v>
      </c>
      <c r="C10" s="722">
        <v>229642307.57280001</v>
      </c>
      <c r="D10" s="710">
        <v>192331014.69389999</v>
      </c>
      <c r="E10" s="710">
        <v>5528989.6792000001</v>
      </c>
      <c r="F10" s="710">
        <v>13128480.380000001</v>
      </c>
      <c r="G10" s="710">
        <v>0</v>
      </c>
      <c r="H10" s="710">
        <v>6918971.7171</v>
      </c>
      <c r="I10" s="710">
        <v>0</v>
      </c>
      <c r="J10" s="710">
        <v>2496364.92</v>
      </c>
      <c r="K10" s="710">
        <v>0</v>
      </c>
      <c r="L10" s="710">
        <v>27931231.028700002</v>
      </c>
      <c r="M10" s="710">
        <v>0</v>
      </c>
      <c r="N10" s="710">
        <v>0</v>
      </c>
      <c r="O10" s="710">
        <v>382866.12760000001</v>
      </c>
      <c r="P10" s="710">
        <v>4306655.6513</v>
      </c>
      <c r="Q10" s="710">
        <v>2660349.4005</v>
      </c>
      <c r="R10" s="710">
        <v>11459016.537900001</v>
      </c>
      <c r="S10" s="710">
        <v>0</v>
      </c>
      <c r="T10" s="710">
        <v>2461090.1331000002</v>
      </c>
      <c r="U10" s="710">
        <v>0</v>
      </c>
      <c r="V10" s="710">
        <v>0</v>
      </c>
      <c r="W10" s="710">
        <v>0</v>
      </c>
      <c r="X10" s="710">
        <v>0</v>
      </c>
      <c r="Y10" s="710">
        <v>2461090.1331000002</v>
      </c>
      <c r="Z10" s="710">
        <v>0</v>
      </c>
      <c r="AA10" s="720">
        <v>0</v>
      </c>
    </row>
    <row r="11" spans="1:27">
      <c r="A11" s="436" t="s">
        <v>544</v>
      </c>
      <c r="B11" s="437" t="s">
        <v>545</v>
      </c>
      <c r="C11" s="723">
        <v>97286908.241300002</v>
      </c>
      <c r="D11" s="710">
        <v>83264476.322899997</v>
      </c>
      <c r="E11" s="710">
        <v>5528989.6792000001</v>
      </c>
      <c r="F11" s="710">
        <v>0</v>
      </c>
      <c r="G11" s="710">
        <v>0</v>
      </c>
      <c r="H11" s="710">
        <v>5811142.5761000002</v>
      </c>
      <c r="I11" s="710">
        <v>0</v>
      </c>
      <c r="J11" s="710">
        <v>2496364.92</v>
      </c>
      <c r="K11" s="710">
        <v>0</v>
      </c>
      <c r="L11" s="710">
        <v>8211289.3422999997</v>
      </c>
      <c r="M11" s="710">
        <v>0</v>
      </c>
      <c r="N11" s="710">
        <v>0</v>
      </c>
      <c r="O11" s="710">
        <v>382866.12760000001</v>
      </c>
      <c r="P11" s="710">
        <v>2293772.7710000002</v>
      </c>
      <c r="Q11" s="710">
        <v>2596008.9082999998</v>
      </c>
      <c r="R11" s="710">
        <v>2250181.0554</v>
      </c>
      <c r="S11" s="710">
        <v>0</v>
      </c>
      <c r="T11" s="710">
        <v>0</v>
      </c>
      <c r="U11" s="710">
        <v>0</v>
      </c>
      <c r="V11" s="710">
        <v>0</v>
      </c>
      <c r="W11" s="710">
        <v>0</v>
      </c>
      <c r="X11" s="710">
        <v>0</v>
      </c>
      <c r="Y11" s="710">
        <v>0</v>
      </c>
      <c r="Z11" s="710">
        <v>0</v>
      </c>
      <c r="AA11" s="720">
        <v>0</v>
      </c>
    </row>
    <row r="12" spans="1:27">
      <c r="A12" s="436" t="s">
        <v>546</v>
      </c>
      <c r="B12" s="437" t="s">
        <v>547</v>
      </c>
      <c r="C12" s="723">
        <v>50404273.866499998</v>
      </c>
      <c r="D12" s="710">
        <v>45232745.9155</v>
      </c>
      <c r="E12" s="710">
        <v>0</v>
      </c>
      <c r="F12" s="710">
        <v>0</v>
      </c>
      <c r="G12" s="710">
        <v>0</v>
      </c>
      <c r="H12" s="710">
        <v>0</v>
      </c>
      <c r="I12" s="710">
        <v>0</v>
      </c>
      <c r="J12" s="710">
        <v>0</v>
      </c>
      <c r="K12" s="710">
        <v>0</v>
      </c>
      <c r="L12" s="710">
        <v>5171527.9510000004</v>
      </c>
      <c r="M12" s="710">
        <v>0</v>
      </c>
      <c r="N12" s="710">
        <v>0</v>
      </c>
      <c r="O12" s="710">
        <v>0</v>
      </c>
      <c r="P12" s="710">
        <v>0</v>
      </c>
      <c r="Q12" s="710">
        <v>0</v>
      </c>
      <c r="R12" s="710">
        <v>5171527.9510000004</v>
      </c>
      <c r="S12" s="710">
        <v>0</v>
      </c>
      <c r="T12" s="710">
        <v>0</v>
      </c>
      <c r="U12" s="710">
        <v>0</v>
      </c>
      <c r="V12" s="710">
        <v>0</v>
      </c>
      <c r="W12" s="710">
        <v>0</v>
      </c>
      <c r="X12" s="710">
        <v>0</v>
      </c>
      <c r="Y12" s="710">
        <v>0</v>
      </c>
      <c r="Z12" s="710">
        <v>0</v>
      </c>
      <c r="AA12" s="720">
        <v>0</v>
      </c>
    </row>
    <row r="13" spans="1:27">
      <c r="A13" s="436" t="s">
        <v>548</v>
      </c>
      <c r="B13" s="437" t="s">
        <v>549</v>
      </c>
      <c r="C13" s="723">
        <v>12479382.7345</v>
      </c>
      <c r="D13" s="710">
        <v>0</v>
      </c>
      <c r="E13" s="710">
        <v>0</v>
      </c>
      <c r="F13" s="710">
        <v>0</v>
      </c>
      <c r="G13" s="710">
        <v>0</v>
      </c>
      <c r="H13" s="710">
        <v>0</v>
      </c>
      <c r="I13" s="710">
        <v>0</v>
      </c>
      <c r="J13" s="710">
        <v>0</v>
      </c>
      <c r="K13" s="710">
        <v>0</v>
      </c>
      <c r="L13" s="710">
        <v>12479382.7345</v>
      </c>
      <c r="M13" s="710">
        <v>0</v>
      </c>
      <c r="N13" s="710">
        <v>0</v>
      </c>
      <c r="O13" s="710">
        <v>0</v>
      </c>
      <c r="P13" s="710">
        <v>0</v>
      </c>
      <c r="Q13" s="710">
        <v>0</v>
      </c>
      <c r="R13" s="710">
        <v>4042802.1768</v>
      </c>
      <c r="S13" s="710">
        <v>0</v>
      </c>
      <c r="T13" s="710">
        <v>0</v>
      </c>
      <c r="U13" s="710">
        <v>0</v>
      </c>
      <c r="V13" s="710">
        <v>0</v>
      </c>
      <c r="W13" s="710">
        <v>0</v>
      </c>
      <c r="X13" s="710">
        <v>0</v>
      </c>
      <c r="Y13" s="710">
        <v>0</v>
      </c>
      <c r="Z13" s="710">
        <v>0</v>
      </c>
      <c r="AA13" s="720">
        <v>0</v>
      </c>
    </row>
    <row r="14" spans="1:27">
      <c r="A14" s="436" t="s">
        <v>550</v>
      </c>
      <c r="B14" s="437" t="s">
        <v>551</v>
      </c>
      <c r="C14" s="723">
        <v>69749347.355499998</v>
      </c>
      <c r="D14" s="710">
        <v>64100189.209700003</v>
      </c>
      <c r="E14" s="710">
        <v>0</v>
      </c>
      <c r="F14" s="710">
        <v>13128480.380000001</v>
      </c>
      <c r="G14" s="710">
        <v>0</v>
      </c>
      <c r="H14" s="710">
        <v>1110844.6402</v>
      </c>
      <c r="I14" s="710">
        <v>0</v>
      </c>
      <c r="J14" s="710">
        <v>0</v>
      </c>
      <c r="K14" s="710">
        <v>0</v>
      </c>
      <c r="L14" s="710">
        <v>2077223.3725000001</v>
      </c>
      <c r="M14" s="710">
        <v>0</v>
      </c>
      <c r="N14" s="710">
        <v>0</v>
      </c>
      <c r="O14" s="710">
        <v>0</v>
      </c>
      <c r="P14" s="710">
        <v>2012882.8803000001</v>
      </c>
      <c r="Q14" s="710">
        <v>64340.492200000001</v>
      </c>
      <c r="R14" s="710">
        <v>0</v>
      </c>
      <c r="S14" s="710">
        <v>0</v>
      </c>
      <c r="T14" s="710">
        <v>2461090.1331000002</v>
      </c>
      <c r="U14" s="710">
        <v>0</v>
      </c>
      <c r="V14" s="710">
        <v>0</v>
      </c>
      <c r="W14" s="710">
        <v>0</v>
      </c>
      <c r="X14" s="710">
        <v>0</v>
      </c>
      <c r="Y14" s="710">
        <v>2461090.1331000002</v>
      </c>
      <c r="Z14" s="710">
        <v>0</v>
      </c>
      <c r="AA14" s="720">
        <v>0</v>
      </c>
    </row>
    <row r="15" spans="1:27">
      <c r="A15" s="435">
        <v>1.2</v>
      </c>
      <c r="B15" s="433" t="s">
        <v>863</v>
      </c>
      <c r="C15" s="721">
        <v>11068686.609200001</v>
      </c>
      <c r="D15" s="710">
        <v>1669809.4461000001</v>
      </c>
      <c r="E15" s="710">
        <v>13071.7788</v>
      </c>
      <c r="F15" s="710">
        <v>60008.984700000001</v>
      </c>
      <c r="G15" s="710">
        <v>0</v>
      </c>
      <c r="H15" s="710">
        <v>266469.67739999999</v>
      </c>
      <c r="I15" s="710">
        <v>0</v>
      </c>
      <c r="J15" s="710">
        <v>7532.6767</v>
      </c>
      <c r="K15" s="710">
        <v>0</v>
      </c>
      <c r="L15" s="710">
        <v>7918058.5508000003</v>
      </c>
      <c r="M15" s="710">
        <v>0</v>
      </c>
      <c r="N15" s="710">
        <v>0</v>
      </c>
      <c r="O15" s="710">
        <v>36885.955999999998</v>
      </c>
      <c r="P15" s="710">
        <v>2219346.8176000002</v>
      </c>
      <c r="Q15" s="710">
        <v>280654.6274</v>
      </c>
      <c r="R15" s="710">
        <v>1759176.2381</v>
      </c>
      <c r="S15" s="710">
        <v>0</v>
      </c>
      <c r="T15" s="710">
        <v>1214348.9349</v>
      </c>
      <c r="U15" s="710">
        <v>0</v>
      </c>
      <c r="V15" s="710">
        <v>0</v>
      </c>
      <c r="W15" s="710">
        <v>0</v>
      </c>
      <c r="X15" s="710">
        <v>0</v>
      </c>
      <c r="Y15" s="710">
        <v>1214348.9349</v>
      </c>
      <c r="Z15" s="710">
        <v>0</v>
      </c>
      <c r="AA15" s="720">
        <v>0</v>
      </c>
    </row>
    <row r="16" spans="1:27">
      <c r="A16" s="434">
        <v>1.3</v>
      </c>
      <c r="B16" s="433" t="s">
        <v>552</v>
      </c>
      <c r="C16" s="724"/>
      <c r="D16" s="725"/>
      <c r="E16" s="725"/>
      <c r="F16" s="725"/>
      <c r="G16" s="725"/>
      <c r="H16" s="725"/>
      <c r="I16" s="725"/>
      <c r="J16" s="725"/>
      <c r="K16" s="725"/>
      <c r="L16" s="725"/>
      <c r="M16" s="725"/>
      <c r="N16" s="725"/>
      <c r="O16" s="725"/>
      <c r="P16" s="725"/>
      <c r="Q16" s="725"/>
      <c r="R16" s="725"/>
      <c r="S16" s="725"/>
      <c r="T16" s="725"/>
      <c r="U16" s="725"/>
      <c r="V16" s="725"/>
      <c r="W16" s="725"/>
      <c r="X16" s="725"/>
      <c r="Y16" s="725"/>
      <c r="Z16" s="725"/>
      <c r="AA16" s="726"/>
    </row>
    <row r="17" spans="1:27" ht="24">
      <c r="A17" s="430" t="s">
        <v>553</v>
      </c>
      <c r="B17" s="432" t="s">
        <v>554</v>
      </c>
      <c r="C17" s="727">
        <v>217191794.69010001</v>
      </c>
      <c r="D17" s="710">
        <v>182278779.3813</v>
      </c>
      <c r="E17" s="710">
        <v>5528989.6792000001</v>
      </c>
      <c r="F17" s="710">
        <v>12058703.294199999</v>
      </c>
      <c r="G17" s="710">
        <v>0</v>
      </c>
      <c r="H17" s="710">
        <v>6360296.7418</v>
      </c>
      <c r="I17" s="710">
        <v>0</v>
      </c>
      <c r="J17" s="710">
        <v>2446233.8968000002</v>
      </c>
      <c r="K17" s="710">
        <v>0</v>
      </c>
      <c r="L17" s="710">
        <v>23782625.794799998</v>
      </c>
      <c r="M17" s="710">
        <v>0</v>
      </c>
      <c r="N17" s="710">
        <v>0</v>
      </c>
      <c r="O17" s="710">
        <v>368859.56040000002</v>
      </c>
      <c r="P17" s="710">
        <v>2287407.0230999999</v>
      </c>
      <c r="Q17" s="710">
        <v>2450084.7614000002</v>
      </c>
      <c r="R17" s="710">
        <v>9557963.7892000005</v>
      </c>
      <c r="S17" s="710">
        <v>0</v>
      </c>
      <c r="T17" s="710">
        <v>2321465.7000000002</v>
      </c>
      <c r="U17" s="710">
        <v>0</v>
      </c>
      <c r="V17" s="710">
        <v>0</v>
      </c>
      <c r="W17" s="710">
        <v>0</v>
      </c>
      <c r="X17" s="710">
        <v>0</v>
      </c>
      <c r="Y17" s="710">
        <v>2321465.7000000002</v>
      </c>
      <c r="Z17" s="710">
        <v>0</v>
      </c>
      <c r="AA17" s="720">
        <v>0</v>
      </c>
    </row>
    <row r="18" spans="1:27" ht="24">
      <c r="A18" s="428" t="s">
        <v>555</v>
      </c>
      <c r="B18" s="429" t="s">
        <v>556</v>
      </c>
      <c r="C18" s="728">
        <v>202754893.9542</v>
      </c>
      <c r="D18" s="710">
        <v>167841878.64539999</v>
      </c>
      <c r="E18" s="710">
        <v>5528989.6792000001</v>
      </c>
      <c r="F18" s="710">
        <v>12058703.294199999</v>
      </c>
      <c r="G18" s="710">
        <v>0</v>
      </c>
      <c r="H18" s="710">
        <v>6360296.7418</v>
      </c>
      <c r="I18" s="710">
        <v>0</v>
      </c>
      <c r="J18" s="710">
        <v>2446233.8968000002</v>
      </c>
      <c r="K18" s="710">
        <v>0</v>
      </c>
      <c r="L18" s="710">
        <v>23782625.794799998</v>
      </c>
      <c r="M18" s="710">
        <v>0</v>
      </c>
      <c r="N18" s="710">
        <v>0</v>
      </c>
      <c r="O18" s="710">
        <v>368859.56040000002</v>
      </c>
      <c r="P18" s="710">
        <v>2287407.0230999999</v>
      </c>
      <c r="Q18" s="710">
        <v>2450084.7614000002</v>
      </c>
      <c r="R18" s="710">
        <v>9557963.7892000005</v>
      </c>
      <c r="S18" s="710">
        <v>0</v>
      </c>
      <c r="T18" s="710">
        <v>2321465.7000000002</v>
      </c>
      <c r="U18" s="710">
        <v>0</v>
      </c>
      <c r="V18" s="710">
        <v>0</v>
      </c>
      <c r="W18" s="710">
        <v>0</v>
      </c>
      <c r="X18" s="710">
        <v>0</v>
      </c>
      <c r="Y18" s="710">
        <v>2321465.7000000002</v>
      </c>
      <c r="Z18" s="710">
        <v>0</v>
      </c>
      <c r="AA18" s="720">
        <v>0</v>
      </c>
    </row>
    <row r="19" spans="1:27">
      <c r="A19" s="430" t="s">
        <v>557</v>
      </c>
      <c r="B19" s="431" t="s">
        <v>558</v>
      </c>
      <c r="C19" s="729">
        <v>284882224.76380002</v>
      </c>
      <c r="D19" s="710">
        <v>257800886.30419999</v>
      </c>
      <c r="E19" s="710">
        <v>2898796.0153000001</v>
      </c>
      <c r="F19" s="710">
        <v>0</v>
      </c>
      <c r="G19" s="710">
        <v>0</v>
      </c>
      <c r="H19" s="710">
        <v>7420477.1801000005</v>
      </c>
      <c r="I19" s="710">
        <v>0</v>
      </c>
      <c r="J19" s="710">
        <v>2035808.328</v>
      </c>
      <c r="K19" s="710">
        <v>0</v>
      </c>
      <c r="L19" s="710">
        <v>19660861.2795</v>
      </c>
      <c r="M19" s="710">
        <v>0</v>
      </c>
      <c r="N19" s="710">
        <v>0</v>
      </c>
      <c r="O19" s="710">
        <v>578064.24269999994</v>
      </c>
      <c r="P19" s="710">
        <v>3796562.7571</v>
      </c>
      <c r="Q19" s="710">
        <v>7437059.0754000004</v>
      </c>
      <c r="R19" s="710">
        <v>4546490.1158999996</v>
      </c>
      <c r="S19" s="710">
        <v>0</v>
      </c>
      <c r="T19" s="710">
        <v>0</v>
      </c>
      <c r="U19" s="710">
        <v>0</v>
      </c>
      <c r="V19" s="710">
        <v>0</v>
      </c>
      <c r="W19" s="710">
        <v>0</v>
      </c>
      <c r="X19" s="710">
        <v>0</v>
      </c>
      <c r="Y19" s="710">
        <v>0</v>
      </c>
      <c r="Z19" s="710">
        <v>0</v>
      </c>
      <c r="AA19" s="720">
        <v>0</v>
      </c>
    </row>
    <row r="20" spans="1:27">
      <c r="A20" s="428" t="s">
        <v>559</v>
      </c>
      <c r="B20" s="429" t="s">
        <v>560</v>
      </c>
      <c r="C20" s="728">
        <v>263368929.29769999</v>
      </c>
      <c r="D20" s="710">
        <v>237057955.2035</v>
      </c>
      <c r="E20" s="710">
        <v>2898796.0153000001</v>
      </c>
      <c r="F20" s="710">
        <v>0</v>
      </c>
      <c r="G20" s="710">
        <v>0</v>
      </c>
      <c r="H20" s="710">
        <v>7420477.1801000005</v>
      </c>
      <c r="I20" s="710">
        <v>0</v>
      </c>
      <c r="J20" s="710">
        <v>2035808.328</v>
      </c>
      <c r="K20" s="710">
        <v>0</v>
      </c>
      <c r="L20" s="710">
        <v>18890496.914099999</v>
      </c>
      <c r="M20" s="710">
        <v>0</v>
      </c>
      <c r="N20" s="710">
        <v>0</v>
      </c>
      <c r="O20" s="710">
        <v>496429.43190000003</v>
      </c>
      <c r="P20" s="710">
        <v>3796562.7017000001</v>
      </c>
      <c r="Q20" s="710">
        <v>7218601.7706000004</v>
      </c>
      <c r="R20" s="710">
        <v>4546490.1158999996</v>
      </c>
      <c r="S20" s="710">
        <v>0</v>
      </c>
      <c r="T20" s="710">
        <v>0</v>
      </c>
      <c r="U20" s="710">
        <v>0</v>
      </c>
      <c r="V20" s="710">
        <v>0</v>
      </c>
      <c r="W20" s="710">
        <v>0</v>
      </c>
      <c r="X20" s="710">
        <v>0</v>
      </c>
      <c r="Y20" s="710">
        <v>0</v>
      </c>
      <c r="Z20" s="710">
        <v>0</v>
      </c>
      <c r="AA20" s="720">
        <v>0</v>
      </c>
    </row>
    <row r="21" spans="1:27">
      <c r="A21" s="427">
        <v>1.4</v>
      </c>
      <c r="B21" s="426" t="s">
        <v>649</v>
      </c>
      <c r="C21" s="730"/>
      <c r="D21" s="710"/>
      <c r="E21" s="710"/>
      <c r="F21" s="710"/>
      <c r="G21" s="710"/>
      <c r="H21" s="710"/>
      <c r="I21" s="710"/>
      <c r="J21" s="710"/>
      <c r="K21" s="710"/>
      <c r="L21" s="710"/>
      <c r="M21" s="710"/>
      <c r="N21" s="710"/>
      <c r="O21" s="710"/>
      <c r="P21" s="710"/>
      <c r="Q21" s="710"/>
      <c r="R21" s="710"/>
      <c r="S21" s="710"/>
      <c r="T21" s="710"/>
      <c r="U21" s="710"/>
      <c r="V21" s="710"/>
      <c r="W21" s="710"/>
      <c r="X21" s="710"/>
      <c r="Y21" s="710"/>
      <c r="Z21" s="710"/>
      <c r="AA21" s="720"/>
    </row>
    <row r="22" spans="1:27" ht="12.6" thickBot="1">
      <c r="A22" s="425">
        <v>1.5</v>
      </c>
      <c r="B22" s="424" t="s">
        <v>650</v>
      </c>
      <c r="C22" s="731">
        <v>539210.23140000005</v>
      </c>
      <c r="D22" s="732">
        <v>539210.23140000005</v>
      </c>
      <c r="E22" s="732">
        <v>0</v>
      </c>
      <c r="F22" s="732">
        <v>0</v>
      </c>
      <c r="G22" s="732">
        <v>0</v>
      </c>
      <c r="H22" s="732">
        <v>0</v>
      </c>
      <c r="I22" s="732">
        <v>0</v>
      </c>
      <c r="J22" s="732">
        <v>0</v>
      </c>
      <c r="K22" s="732">
        <v>0</v>
      </c>
      <c r="L22" s="732">
        <v>0</v>
      </c>
      <c r="M22" s="732">
        <v>0</v>
      </c>
      <c r="N22" s="732">
        <v>0</v>
      </c>
      <c r="O22" s="732">
        <v>0</v>
      </c>
      <c r="P22" s="732">
        <v>0</v>
      </c>
      <c r="Q22" s="732">
        <v>0</v>
      </c>
      <c r="R22" s="732">
        <v>0</v>
      </c>
      <c r="S22" s="732">
        <v>0</v>
      </c>
      <c r="T22" s="732">
        <v>0</v>
      </c>
      <c r="U22" s="732">
        <v>0</v>
      </c>
      <c r="V22" s="732">
        <v>0</v>
      </c>
      <c r="W22" s="732">
        <v>0</v>
      </c>
      <c r="X22" s="732">
        <v>0</v>
      </c>
      <c r="Y22" s="732">
        <v>0</v>
      </c>
      <c r="Z22" s="732">
        <v>0</v>
      </c>
      <c r="AA22" s="733">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headerFooter>
    <oddFooter>&amp;C_x000D_&amp;1#&amp;"Calibri"&amp;10&amp;K000000 C1 - FOR 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2"/>
  <sheetViews>
    <sheetView zoomScale="80" zoomScaleNormal="80" workbookViewId="0">
      <selection activeCell="B32" sqref="B32"/>
    </sheetView>
  </sheetViews>
  <sheetFormatPr defaultRowHeight="14.4"/>
  <cols>
    <col min="1" max="1" width="8.77734375" style="366"/>
    <col min="2" max="2" width="69.21875" style="352" customWidth="1"/>
    <col min="3" max="3" width="13.6640625" style="644" customWidth="1"/>
    <col min="4" max="4" width="14.44140625" style="644" customWidth="1"/>
    <col min="5" max="5" width="13.21875" style="644" customWidth="1"/>
    <col min="6" max="6" width="16.88671875" customWidth="1"/>
    <col min="7" max="7" width="19.88671875" customWidth="1"/>
    <col min="8" max="8" width="13.21875" customWidth="1"/>
  </cols>
  <sheetData>
    <row r="1" spans="1:8">
      <c r="A1" s="13" t="s">
        <v>97</v>
      </c>
      <c r="B1" s="241" t="str">
        <f>Info!C2</f>
        <v>სს " პაშა ბანკი საქართველო"</v>
      </c>
      <c r="C1" s="640"/>
      <c r="D1" s="641"/>
      <c r="E1" s="641"/>
      <c r="F1" s="1"/>
      <c r="G1" s="1"/>
    </row>
    <row r="2" spans="1:8">
      <c r="A2" s="13" t="s">
        <v>98</v>
      </c>
      <c r="B2" s="278">
        <f>'1. key ratios'!B2</f>
        <v>45747</v>
      </c>
      <c r="C2" s="640"/>
      <c r="D2" s="641"/>
      <c r="E2" s="641"/>
      <c r="F2" s="1"/>
      <c r="G2" s="1"/>
    </row>
    <row r="3" spans="1:8" ht="15" thickBot="1">
      <c r="A3" s="13"/>
      <c r="B3" s="12"/>
      <c r="C3" s="640"/>
      <c r="D3" s="641"/>
      <c r="E3" s="641"/>
      <c r="F3" s="1"/>
      <c r="G3" s="1"/>
    </row>
    <row r="4" spans="1:8" ht="21" customHeight="1">
      <c r="A4" s="775" t="s">
        <v>25</v>
      </c>
      <c r="B4" s="777" t="s">
        <v>697</v>
      </c>
      <c r="C4" s="779" t="s">
        <v>103</v>
      </c>
      <c r="D4" s="779"/>
      <c r="E4" s="779"/>
      <c r="F4" s="780" t="s">
        <v>104</v>
      </c>
      <c r="G4" s="780"/>
      <c r="H4" s="781"/>
    </row>
    <row r="5" spans="1:8" ht="21" customHeight="1">
      <c r="A5" s="776"/>
      <c r="B5" s="778"/>
      <c r="C5" s="642" t="s">
        <v>26</v>
      </c>
      <c r="D5" s="642" t="s">
        <v>77</v>
      </c>
      <c r="E5" s="642" t="s">
        <v>66</v>
      </c>
      <c r="F5" s="625" t="s">
        <v>26</v>
      </c>
      <c r="G5" s="625" t="s">
        <v>77</v>
      </c>
      <c r="H5" s="626" t="s">
        <v>66</v>
      </c>
    </row>
    <row r="6" spans="1:8" ht="26.55" customHeight="1">
      <c r="A6" s="776"/>
      <c r="B6" s="627" t="s">
        <v>84</v>
      </c>
      <c r="C6" s="772"/>
      <c r="D6" s="773"/>
      <c r="E6" s="773"/>
      <c r="F6" s="773"/>
      <c r="G6" s="773"/>
      <c r="H6" s="774"/>
    </row>
    <row r="7" spans="1:8" ht="22.95" customHeight="1">
      <c r="A7" s="628">
        <v>1</v>
      </c>
      <c r="B7" s="629" t="s">
        <v>811</v>
      </c>
      <c r="C7" s="622">
        <f>SUM(C8:C10)</f>
        <v>26890963.09</v>
      </c>
      <c r="D7" s="622">
        <f>SUM(D8:D10)</f>
        <v>171397753.3071</v>
      </c>
      <c r="E7" s="630">
        <f>C7+D7</f>
        <v>198288716.3971</v>
      </c>
      <c r="F7" s="620">
        <f>SUM(F8:F10)</f>
        <v>36278201</v>
      </c>
      <c r="G7" s="620">
        <f>SUM(G8:G10)</f>
        <v>100759260</v>
      </c>
      <c r="H7" s="631">
        <f>F7+G7</f>
        <v>137037461</v>
      </c>
    </row>
    <row r="8" spans="1:8">
      <c r="A8" s="628">
        <v>1.1000000000000001</v>
      </c>
      <c r="B8" s="614" t="s">
        <v>85</v>
      </c>
      <c r="C8" s="622">
        <v>444219.65</v>
      </c>
      <c r="D8" s="622">
        <v>2994383.4077000003</v>
      </c>
      <c r="E8" s="630">
        <f t="shared" ref="E8:E36" si="0">C8+D8</f>
        <v>3438603.0577000002</v>
      </c>
      <c r="F8" s="620">
        <v>383150</v>
      </c>
      <c r="G8" s="620">
        <v>1788782</v>
      </c>
      <c r="H8" s="631">
        <f t="shared" ref="H8:H36" si="1">F8+G8</f>
        <v>2171932</v>
      </c>
    </row>
    <row r="9" spans="1:8">
      <c r="A9" s="628">
        <v>1.2</v>
      </c>
      <c r="B9" s="614" t="s">
        <v>86</v>
      </c>
      <c r="C9" s="622">
        <v>26381683.23</v>
      </c>
      <c r="D9" s="622">
        <v>63034700.241699994</v>
      </c>
      <c r="E9" s="630">
        <f t="shared" si="0"/>
        <v>89416383.471699998</v>
      </c>
      <c r="F9" s="620">
        <v>858508</v>
      </c>
      <c r="G9" s="620">
        <v>31848253</v>
      </c>
      <c r="H9" s="631">
        <f t="shared" si="1"/>
        <v>32706761</v>
      </c>
    </row>
    <row r="10" spans="1:8">
      <c r="A10" s="628">
        <v>1.3</v>
      </c>
      <c r="B10" s="614" t="s">
        <v>87</v>
      </c>
      <c r="C10" s="622">
        <v>65060.21</v>
      </c>
      <c r="D10" s="622">
        <v>105368669.6577</v>
      </c>
      <c r="E10" s="630">
        <f t="shared" si="0"/>
        <v>105433729.8677</v>
      </c>
      <c r="F10" s="620">
        <v>35036543</v>
      </c>
      <c r="G10" s="620">
        <v>67122225</v>
      </c>
      <c r="H10" s="631">
        <f t="shared" si="1"/>
        <v>102158768</v>
      </c>
    </row>
    <row r="11" spans="1:8">
      <c r="A11" s="628">
        <v>2</v>
      </c>
      <c r="B11" s="615" t="s">
        <v>698</v>
      </c>
      <c r="C11" s="622">
        <v>590873.73609999998</v>
      </c>
      <c r="D11" s="622">
        <v>0</v>
      </c>
      <c r="E11" s="630">
        <f t="shared" si="0"/>
        <v>590873.73609999998</v>
      </c>
      <c r="F11" s="620">
        <f>F12</f>
        <v>969680</v>
      </c>
      <c r="G11" s="620">
        <f>G12</f>
        <v>0</v>
      </c>
      <c r="H11" s="631">
        <f t="shared" si="1"/>
        <v>969680</v>
      </c>
    </row>
    <row r="12" spans="1:8">
      <c r="A12" s="628">
        <v>2.1</v>
      </c>
      <c r="B12" s="616" t="s">
        <v>699</v>
      </c>
      <c r="C12" s="622">
        <v>590873.73609999998</v>
      </c>
      <c r="D12" s="622">
        <v>0</v>
      </c>
      <c r="E12" s="630">
        <f t="shared" si="0"/>
        <v>590873.73609999998</v>
      </c>
      <c r="F12" s="620">
        <v>969680</v>
      </c>
      <c r="G12" s="620"/>
      <c r="H12" s="631">
        <f t="shared" si="1"/>
        <v>969680</v>
      </c>
    </row>
    <row r="13" spans="1:8" ht="26.55" customHeight="1">
      <c r="A13" s="628">
        <v>3</v>
      </c>
      <c r="B13" s="617" t="s">
        <v>700</v>
      </c>
      <c r="C13" s="622"/>
      <c r="D13" s="622"/>
      <c r="E13" s="630">
        <f t="shared" si="0"/>
        <v>0</v>
      </c>
      <c r="F13" s="620"/>
      <c r="G13" s="620"/>
      <c r="H13" s="631">
        <f t="shared" si="1"/>
        <v>0</v>
      </c>
    </row>
    <row r="14" spans="1:8" ht="26.55" customHeight="1">
      <c r="A14" s="628">
        <v>4</v>
      </c>
      <c r="B14" s="609" t="s">
        <v>701</v>
      </c>
      <c r="C14" s="622"/>
      <c r="D14" s="622"/>
      <c r="E14" s="630">
        <f t="shared" si="0"/>
        <v>0</v>
      </c>
      <c r="F14" s="620"/>
      <c r="G14" s="620"/>
      <c r="H14" s="631">
        <f t="shared" si="1"/>
        <v>0</v>
      </c>
    </row>
    <row r="15" spans="1:8" ht="24.45" customHeight="1">
      <c r="A15" s="628">
        <v>5</v>
      </c>
      <c r="B15" s="609" t="s">
        <v>702</v>
      </c>
      <c r="C15" s="632">
        <f>SUM(C16:C18)</f>
        <v>0</v>
      </c>
      <c r="D15" s="632">
        <f>SUM(D16:D18)</f>
        <v>0</v>
      </c>
      <c r="E15" s="633">
        <f t="shared" si="0"/>
        <v>0</v>
      </c>
      <c r="F15" s="621">
        <f>SUM(F16:F18)</f>
        <v>0</v>
      </c>
      <c r="G15" s="621">
        <f>SUM(G16:G18)</f>
        <v>0</v>
      </c>
      <c r="H15" s="634">
        <f t="shared" si="1"/>
        <v>0</v>
      </c>
    </row>
    <row r="16" spans="1:8">
      <c r="A16" s="628">
        <v>5.0999999999999996</v>
      </c>
      <c r="B16" s="610" t="s">
        <v>703</v>
      </c>
      <c r="C16" s="622"/>
      <c r="D16" s="622"/>
      <c r="E16" s="630">
        <f t="shared" si="0"/>
        <v>0</v>
      </c>
      <c r="F16" s="620"/>
      <c r="G16" s="620"/>
      <c r="H16" s="631">
        <f t="shared" si="1"/>
        <v>0</v>
      </c>
    </row>
    <row r="17" spans="1:8">
      <c r="A17" s="628">
        <v>5.2</v>
      </c>
      <c r="B17" s="610" t="s">
        <v>538</v>
      </c>
      <c r="C17" s="622"/>
      <c r="D17" s="622"/>
      <c r="E17" s="630">
        <f t="shared" si="0"/>
        <v>0</v>
      </c>
      <c r="F17" s="620"/>
      <c r="G17" s="620"/>
      <c r="H17" s="631">
        <f t="shared" si="1"/>
        <v>0</v>
      </c>
    </row>
    <row r="18" spans="1:8">
      <c r="A18" s="628">
        <v>5.3</v>
      </c>
      <c r="B18" s="610" t="s">
        <v>704</v>
      </c>
      <c r="C18" s="622"/>
      <c r="D18" s="622"/>
      <c r="E18" s="630">
        <f t="shared" si="0"/>
        <v>0</v>
      </c>
      <c r="F18" s="620"/>
      <c r="G18" s="620"/>
      <c r="H18" s="631">
        <f t="shared" si="1"/>
        <v>0</v>
      </c>
    </row>
    <row r="19" spans="1:8">
      <c r="A19" s="628">
        <v>6</v>
      </c>
      <c r="B19" s="617" t="s">
        <v>705</v>
      </c>
      <c r="C19" s="622">
        <f>SUM(C20:C21)</f>
        <v>243303838.4425</v>
      </c>
      <c r="D19" s="622">
        <f>SUM(D20:D21)</f>
        <v>224817550.0925</v>
      </c>
      <c r="E19" s="630">
        <f t="shared" si="0"/>
        <v>468121388.53499997</v>
      </c>
      <c r="F19" s="620">
        <f>SUM(F20:F21)</f>
        <v>186938990</v>
      </c>
      <c r="G19" s="620">
        <f>SUM(G20:G21)</f>
        <v>172216429</v>
      </c>
      <c r="H19" s="631">
        <f t="shared" si="1"/>
        <v>359155419</v>
      </c>
    </row>
    <row r="20" spans="1:8">
      <c r="A20" s="628">
        <v>6.1</v>
      </c>
      <c r="B20" s="610" t="s">
        <v>538</v>
      </c>
      <c r="C20" s="622">
        <v>75345818.162300006</v>
      </c>
      <c r="D20" s="622">
        <v>5721700.0875000004</v>
      </c>
      <c r="E20" s="630">
        <f t="shared" si="0"/>
        <v>81067518.249800012</v>
      </c>
      <c r="F20" s="620">
        <v>56257493</v>
      </c>
      <c r="G20" s="620">
        <v>5533905</v>
      </c>
      <c r="H20" s="631">
        <f t="shared" si="1"/>
        <v>61791398</v>
      </c>
    </row>
    <row r="21" spans="1:8">
      <c r="A21" s="628">
        <v>6.2</v>
      </c>
      <c r="B21" s="610" t="s">
        <v>704</v>
      </c>
      <c r="C21" s="622">
        <v>167958020.2802</v>
      </c>
      <c r="D21" s="622">
        <v>219095850.005</v>
      </c>
      <c r="E21" s="630">
        <f t="shared" si="0"/>
        <v>387053870.2852</v>
      </c>
      <c r="F21" s="620">
        <v>130681497</v>
      </c>
      <c r="G21" s="620">
        <v>166682524</v>
      </c>
      <c r="H21" s="631">
        <f t="shared" si="1"/>
        <v>297364021</v>
      </c>
    </row>
    <row r="22" spans="1:8">
      <c r="A22" s="628">
        <v>7</v>
      </c>
      <c r="B22" s="618" t="s">
        <v>706</v>
      </c>
      <c r="C22" s="622"/>
      <c r="D22" s="622"/>
      <c r="E22" s="630">
        <f t="shared" si="0"/>
        <v>0</v>
      </c>
      <c r="F22" s="620"/>
      <c r="G22" s="620"/>
      <c r="H22" s="631">
        <f t="shared" si="1"/>
        <v>0</v>
      </c>
    </row>
    <row r="23" spans="1:8">
      <c r="A23" s="628">
        <v>8</v>
      </c>
      <c r="B23" s="618" t="s">
        <v>707</v>
      </c>
      <c r="C23" s="622"/>
      <c r="D23" s="622"/>
      <c r="E23" s="630">
        <f t="shared" si="0"/>
        <v>0</v>
      </c>
      <c r="F23" s="620"/>
      <c r="G23" s="620"/>
      <c r="H23" s="631">
        <f t="shared" si="1"/>
        <v>0</v>
      </c>
    </row>
    <row r="24" spans="1:8">
      <c r="A24" s="628">
        <v>9</v>
      </c>
      <c r="B24" s="609" t="s">
        <v>708</v>
      </c>
      <c r="C24" s="622">
        <f>SUM(C25:C26)</f>
        <v>6718453.9199999999</v>
      </c>
      <c r="D24" s="622">
        <f>SUM(D25:D26)</f>
        <v>0</v>
      </c>
      <c r="E24" s="630">
        <f t="shared" si="0"/>
        <v>6718453.9199999999</v>
      </c>
      <c r="F24" s="620">
        <f>SUM(F25:F26)</f>
        <v>3556502</v>
      </c>
      <c r="G24" s="620">
        <f>SUM(G25:G26)</f>
        <v>0</v>
      </c>
      <c r="H24" s="631">
        <f t="shared" si="1"/>
        <v>3556502</v>
      </c>
    </row>
    <row r="25" spans="1:8">
      <c r="A25" s="628">
        <v>9.1</v>
      </c>
      <c r="B25" s="612" t="s">
        <v>709</v>
      </c>
      <c r="C25" s="622">
        <v>6718453.9199999999</v>
      </c>
      <c r="D25" s="622"/>
      <c r="E25" s="630">
        <f t="shared" si="0"/>
        <v>6718453.9199999999</v>
      </c>
      <c r="F25" s="620">
        <v>3556502</v>
      </c>
      <c r="G25" s="620"/>
      <c r="H25" s="631">
        <f t="shared" si="1"/>
        <v>3556502</v>
      </c>
    </row>
    <row r="26" spans="1:8">
      <c r="A26" s="628">
        <v>9.1999999999999993</v>
      </c>
      <c r="B26" s="612" t="s">
        <v>710</v>
      </c>
      <c r="C26" s="622"/>
      <c r="D26" s="622"/>
      <c r="E26" s="630">
        <f t="shared" si="0"/>
        <v>0</v>
      </c>
      <c r="F26" s="620"/>
      <c r="G26" s="620"/>
      <c r="H26" s="631">
        <f t="shared" si="1"/>
        <v>0</v>
      </c>
    </row>
    <row r="27" spans="1:8">
      <c r="A27" s="628">
        <v>10</v>
      </c>
      <c r="B27" s="609" t="s">
        <v>36</v>
      </c>
      <c r="C27" s="622">
        <f>SUM(C28:C29)</f>
        <v>3583917.36</v>
      </c>
      <c r="D27" s="622">
        <f>SUM(D28:D29)</f>
        <v>0</v>
      </c>
      <c r="E27" s="630">
        <f t="shared" si="0"/>
        <v>3583917.36</v>
      </c>
      <c r="F27" s="620">
        <f>SUM(F28:F29)</f>
        <v>5338487</v>
      </c>
      <c r="G27" s="620">
        <f>SUM(G28:G29)</f>
        <v>0</v>
      </c>
      <c r="H27" s="631">
        <f t="shared" si="1"/>
        <v>5338487</v>
      </c>
    </row>
    <row r="28" spans="1:8">
      <c r="A28" s="628">
        <v>10.1</v>
      </c>
      <c r="B28" s="612" t="s">
        <v>711</v>
      </c>
      <c r="C28" s="622"/>
      <c r="D28" s="622"/>
      <c r="E28" s="630">
        <f t="shared" si="0"/>
        <v>0</v>
      </c>
      <c r="F28" s="620"/>
      <c r="G28" s="620"/>
      <c r="H28" s="631">
        <f t="shared" si="1"/>
        <v>0</v>
      </c>
    </row>
    <row r="29" spans="1:8">
      <c r="A29" s="628">
        <v>10.199999999999999</v>
      </c>
      <c r="B29" s="612" t="s">
        <v>712</v>
      </c>
      <c r="C29" s="622">
        <v>3583917.36</v>
      </c>
      <c r="D29" s="622"/>
      <c r="E29" s="630">
        <f t="shared" si="0"/>
        <v>3583917.36</v>
      </c>
      <c r="F29" s="620">
        <v>5338487</v>
      </c>
      <c r="G29" s="620"/>
      <c r="H29" s="631">
        <f t="shared" si="1"/>
        <v>5338487</v>
      </c>
    </row>
    <row r="30" spans="1:8">
      <c r="A30" s="628">
        <v>11</v>
      </c>
      <c r="B30" s="609" t="s">
        <v>713</v>
      </c>
      <c r="C30" s="622">
        <f>SUM(C31:C32)</f>
        <v>3795103.27</v>
      </c>
      <c r="D30" s="622">
        <f>SUM(D31:D32)</f>
        <v>0</v>
      </c>
      <c r="E30" s="630">
        <f t="shared" si="0"/>
        <v>3795103.27</v>
      </c>
      <c r="F30" s="620">
        <f>SUM(F31:F32)</f>
        <v>0</v>
      </c>
      <c r="G30" s="620">
        <f>SUM(G31:G32)</f>
        <v>0</v>
      </c>
      <c r="H30" s="631">
        <f t="shared" si="1"/>
        <v>0</v>
      </c>
    </row>
    <row r="31" spans="1:8">
      <c r="A31" s="628">
        <v>11.1</v>
      </c>
      <c r="B31" s="612" t="s">
        <v>714</v>
      </c>
      <c r="C31" s="622"/>
      <c r="D31" s="622"/>
      <c r="E31" s="630">
        <f t="shared" si="0"/>
        <v>0</v>
      </c>
      <c r="F31" s="620"/>
      <c r="G31" s="620"/>
      <c r="H31" s="631">
        <f t="shared" si="1"/>
        <v>0</v>
      </c>
    </row>
    <row r="32" spans="1:8">
      <c r="A32" s="628">
        <v>11.2</v>
      </c>
      <c r="B32" s="612" t="s">
        <v>715</v>
      </c>
      <c r="C32" s="622">
        <v>3795103.27</v>
      </c>
      <c r="D32" s="622"/>
      <c r="E32" s="630">
        <f t="shared" si="0"/>
        <v>3795103.27</v>
      </c>
      <c r="F32" s="620"/>
      <c r="G32" s="620"/>
      <c r="H32" s="631">
        <f t="shared" si="1"/>
        <v>0</v>
      </c>
    </row>
    <row r="33" spans="1:8">
      <c r="A33" s="628">
        <v>13</v>
      </c>
      <c r="B33" s="609" t="s">
        <v>88</v>
      </c>
      <c r="C33" s="622">
        <v>18956868.537499998</v>
      </c>
      <c r="D33" s="622">
        <v>172823.4</v>
      </c>
      <c r="E33" s="630">
        <f t="shared" si="0"/>
        <v>19129691.937499996</v>
      </c>
      <c r="F33" s="620">
        <v>19623847</v>
      </c>
      <c r="G33" s="620">
        <v>40424</v>
      </c>
      <c r="H33" s="631">
        <f t="shared" si="1"/>
        <v>19664271</v>
      </c>
    </row>
    <row r="34" spans="1:8">
      <c r="A34" s="628">
        <v>13.1</v>
      </c>
      <c r="B34" s="619" t="s">
        <v>716</v>
      </c>
      <c r="C34" s="622">
        <v>16895117.84</v>
      </c>
      <c r="D34" s="622"/>
      <c r="E34" s="630">
        <f t="shared" si="0"/>
        <v>16895117.84</v>
      </c>
      <c r="F34" s="620">
        <v>15709918</v>
      </c>
      <c r="G34" s="620"/>
      <c r="H34" s="631">
        <f t="shared" si="1"/>
        <v>15709918</v>
      </c>
    </row>
    <row r="35" spans="1:8">
      <c r="A35" s="628">
        <v>13.2</v>
      </c>
      <c r="B35" s="619" t="s">
        <v>717</v>
      </c>
      <c r="C35" s="622"/>
      <c r="D35" s="622"/>
      <c r="E35" s="630">
        <f t="shared" si="0"/>
        <v>0</v>
      </c>
      <c r="F35" s="620"/>
      <c r="G35" s="620"/>
      <c r="H35" s="631">
        <f t="shared" si="1"/>
        <v>0</v>
      </c>
    </row>
    <row r="36" spans="1:8">
      <c r="A36" s="628">
        <v>14</v>
      </c>
      <c r="B36" s="545" t="s">
        <v>718</v>
      </c>
      <c r="C36" s="622">
        <f>SUM(C7,C11,C13,C14,C15,C19,C22,C23,C24,C27,C30,C33)</f>
        <v>303840018.35610002</v>
      </c>
      <c r="D36" s="622">
        <f>SUM(D7,D11,D13,D14,D15,D19,D22,D23,D24,D27,D30,D33)</f>
        <v>396388126.79960001</v>
      </c>
      <c r="E36" s="630">
        <f t="shared" si="0"/>
        <v>700228145.15569997</v>
      </c>
      <c r="F36" s="620">
        <f>SUM(F7,F11,F13,F14,F15,F19,F22,F23,F24,F27,F30,F33)</f>
        <v>252705707</v>
      </c>
      <c r="G36" s="620">
        <f>SUM(G7,G11,G13,G14,G15,G19,G22,G23,G24,G27,G30,G33)</f>
        <v>273016113</v>
      </c>
      <c r="H36" s="631">
        <f t="shared" si="1"/>
        <v>525721820</v>
      </c>
    </row>
    <row r="37" spans="1:8" ht="22.5" customHeight="1">
      <c r="A37" s="628"/>
      <c r="B37" s="635" t="s">
        <v>93</v>
      </c>
      <c r="C37" s="772"/>
      <c r="D37" s="773"/>
      <c r="E37" s="773"/>
      <c r="F37" s="773"/>
      <c r="G37" s="773"/>
      <c r="H37" s="774"/>
    </row>
    <row r="38" spans="1:8">
      <c r="A38" s="628">
        <v>15</v>
      </c>
      <c r="B38" s="349" t="s">
        <v>719</v>
      </c>
      <c r="C38" s="622">
        <f>C39</f>
        <v>549092.5</v>
      </c>
      <c r="D38" s="622"/>
      <c r="E38" s="630">
        <f>C38+D38</f>
        <v>549092.5</v>
      </c>
      <c r="F38" s="622">
        <v>454492.42</v>
      </c>
      <c r="G38" s="622"/>
      <c r="H38" s="631">
        <f>F38+G38</f>
        <v>454492.42</v>
      </c>
    </row>
    <row r="39" spans="1:8">
      <c r="A39" s="628">
        <v>15.1</v>
      </c>
      <c r="B39" s="616" t="s">
        <v>699</v>
      </c>
      <c r="C39" s="622">
        <v>549092.5</v>
      </c>
      <c r="D39" s="622">
        <v>0</v>
      </c>
      <c r="E39" s="630">
        <f t="shared" ref="E39:E53" si="2">C39+D39</f>
        <v>549092.5</v>
      </c>
      <c r="F39" s="622">
        <v>454492.42</v>
      </c>
      <c r="G39" s="622"/>
      <c r="H39" s="631">
        <f t="shared" ref="H39:H53" si="3">F39+G39</f>
        <v>454492.42</v>
      </c>
    </row>
    <row r="40" spans="1:8" ht="24" customHeight="1">
      <c r="A40" s="628">
        <v>16</v>
      </c>
      <c r="B40" s="618" t="s">
        <v>720</v>
      </c>
      <c r="C40" s="622"/>
      <c r="D40" s="622"/>
      <c r="E40" s="630">
        <f t="shared" si="2"/>
        <v>0</v>
      </c>
      <c r="F40" s="622"/>
      <c r="G40" s="622"/>
      <c r="H40" s="631">
        <f t="shared" si="3"/>
        <v>0</v>
      </c>
    </row>
    <row r="41" spans="1:8">
      <c r="A41" s="628">
        <v>17</v>
      </c>
      <c r="B41" s="618" t="s">
        <v>721</v>
      </c>
      <c r="C41" s="622">
        <f>SUM(C42:C45)</f>
        <v>161784907.31</v>
      </c>
      <c r="D41" s="622">
        <f>SUM(D42:D45)</f>
        <v>373622851.63730001</v>
      </c>
      <c r="E41" s="630">
        <f t="shared" si="2"/>
        <v>535407758.94730002</v>
      </c>
      <c r="F41" s="622">
        <f>SUM(F42:F45)</f>
        <v>121258272.49000001</v>
      </c>
      <c r="G41" s="622">
        <f>SUM(G42:G45)</f>
        <v>244104448.85150003</v>
      </c>
      <c r="H41" s="631">
        <f t="shared" si="3"/>
        <v>365362721.34150004</v>
      </c>
    </row>
    <row r="42" spans="1:8">
      <c r="A42" s="628">
        <v>17.100000000000001</v>
      </c>
      <c r="B42" s="613" t="s">
        <v>722</v>
      </c>
      <c r="C42" s="622">
        <v>131659301.83</v>
      </c>
      <c r="D42" s="622">
        <v>360713499.73250002</v>
      </c>
      <c r="E42" s="630">
        <f t="shared" si="2"/>
        <v>492372801.5625</v>
      </c>
      <c r="F42" s="622">
        <v>121258272.49000001</v>
      </c>
      <c r="G42" s="622">
        <v>222352130.60140002</v>
      </c>
      <c r="H42" s="631">
        <f t="shared" si="3"/>
        <v>343610403.09140003</v>
      </c>
    </row>
    <row r="43" spans="1:8">
      <c r="A43" s="628">
        <v>17.2</v>
      </c>
      <c r="B43" s="614" t="s">
        <v>89</v>
      </c>
      <c r="C43" s="622">
        <v>30125605.48</v>
      </c>
      <c r="D43" s="622">
        <v>7775240.5257000001</v>
      </c>
      <c r="E43" s="630">
        <f t="shared" si="2"/>
        <v>37900846.0057</v>
      </c>
      <c r="F43" s="622">
        <v>0</v>
      </c>
      <c r="G43" s="622">
        <v>21752318.250100002</v>
      </c>
      <c r="H43" s="631">
        <f t="shared" si="3"/>
        <v>21752318.250100002</v>
      </c>
    </row>
    <row r="44" spans="1:8">
      <c r="A44" s="628">
        <v>17.3</v>
      </c>
      <c r="B44" s="613" t="s">
        <v>723</v>
      </c>
      <c r="C44" s="622"/>
      <c r="D44" s="622"/>
      <c r="E44" s="630">
        <f t="shared" si="2"/>
        <v>0</v>
      </c>
      <c r="F44" s="622"/>
      <c r="G44" s="622"/>
      <c r="H44" s="631">
        <f t="shared" si="3"/>
        <v>0</v>
      </c>
    </row>
    <row r="45" spans="1:8">
      <c r="A45" s="628">
        <v>17.399999999999999</v>
      </c>
      <c r="B45" s="613" t="s">
        <v>724</v>
      </c>
      <c r="C45" s="622">
        <v>0</v>
      </c>
      <c r="D45" s="622">
        <v>5134111.3790999996</v>
      </c>
      <c r="E45" s="630">
        <f t="shared" si="2"/>
        <v>5134111.3790999996</v>
      </c>
      <c r="F45" s="622">
        <v>0</v>
      </c>
      <c r="G45" s="622">
        <v>0</v>
      </c>
      <c r="H45" s="631">
        <f t="shared" si="3"/>
        <v>0</v>
      </c>
    </row>
    <row r="46" spans="1:8">
      <c r="A46" s="628">
        <v>18</v>
      </c>
      <c r="B46" s="609" t="s">
        <v>725</v>
      </c>
      <c r="C46" s="622">
        <v>309877.49680000002</v>
      </c>
      <c r="D46" s="622">
        <v>229794.0687</v>
      </c>
      <c r="E46" s="630">
        <f t="shared" si="2"/>
        <v>539671.56550000003</v>
      </c>
      <c r="F46" s="622">
        <v>335421.36869999999</v>
      </c>
      <c r="G46" s="622">
        <v>107786.7343</v>
      </c>
      <c r="H46" s="631">
        <f t="shared" si="3"/>
        <v>443208.103</v>
      </c>
    </row>
    <row r="47" spans="1:8">
      <c r="A47" s="628">
        <v>19</v>
      </c>
      <c r="B47" s="609" t="s">
        <v>726</v>
      </c>
      <c r="C47" s="622">
        <f>SUM(C48:C49)</f>
        <v>0</v>
      </c>
      <c r="D47" s="622">
        <f>SUM(D48:D49)</f>
        <v>0</v>
      </c>
      <c r="E47" s="630">
        <f t="shared" si="2"/>
        <v>0</v>
      </c>
      <c r="F47" s="622">
        <f>SUM(F48:F49)</f>
        <v>0</v>
      </c>
      <c r="G47" s="622">
        <f>SUM(G48:G49)</f>
        <v>0</v>
      </c>
      <c r="H47" s="631">
        <f t="shared" si="3"/>
        <v>0</v>
      </c>
    </row>
    <row r="48" spans="1:8">
      <c r="A48" s="628">
        <v>19.100000000000001</v>
      </c>
      <c r="B48" s="611" t="s">
        <v>727</v>
      </c>
      <c r="C48" s="622"/>
      <c r="D48" s="622"/>
      <c r="E48" s="630">
        <f t="shared" si="2"/>
        <v>0</v>
      </c>
      <c r="F48" s="622"/>
      <c r="G48" s="622"/>
      <c r="H48" s="631">
        <f t="shared" si="3"/>
        <v>0</v>
      </c>
    </row>
    <row r="49" spans="1:8">
      <c r="A49" s="628">
        <v>19.2</v>
      </c>
      <c r="B49" s="611" t="s">
        <v>728</v>
      </c>
      <c r="C49" s="622"/>
      <c r="D49" s="622"/>
      <c r="E49" s="630">
        <f t="shared" si="2"/>
        <v>0</v>
      </c>
      <c r="F49" s="622"/>
      <c r="G49" s="622"/>
      <c r="H49" s="631">
        <f t="shared" si="3"/>
        <v>0</v>
      </c>
    </row>
    <row r="50" spans="1:8">
      <c r="A50" s="628">
        <v>20</v>
      </c>
      <c r="B50" s="545" t="s">
        <v>90</v>
      </c>
      <c r="C50" s="622">
        <v>0</v>
      </c>
      <c r="D50" s="622">
        <v>33651416.677900001</v>
      </c>
      <c r="E50" s="630">
        <f t="shared" si="2"/>
        <v>33651416.677900001</v>
      </c>
      <c r="F50" s="622">
        <v>0</v>
      </c>
      <c r="G50" s="622">
        <v>32173285.774300002</v>
      </c>
      <c r="H50" s="631">
        <f t="shared" si="3"/>
        <v>32173285.774300002</v>
      </c>
    </row>
    <row r="51" spans="1:8">
      <c r="A51" s="628">
        <v>21</v>
      </c>
      <c r="B51" s="615" t="s">
        <v>78</v>
      </c>
      <c r="C51" s="622">
        <v>6553199.6900000004</v>
      </c>
      <c r="D51" s="622">
        <v>416995.78919999994</v>
      </c>
      <c r="E51" s="630">
        <f t="shared" si="2"/>
        <v>6970195.4791999999</v>
      </c>
      <c r="F51" s="622">
        <v>10775170.279999999</v>
      </c>
      <c r="G51" s="622">
        <v>2824006.5890000002</v>
      </c>
      <c r="H51" s="631">
        <f t="shared" si="3"/>
        <v>13599176.868999999</v>
      </c>
    </row>
    <row r="52" spans="1:8">
      <c r="A52" s="628">
        <v>21.1</v>
      </c>
      <c r="B52" s="614" t="s">
        <v>729</v>
      </c>
      <c r="C52" s="622"/>
      <c r="D52" s="622"/>
      <c r="E52" s="630">
        <f t="shared" si="2"/>
        <v>0</v>
      </c>
      <c r="F52" s="622"/>
      <c r="G52" s="622"/>
      <c r="H52" s="631">
        <f t="shared" si="3"/>
        <v>0</v>
      </c>
    </row>
    <row r="53" spans="1:8">
      <c r="A53" s="628">
        <v>22</v>
      </c>
      <c r="B53" s="545" t="s">
        <v>730</v>
      </c>
      <c r="C53" s="622">
        <f>SUM(C38,C40,C41,C46,C47,C50,C51)</f>
        <v>169197076.99680001</v>
      </c>
      <c r="D53" s="622">
        <f>SUM(D38,D40,D41,D46,D47,D50,D51)</f>
        <v>407921058.17310005</v>
      </c>
      <c r="E53" s="630">
        <f t="shared" si="2"/>
        <v>577118135.16990006</v>
      </c>
      <c r="F53" s="622">
        <f>SUM(F38,F40,F41,F46,F47,F50,F51)</f>
        <v>132823356.55870001</v>
      </c>
      <c r="G53" s="622">
        <f>SUM(G38,G40,G41,G46,G47,G50,G51)</f>
        <v>279209527.94910002</v>
      </c>
      <c r="H53" s="631">
        <f t="shared" si="3"/>
        <v>412032884.50780004</v>
      </c>
    </row>
    <row r="54" spans="1:8" ht="24" customHeight="1">
      <c r="A54" s="628"/>
      <c r="B54" s="635" t="s">
        <v>731</v>
      </c>
      <c r="C54" s="772"/>
      <c r="D54" s="773"/>
      <c r="E54" s="773"/>
      <c r="F54" s="773"/>
      <c r="G54" s="773"/>
      <c r="H54" s="774"/>
    </row>
    <row r="55" spans="1:8">
      <c r="A55" s="628">
        <v>23</v>
      </c>
      <c r="B55" s="545" t="s">
        <v>960</v>
      </c>
      <c r="C55" s="622">
        <v>136800000</v>
      </c>
      <c r="D55" s="622"/>
      <c r="E55" s="630">
        <f>C55+D55</f>
        <v>136800000</v>
      </c>
      <c r="F55" s="622">
        <v>136800000</v>
      </c>
      <c r="G55" s="622"/>
      <c r="H55" s="631">
        <f>F55+G55</f>
        <v>136800000</v>
      </c>
    </row>
    <row r="56" spans="1:8">
      <c r="A56" s="628">
        <v>24</v>
      </c>
      <c r="B56" s="545" t="s">
        <v>732</v>
      </c>
      <c r="C56" s="622"/>
      <c r="D56" s="622"/>
      <c r="E56" s="630">
        <f t="shared" ref="E56:E69" si="4">C56+D56</f>
        <v>0</v>
      </c>
      <c r="F56" s="622"/>
      <c r="G56" s="622"/>
      <c r="H56" s="631">
        <f t="shared" ref="H56:H69" si="5">F56+G56</f>
        <v>0</v>
      </c>
    </row>
    <row r="57" spans="1:8">
      <c r="A57" s="628">
        <v>25</v>
      </c>
      <c r="B57" s="545" t="s">
        <v>91</v>
      </c>
      <c r="C57" s="622"/>
      <c r="D57" s="622"/>
      <c r="E57" s="630">
        <f t="shared" si="4"/>
        <v>0</v>
      </c>
      <c r="F57" s="622"/>
      <c r="G57" s="622"/>
      <c r="H57" s="631">
        <f t="shared" si="5"/>
        <v>0</v>
      </c>
    </row>
    <row r="58" spans="1:8">
      <c r="A58" s="628">
        <v>26</v>
      </c>
      <c r="B58" s="609" t="s">
        <v>733</v>
      </c>
      <c r="C58" s="622"/>
      <c r="D58" s="622"/>
      <c r="E58" s="630">
        <f t="shared" si="4"/>
        <v>0</v>
      </c>
      <c r="F58" s="622"/>
      <c r="G58" s="622"/>
      <c r="H58" s="631">
        <f t="shared" si="5"/>
        <v>0</v>
      </c>
    </row>
    <row r="59" spans="1:8">
      <c r="A59" s="628">
        <v>27</v>
      </c>
      <c r="B59" s="609" t="s">
        <v>734</v>
      </c>
      <c r="C59" s="622">
        <f>SUM(C60:C61)</f>
        <v>1154910.5</v>
      </c>
      <c r="D59" s="622">
        <f>SUM(D60:D61)</f>
        <v>0</v>
      </c>
      <c r="E59" s="630">
        <f t="shared" si="4"/>
        <v>1154910.5</v>
      </c>
      <c r="F59" s="622">
        <f>SUM(F60:F61)</f>
        <v>1154910.5</v>
      </c>
      <c r="G59" s="622">
        <f>SUM(G60:G61)</f>
        <v>0</v>
      </c>
      <c r="H59" s="631">
        <f t="shared" si="5"/>
        <v>1154910.5</v>
      </c>
    </row>
    <row r="60" spans="1:8">
      <c r="A60" s="628">
        <v>27.1</v>
      </c>
      <c r="B60" s="611" t="s">
        <v>735</v>
      </c>
      <c r="C60" s="622">
        <v>1154910.5</v>
      </c>
      <c r="D60" s="622"/>
      <c r="E60" s="630">
        <f t="shared" si="4"/>
        <v>1154910.5</v>
      </c>
      <c r="F60" s="622">
        <v>1154910.5</v>
      </c>
      <c r="G60" s="622"/>
      <c r="H60" s="631">
        <f t="shared" si="5"/>
        <v>1154910.5</v>
      </c>
    </row>
    <row r="61" spans="1:8">
      <c r="A61" s="628">
        <v>27.2</v>
      </c>
      <c r="B61" s="613" t="s">
        <v>736</v>
      </c>
      <c r="C61" s="622"/>
      <c r="D61" s="622"/>
      <c r="E61" s="630">
        <f t="shared" si="4"/>
        <v>0</v>
      </c>
      <c r="F61" s="622"/>
      <c r="G61" s="622"/>
      <c r="H61" s="631">
        <f t="shared" si="5"/>
        <v>0</v>
      </c>
    </row>
    <row r="62" spans="1:8">
      <c r="A62" s="628">
        <v>28</v>
      </c>
      <c r="B62" s="615" t="s">
        <v>737</v>
      </c>
      <c r="C62" s="622"/>
      <c r="D62" s="622"/>
      <c r="E62" s="630">
        <f t="shared" si="4"/>
        <v>0</v>
      </c>
      <c r="F62" s="622"/>
      <c r="G62" s="622"/>
      <c r="H62" s="631">
        <f t="shared" si="5"/>
        <v>0</v>
      </c>
    </row>
    <row r="63" spans="1:8">
      <c r="A63" s="628">
        <v>29</v>
      </c>
      <c r="B63" s="609" t="s">
        <v>738</v>
      </c>
      <c r="C63" s="622">
        <f>SUM(C64:C66)</f>
        <v>0</v>
      </c>
      <c r="D63" s="622">
        <f>SUM(D64:D66)</f>
        <v>0</v>
      </c>
      <c r="E63" s="630">
        <f t="shared" si="4"/>
        <v>0</v>
      </c>
      <c r="F63" s="622">
        <v>0</v>
      </c>
      <c r="G63" s="622">
        <f>SUM(G64:G66)</f>
        <v>0</v>
      </c>
      <c r="H63" s="631">
        <f t="shared" si="5"/>
        <v>0</v>
      </c>
    </row>
    <row r="64" spans="1:8">
      <c r="A64" s="628">
        <v>29.1</v>
      </c>
      <c r="B64" s="610" t="s">
        <v>739</v>
      </c>
      <c r="C64" s="622"/>
      <c r="D64" s="622"/>
      <c r="E64" s="630">
        <f t="shared" si="4"/>
        <v>0</v>
      </c>
      <c r="F64" s="622"/>
      <c r="G64" s="622"/>
      <c r="H64" s="631">
        <f t="shared" si="5"/>
        <v>0</v>
      </c>
    </row>
    <row r="65" spans="1:8" ht="25.05" customHeight="1">
      <c r="A65" s="628">
        <v>29.2</v>
      </c>
      <c r="B65" s="611" t="s">
        <v>740</v>
      </c>
      <c r="C65" s="622"/>
      <c r="D65" s="622"/>
      <c r="E65" s="630">
        <f t="shared" si="4"/>
        <v>0</v>
      </c>
      <c r="F65" s="622"/>
      <c r="G65" s="622"/>
      <c r="H65" s="631">
        <f t="shared" si="5"/>
        <v>0</v>
      </c>
    </row>
    <row r="66" spans="1:8" ht="22.5" customHeight="1">
      <c r="A66" s="628">
        <v>29.3</v>
      </c>
      <c r="B66" s="612" t="s">
        <v>741</v>
      </c>
      <c r="C66" s="622"/>
      <c r="D66" s="622"/>
      <c r="E66" s="630">
        <f t="shared" si="4"/>
        <v>0</v>
      </c>
      <c r="F66" s="622"/>
      <c r="G66" s="622"/>
      <c r="H66" s="631">
        <f t="shared" si="5"/>
        <v>0</v>
      </c>
    </row>
    <row r="67" spans="1:8">
      <c r="A67" s="628">
        <v>30</v>
      </c>
      <c r="B67" s="609" t="s">
        <v>92</v>
      </c>
      <c r="C67" s="622">
        <v>-14844900.41</v>
      </c>
      <c r="D67" s="622"/>
      <c r="E67" s="630">
        <f t="shared" si="4"/>
        <v>-14844900.41</v>
      </c>
      <c r="F67" s="622">
        <f>-24265976.95+1.94</f>
        <v>-24265975.009999998</v>
      </c>
      <c r="G67" s="622"/>
      <c r="H67" s="631">
        <f t="shared" si="5"/>
        <v>-24265975.009999998</v>
      </c>
    </row>
    <row r="68" spans="1:8">
      <c r="A68" s="628">
        <v>31</v>
      </c>
      <c r="B68" s="636" t="s">
        <v>742</v>
      </c>
      <c r="C68" s="622">
        <f>SUM(C55,C56,C57,C58,C59,C62,C63,C67)</f>
        <v>123110010.09</v>
      </c>
      <c r="D68" s="622">
        <f>SUM(D55,D56,D57,D58,D59,D62,D63,D67)</f>
        <v>0</v>
      </c>
      <c r="E68" s="630">
        <f t="shared" si="4"/>
        <v>123110010.09</v>
      </c>
      <c r="F68" s="622">
        <f>SUM(F55,F56,F57,F58,F59,F62,F63,F67)</f>
        <v>113688935.49000001</v>
      </c>
      <c r="G68" s="622">
        <f>SUM(G55,G56,G57,G58,G59,G62,G63,G67)</f>
        <v>0</v>
      </c>
      <c r="H68" s="631">
        <f t="shared" si="5"/>
        <v>113688935.49000001</v>
      </c>
    </row>
    <row r="69" spans="1:8" ht="15" thickBot="1">
      <c r="A69" s="637">
        <v>32</v>
      </c>
      <c r="B69" s="638" t="s">
        <v>743</v>
      </c>
      <c r="C69" s="623">
        <f>SUM(C53,C68)</f>
        <v>292307087.08679998</v>
      </c>
      <c r="D69" s="623">
        <f>SUM(D53,D68)</f>
        <v>407921058.17310005</v>
      </c>
      <c r="E69" s="643">
        <f t="shared" si="4"/>
        <v>700228145.25990009</v>
      </c>
      <c r="F69" s="623">
        <f>SUM(F53,F68)</f>
        <v>246512292.04870003</v>
      </c>
      <c r="G69" s="623">
        <f>SUM(G53,G68)</f>
        <v>279209527.94910002</v>
      </c>
      <c r="H69" s="639">
        <f t="shared" si="5"/>
        <v>525721819.99780005</v>
      </c>
    </row>
    <row r="72" spans="1:8">
      <c r="E72" s="645"/>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Footer>&amp;C_x000D_&amp;1#&amp;"Calibri"&amp;10&amp;K000000 C1 - FOR INTERNAL USE ONLY</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5"/>
  <sheetViews>
    <sheetView showGridLines="0" topLeftCell="C1" zoomScale="80" zoomScaleNormal="80" workbookViewId="0">
      <selection activeCell="H33" sqref="H33"/>
    </sheetView>
  </sheetViews>
  <sheetFormatPr defaultColWidth="9.21875" defaultRowHeight="12"/>
  <cols>
    <col min="1" max="1" width="11.77734375" style="398" bestFit="1" customWidth="1"/>
    <col min="2" max="2" width="93.44140625" style="398" customWidth="1"/>
    <col min="3" max="3" width="14.6640625" style="398" customWidth="1"/>
    <col min="4" max="5" width="16.109375" style="398" customWidth="1"/>
    <col min="6" max="6" width="16.109375" style="415" customWidth="1"/>
    <col min="7" max="7" width="25.21875" style="415" customWidth="1"/>
    <col min="8" max="8" width="16.109375" style="398" customWidth="1"/>
    <col min="9" max="11" width="16.109375" style="415" customWidth="1"/>
    <col min="12" max="12" width="26.21875" style="415" customWidth="1"/>
    <col min="13" max="16384" width="9.21875" style="398"/>
  </cols>
  <sheetData>
    <row r="1" spans="1:12" ht="13.8">
      <c r="A1" s="325" t="s">
        <v>97</v>
      </c>
      <c r="B1" s="241" t="str">
        <f>Info!C2</f>
        <v>სს " პაშა ბანკი საქართველო"</v>
      </c>
      <c r="F1" s="398"/>
      <c r="G1" s="398"/>
      <c r="I1" s="398"/>
      <c r="J1" s="398"/>
      <c r="K1" s="398"/>
      <c r="L1" s="398"/>
    </row>
    <row r="2" spans="1:12">
      <c r="A2" s="325" t="s">
        <v>98</v>
      </c>
      <c r="B2" s="328">
        <f>'1. key ratios'!B2</f>
        <v>45747</v>
      </c>
      <c r="F2" s="398"/>
      <c r="G2" s="398"/>
      <c r="I2" s="398"/>
      <c r="J2" s="398"/>
      <c r="K2" s="398"/>
      <c r="L2" s="398"/>
    </row>
    <row r="3" spans="1:12">
      <c r="A3" s="327" t="s">
        <v>563</v>
      </c>
      <c r="F3" s="398"/>
      <c r="G3" s="398"/>
      <c r="I3" s="398"/>
      <c r="J3" s="398"/>
      <c r="K3" s="398"/>
      <c r="L3" s="398"/>
    </row>
    <row r="4" spans="1:12">
      <c r="F4" s="398"/>
      <c r="G4" s="398"/>
      <c r="I4" s="398"/>
      <c r="J4" s="398"/>
      <c r="K4" s="398"/>
      <c r="L4" s="398"/>
    </row>
    <row r="5" spans="1:12" ht="37.5" customHeight="1">
      <c r="A5" s="832" t="s">
        <v>564</v>
      </c>
      <c r="B5" s="833"/>
      <c r="C5" s="881" t="s">
        <v>565</v>
      </c>
      <c r="D5" s="882"/>
      <c r="E5" s="882"/>
      <c r="F5" s="882"/>
      <c r="G5" s="882"/>
      <c r="H5" s="881" t="s">
        <v>875</v>
      </c>
      <c r="I5" s="883"/>
      <c r="J5" s="883"/>
      <c r="K5" s="883"/>
      <c r="L5" s="884"/>
    </row>
    <row r="6" spans="1:12" ht="39.450000000000003" customHeight="1">
      <c r="A6" s="836"/>
      <c r="B6" s="837"/>
      <c r="C6" s="332"/>
      <c r="D6" s="396" t="s">
        <v>860</v>
      </c>
      <c r="E6" s="396" t="s">
        <v>859</v>
      </c>
      <c r="F6" s="396" t="s">
        <v>858</v>
      </c>
      <c r="G6" s="396" t="s">
        <v>857</v>
      </c>
      <c r="H6" s="416"/>
      <c r="I6" s="396" t="s">
        <v>860</v>
      </c>
      <c r="J6" s="396" t="s">
        <v>859</v>
      </c>
      <c r="K6" s="396" t="s">
        <v>858</v>
      </c>
      <c r="L6" s="396" t="s">
        <v>857</v>
      </c>
    </row>
    <row r="7" spans="1:12">
      <c r="A7" s="388">
        <v>1</v>
      </c>
      <c r="B7" s="401" t="s">
        <v>487</v>
      </c>
      <c r="C7" s="737"/>
      <c r="D7" s="710"/>
      <c r="E7" s="710"/>
      <c r="F7" s="738"/>
      <c r="G7" s="738"/>
      <c r="H7" s="710"/>
      <c r="I7" s="738"/>
      <c r="J7" s="738"/>
      <c r="K7" s="738"/>
      <c r="L7" s="738"/>
    </row>
    <row r="8" spans="1:12">
      <c r="A8" s="388">
        <v>2</v>
      </c>
      <c r="B8" s="401" t="s">
        <v>488</v>
      </c>
      <c r="C8" s="737">
        <v>96328881.235500008</v>
      </c>
      <c r="D8" s="710">
        <v>96123473.066599995</v>
      </c>
      <c r="E8" s="710">
        <v>25632.41</v>
      </c>
      <c r="F8" s="739">
        <v>179775.75889999999</v>
      </c>
      <c r="G8" s="739">
        <v>0</v>
      </c>
      <c r="H8" s="710">
        <v>473492.22290023003</v>
      </c>
      <c r="I8" s="739">
        <v>294195.54260023002</v>
      </c>
      <c r="J8" s="739">
        <v>2152.6774999999998</v>
      </c>
      <c r="K8" s="739">
        <v>177144.00279999999</v>
      </c>
      <c r="L8" s="739">
        <v>0</v>
      </c>
    </row>
    <row r="9" spans="1:12">
      <c r="A9" s="388">
        <v>3</v>
      </c>
      <c r="B9" s="401" t="s">
        <v>836</v>
      </c>
      <c r="C9" s="737"/>
      <c r="D9" s="710"/>
      <c r="E9" s="710"/>
      <c r="F9" s="740"/>
      <c r="G9" s="740"/>
      <c r="H9" s="710"/>
      <c r="I9" s="740"/>
      <c r="J9" s="740"/>
      <c r="K9" s="740"/>
      <c r="L9" s="740"/>
    </row>
    <row r="10" spans="1:12">
      <c r="A10" s="388">
        <v>4</v>
      </c>
      <c r="B10" s="401" t="s">
        <v>489</v>
      </c>
      <c r="C10" s="737">
        <v>39082412.662799999</v>
      </c>
      <c r="D10" s="710">
        <v>32956451.308899999</v>
      </c>
      <c r="E10" s="710">
        <v>2496364.92</v>
      </c>
      <c r="F10" s="740">
        <v>3629596.4339000001</v>
      </c>
      <c r="G10" s="740">
        <v>0</v>
      </c>
      <c r="H10" s="710">
        <v>2465468.6649000002</v>
      </c>
      <c r="I10" s="740">
        <v>262465.31359999999</v>
      </c>
      <c r="J10" s="740">
        <v>7532.6767</v>
      </c>
      <c r="K10" s="740">
        <v>2195470.6746</v>
      </c>
      <c r="L10" s="740">
        <v>0</v>
      </c>
    </row>
    <row r="11" spans="1:12">
      <c r="A11" s="388">
        <v>5</v>
      </c>
      <c r="B11" s="401" t="s">
        <v>490</v>
      </c>
      <c r="C11" s="737">
        <v>46723680.206</v>
      </c>
      <c r="D11" s="710">
        <v>46373081.394100003</v>
      </c>
      <c r="E11" s="710">
        <v>350598.81189999997</v>
      </c>
      <c r="F11" s="740">
        <v>0</v>
      </c>
      <c r="G11" s="740">
        <v>0</v>
      </c>
      <c r="H11" s="710">
        <v>110088.0775</v>
      </c>
      <c r="I11" s="740">
        <v>95392.590200000006</v>
      </c>
      <c r="J11" s="740">
        <v>14695.487300000001</v>
      </c>
      <c r="K11" s="740">
        <v>0</v>
      </c>
      <c r="L11" s="740">
        <v>0</v>
      </c>
    </row>
    <row r="12" spans="1:12">
      <c r="A12" s="388">
        <v>6</v>
      </c>
      <c r="B12" s="401" t="s">
        <v>491</v>
      </c>
      <c r="C12" s="737">
        <v>455.33</v>
      </c>
      <c r="D12" s="710">
        <v>455.33</v>
      </c>
      <c r="E12" s="710">
        <v>0</v>
      </c>
      <c r="F12" s="740">
        <v>0</v>
      </c>
      <c r="G12" s="740">
        <v>0</v>
      </c>
      <c r="H12" s="710">
        <v>0</v>
      </c>
      <c r="I12" s="740">
        <v>0</v>
      </c>
      <c r="J12" s="740">
        <v>0</v>
      </c>
      <c r="K12" s="740">
        <v>0</v>
      </c>
      <c r="L12" s="740">
        <v>0</v>
      </c>
    </row>
    <row r="13" spans="1:12">
      <c r="A13" s="388">
        <v>7</v>
      </c>
      <c r="B13" s="401" t="s">
        <v>492</v>
      </c>
      <c r="C13" s="737"/>
      <c r="D13" s="710"/>
      <c r="E13" s="710"/>
      <c r="F13" s="740"/>
      <c r="G13" s="740"/>
      <c r="H13" s="710"/>
      <c r="I13" s="740"/>
      <c r="J13" s="740"/>
      <c r="K13" s="740"/>
      <c r="L13" s="740"/>
    </row>
    <row r="14" spans="1:12">
      <c r="A14" s="388">
        <v>8</v>
      </c>
      <c r="B14" s="401" t="s">
        <v>493</v>
      </c>
      <c r="C14" s="737">
        <v>3682821.1370999999</v>
      </c>
      <c r="D14" s="710">
        <v>2458782.9103999999</v>
      </c>
      <c r="E14" s="710">
        <v>0</v>
      </c>
      <c r="F14" s="740">
        <v>1224038.2267</v>
      </c>
      <c r="G14" s="740">
        <v>0</v>
      </c>
      <c r="H14" s="710">
        <v>145432.19620000001</v>
      </c>
      <c r="I14" s="740">
        <v>18120.850200000001</v>
      </c>
      <c r="J14" s="740">
        <v>0</v>
      </c>
      <c r="K14" s="740">
        <v>127311.34600000001</v>
      </c>
      <c r="L14" s="740">
        <v>0</v>
      </c>
    </row>
    <row r="15" spans="1:12">
      <c r="A15" s="388">
        <v>9</v>
      </c>
      <c r="B15" s="401" t="s">
        <v>494</v>
      </c>
      <c r="C15" s="737">
        <v>17670703.699999999</v>
      </c>
      <c r="D15" s="710">
        <v>17670703.699999999</v>
      </c>
      <c r="E15" s="710">
        <v>0</v>
      </c>
      <c r="F15" s="740">
        <v>0</v>
      </c>
      <c r="G15" s="740">
        <v>0</v>
      </c>
      <c r="H15" s="710">
        <v>140637.8971</v>
      </c>
      <c r="I15" s="740">
        <v>140637.8971</v>
      </c>
      <c r="J15" s="740">
        <v>0</v>
      </c>
      <c r="K15" s="740">
        <v>0</v>
      </c>
      <c r="L15" s="740">
        <v>0</v>
      </c>
    </row>
    <row r="16" spans="1:12">
      <c r="A16" s="388">
        <v>10</v>
      </c>
      <c r="B16" s="401" t="s">
        <v>495</v>
      </c>
      <c r="C16" s="737">
        <v>2759289.8476999998</v>
      </c>
      <c r="D16" s="710">
        <v>2759289.8476999998</v>
      </c>
      <c r="E16" s="710">
        <v>0</v>
      </c>
      <c r="F16" s="740">
        <v>0</v>
      </c>
      <c r="G16" s="740">
        <v>0</v>
      </c>
      <c r="H16" s="710">
        <v>6317.7782999999999</v>
      </c>
      <c r="I16" s="740">
        <v>6317.7782999999999</v>
      </c>
      <c r="J16" s="740">
        <v>0</v>
      </c>
      <c r="K16" s="740">
        <v>0</v>
      </c>
      <c r="L16" s="740">
        <v>0</v>
      </c>
    </row>
    <row r="17" spans="1:12">
      <c r="A17" s="388">
        <v>11</v>
      </c>
      <c r="B17" s="401" t="s">
        <v>496</v>
      </c>
      <c r="C17" s="737">
        <v>7371058.9041999998</v>
      </c>
      <c r="D17" s="710">
        <v>4406880.0599999996</v>
      </c>
      <c r="E17" s="710">
        <v>2964178.8442000002</v>
      </c>
      <c r="F17" s="740">
        <v>0</v>
      </c>
      <c r="G17" s="740">
        <v>0</v>
      </c>
      <c r="H17" s="710">
        <v>79397.285600000003</v>
      </c>
      <c r="I17" s="740">
        <v>19482.698700000001</v>
      </c>
      <c r="J17" s="740">
        <v>59914.586900000002</v>
      </c>
      <c r="K17" s="740">
        <v>0</v>
      </c>
      <c r="L17" s="740">
        <v>0</v>
      </c>
    </row>
    <row r="18" spans="1:12">
      <c r="A18" s="388">
        <v>12</v>
      </c>
      <c r="B18" s="401" t="s">
        <v>497</v>
      </c>
      <c r="C18" s="737">
        <v>16140069.1304</v>
      </c>
      <c r="D18" s="710">
        <v>16140069.1304</v>
      </c>
      <c r="E18" s="710">
        <v>0</v>
      </c>
      <c r="F18" s="740">
        <v>0</v>
      </c>
      <c r="G18" s="740">
        <v>0</v>
      </c>
      <c r="H18" s="710">
        <v>50697.394999999997</v>
      </c>
      <c r="I18" s="740">
        <v>50697.394999999997</v>
      </c>
      <c r="J18" s="740">
        <v>0</v>
      </c>
      <c r="K18" s="740">
        <v>0</v>
      </c>
      <c r="L18" s="740">
        <v>0</v>
      </c>
    </row>
    <row r="19" spans="1:12">
      <c r="A19" s="388">
        <v>13</v>
      </c>
      <c r="B19" s="401" t="s">
        <v>498</v>
      </c>
      <c r="C19" s="737">
        <v>496742.79269999999</v>
      </c>
      <c r="D19" s="710">
        <v>2203.5300000000002</v>
      </c>
      <c r="E19" s="710">
        <v>0</v>
      </c>
      <c r="F19" s="740">
        <v>494539.26270000002</v>
      </c>
      <c r="G19" s="740">
        <v>0</v>
      </c>
      <c r="H19" s="710">
        <v>48695.129300000001</v>
      </c>
      <c r="I19" s="740">
        <v>0</v>
      </c>
      <c r="J19" s="740">
        <v>0</v>
      </c>
      <c r="K19" s="740">
        <v>48695.129300000001</v>
      </c>
      <c r="L19" s="740">
        <v>0</v>
      </c>
    </row>
    <row r="20" spans="1:12">
      <c r="A20" s="388">
        <v>14</v>
      </c>
      <c r="B20" s="401" t="s">
        <v>499</v>
      </c>
      <c r="C20" s="737">
        <v>14458368.7696</v>
      </c>
      <c r="D20" s="710">
        <v>11017576.7919</v>
      </c>
      <c r="E20" s="710">
        <v>1107829.1410000001</v>
      </c>
      <c r="F20" s="740">
        <v>2332962.8366999999</v>
      </c>
      <c r="G20" s="740">
        <v>0</v>
      </c>
      <c r="H20" s="710">
        <v>424836.2476</v>
      </c>
      <c r="I20" s="740">
        <v>29253.868600000002</v>
      </c>
      <c r="J20" s="740">
        <v>184326.9265</v>
      </c>
      <c r="K20" s="740">
        <v>211255.45250000001</v>
      </c>
      <c r="L20" s="740">
        <v>0</v>
      </c>
    </row>
    <row r="21" spans="1:12">
      <c r="A21" s="388">
        <v>15</v>
      </c>
      <c r="B21" s="401" t="s">
        <v>500</v>
      </c>
      <c r="C21" s="737">
        <v>18704105.799800001</v>
      </c>
      <c r="D21" s="710">
        <v>9493173.3663999997</v>
      </c>
      <c r="E21" s="710">
        <v>0</v>
      </c>
      <c r="F21" s="740">
        <v>9210932.4333999995</v>
      </c>
      <c r="G21" s="740">
        <v>0</v>
      </c>
      <c r="H21" s="710">
        <v>1429967.1455000001</v>
      </c>
      <c r="I21" s="740">
        <v>44932.510300000002</v>
      </c>
      <c r="J21" s="740">
        <v>0</v>
      </c>
      <c r="K21" s="740">
        <v>1385034.6351999999</v>
      </c>
      <c r="L21" s="740">
        <v>0</v>
      </c>
    </row>
    <row r="22" spans="1:12">
      <c r="A22" s="388">
        <v>16</v>
      </c>
      <c r="B22" s="401" t="s">
        <v>501</v>
      </c>
      <c r="C22" s="737"/>
      <c r="D22" s="710"/>
      <c r="E22" s="710"/>
      <c r="F22" s="740"/>
      <c r="G22" s="740"/>
      <c r="H22" s="710"/>
      <c r="I22" s="740"/>
      <c r="J22" s="740"/>
      <c r="K22" s="740"/>
      <c r="L22" s="740"/>
    </row>
    <row r="23" spans="1:12">
      <c r="A23" s="388">
        <v>17</v>
      </c>
      <c r="B23" s="401" t="s">
        <v>502</v>
      </c>
      <c r="C23" s="737">
        <v>8720133.1251999997</v>
      </c>
      <c r="D23" s="710">
        <v>8720133.1251999997</v>
      </c>
      <c r="E23" s="710">
        <v>0</v>
      </c>
      <c r="F23" s="740">
        <v>0</v>
      </c>
      <c r="G23" s="740">
        <v>0</v>
      </c>
      <c r="H23" s="710">
        <v>23055.236099999998</v>
      </c>
      <c r="I23" s="740">
        <v>23055.236099999998</v>
      </c>
      <c r="J23" s="740">
        <v>0</v>
      </c>
      <c r="K23" s="740">
        <v>0</v>
      </c>
      <c r="L23" s="740">
        <v>0</v>
      </c>
    </row>
    <row r="24" spans="1:12">
      <c r="A24" s="388">
        <v>18</v>
      </c>
      <c r="B24" s="401" t="s">
        <v>503</v>
      </c>
      <c r="C24" s="737">
        <v>88451970.300600007</v>
      </c>
      <c r="D24" s="710">
        <v>88451970.300600007</v>
      </c>
      <c r="E24" s="710">
        <v>0</v>
      </c>
      <c r="F24" s="740">
        <v>0</v>
      </c>
      <c r="G24" s="740">
        <v>0</v>
      </c>
      <c r="H24" s="710">
        <v>673725.78559999994</v>
      </c>
      <c r="I24" s="740">
        <v>673725.78559999994</v>
      </c>
      <c r="J24" s="740">
        <v>0</v>
      </c>
      <c r="K24" s="740">
        <v>0</v>
      </c>
      <c r="L24" s="740">
        <v>0</v>
      </c>
    </row>
    <row r="25" spans="1:12">
      <c r="A25" s="388">
        <v>19</v>
      </c>
      <c r="B25" s="401" t="s">
        <v>504</v>
      </c>
      <c r="C25" s="737"/>
      <c r="D25" s="710"/>
      <c r="E25" s="710"/>
      <c r="F25" s="740"/>
      <c r="G25" s="740"/>
      <c r="H25" s="710"/>
      <c r="I25" s="740"/>
      <c r="J25" s="740"/>
      <c r="K25" s="740"/>
      <c r="L25" s="740"/>
    </row>
    <row r="26" spans="1:12">
      <c r="A26" s="388">
        <v>20</v>
      </c>
      <c r="B26" s="401" t="s">
        <v>505</v>
      </c>
      <c r="C26" s="737">
        <v>7969436.4689999996</v>
      </c>
      <c r="D26" s="710">
        <v>7969436.4689999996</v>
      </c>
      <c r="E26" s="710">
        <v>0</v>
      </c>
      <c r="F26" s="740">
        <v>0</v>
      </c>
      <c r="G26" s="740">
        <v>0</v>
      </c>
      <c r="H26" s="710">
        <v>165459.09719999999</v>
      </c>
      <c r="I26" s="740">
        <v>165459.09719999999</v>
      </c>
      <c r="J26" s="740">
        <v>0</v>
      </c>
      <c r="K26" s="740">
        <v>0</v>
      </c>
      <c r="L26" s="740">
        <v>0</v>
      </c>
    </row>
    <row r="27" spans="1:12">
      <c r="A27" s="388">
        <v>21</v>
      </c>
      <c r="B27" s="401" t="s">
        <v>506</v>
      </c>
      <c r="C27" s="737"/>
      <c r="D27" s="710"/>
      <c r="E27" s="710"/>
      <c r="F27" s="740"/>
      <c r="G27" s="740"/>
      <c r="H27" s="710"/>
      <c r="I27" s="740"/>
      <c r="J27" s="740"/>
      <c r="K27" s="740"/>
      <c r="L27" s="740"/>
    </row>
    <row r="28" spans="1:12">
      <c r="A28" s="388">
        <v>22</v>
      </c>
      <c r="B28" s="401" t="s">
        <v>507</v>
      </c>
      <c r="C28" s="737"/>
      <c r="D28" s="710"/>
      <c r="E28" s="710"/>
      <c r="F28" s="740"/>
      <c r="G28" s="740"/>
      <c r="H28" s="710"/>
      <c r="I28" s="740"/>
      <c r="J28" s="740"/>
      <c r="K28" s="740"/>
      <c r="L28" s="740"/>
    </row>
    <row r="29" spans="1:12">
      <c r="A29" s="388">
        <v>23</v>
      </c>
      <c r="B29" s="401" t="s">
        <v>508</v>
      </c>
      <c r="C29" s="737">
        <v>16686953.861300001</v>
      </c>
      <c r="D29" s="710">
        <v>14249686.588400001</v>
      </c>
      <c r="E29" s="710">
        <v>0</v>
      </c>
      <c r="F29" s="740">
        <v>2437267.2729000002</v>
      </c>
      <c r="G29" s="740">
        <v>0</v>
      </c>
      <c r="H29" s="710">
        <v>350141.63130000001</v>
      </c>
      <c r="I29" s="740">
        <v>37543.546600000001</v>
      </c>
      <c r="J29" s="740">
        <v>0</v>
      </c>
      <c r="K29" s="740">
        <v>312598.08470000001</v>
      </c>
      <c r="L29" s="740">
        <v>0</v>
      </c>
    </row>
    <row r="30" spans="1:12">
      <c r="A30" s="388">
        <v>24</v>
      </c>
      <c r="B30" s="401" t="s">
        <v>509</v>
      </c>
      <c r="C30" s="737">
        <v>12618930.3071</v>
      </c>
      <c r="D30" s="710">
        <v>1505681.47</v>
      </c>
      <c r="E30" s="710">
        <v>0</v>
      </c>
      <c r="F30" s="740">
        <v>8652158.7039999999</v>
      </c>
      <c r="G30" s="740">
        <v>2461090.1331000002</v>
      </c>
      <c r="H30" s="710">
        <v>4761234.8727000002</v>
      </c>
      <c r="I30" s="740">
        <v>24966.537899999999</v>
      </c>
      <c r="J30" s="740">
        <v>0</v>
      </c>
      <c r="K30" s="740">
        <v>3521919.3999000001</v>
      </c>
      <c r="L30" s="740">
        <v>1214348.9349</v>
      </c>
    </row>
    <row r="31" spans="1:12">
      <c r="A31" s="388">
        <v>25</v>
      </c>
      <c r="B31" s="401" t="s">
        <v>510</v>
      </c>
      <c r="C31" s="737">
        <v>505282.8824</v>
      </c>
      <c r="D31" s="710">
        <v>505282.8824</v>
      </c>
      <c r="E31" s="710">
        <v>0</v>
      </c>
      <c r="F31" s="740">
        <v>0</v>
      </c>
      <c r="G31" s="740">
        <v>0</v>
      </c>
      <c r="H31" s="710">
        <v>22.774000000000001</v>
      </c>
      <c r="I31" s="740">
        <v>22.774000000000001</v>
      </c>
      <c r="J31" s="740">
        <v>0</v>
      </c>
      <c r="K31" s="740">
        <v>0</v>
      </c>
      <c r="L31" s="740">
        <v>0</v>
      </c>
    </row>
    <row r="32" spans="1:12">
      <c r="A32" s="388">
        <v>26</v>
      </c>
      <c r="B32" s="401" t="s">
        <v>566</v>
      </c>
      <c r="C32" s="737">
        <v>31327.808300000001</v>
      </c>
      <c r="D32" s="710">
        <v>31327.808300000001</v>
      </c>
      <c r="E32" s="710">
        <v>0</v>
      </c>
      <c r="F32" s="740">
        <v>0</v>
      </c>
      <c r="G32" s="740">
        <v>0</v>
      </c>
      <c r="H32" s="710">
        <v>84.547799999999995</v>
      </c>
      <c r="I32" s="740">
        <v>84.547799999999995</v>
      </c>
      <c r="J32" s="740">
        <v>0</v>
      </c>
      <c r="K32" s="740">
        <v>0</v>
      </c>
      <c r="L32" s="740">
        <v>0</v>
      </c>
    </row>
    <row r="33" spans="1:12">
      <c r="A33" s="388">
        <v>27</v>
      </c>
      <c r="B33" s="444" t="s">
        <v>66</v>
      </c>
      <c r="C33" s="736">
        <f>SUM(C7:C32)</f>
        <v>398402624.26969993</v>
      </c>
      <c r="D33" s="736">
        <f t="shared" ref="D33:L33" si="0">SUM(D7:D32)</f>
        <v>360835659.08030003</v>
      </c>
      <c r="E33" s="736">
        <f t="shared" si="0"/>
        <v>6944604.1271000002</v>
      </c>
      <c r="F33" s="736">
        <f t="shared" si="0"/>
        <v>28161270.929199997</v>
      </c>
      <c r="G33" s="736">
        <f t="shared" si="0"/>
        <v>2461090.1331000002</v>
      </c>
      <c r="H33" s="736">
        <f t="shared" si="0"/>
        <v>11348753.984600231</v>
      </c>
      <c r="I33" s="736">
        <f t="shared" si="0"/>
        <v>1886353.9698002301</v>
      </c>
      <c r="J33" s="736">
        <f t="shared" si="0"/>
        <v>268622.35490000003</v>
      </c>
      <c r="K33" s="736">
        <f t="shared" si="0"/>
        <v>7979428.7249999996</v>
      </c>
      <c r="L33" s="736">
        <f t="shared" si="0"/>
        <v>1214348.9349</v>
      </c>
    </row>
    <row r="35" spans="1:12">
      <c r="B35" s="443"/>
      <c r="C35" s="741"/>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headerFooter>
    <oddFooter>&amp;C_x000D_&amp;1#&amp;"Calibri"&amp;10&amp;K000000 C1 - FOR INTERNAL USE ONLY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13"/>
  <sheetViews>
    <sheetView showGridLines="0" topLeftCell="D1" zoomScale="80" zoomScaleNormal="80" workbookViewId="0">
      <selection activeCell="I34" sqref="I34"/>
    </sheetView>
  </sheetViews>
  <sheetFormatPr defaultColWidth="8.77734375" defaultRowHeight="12"/>
  <cols>
    <col min="1" max="1" width="11.77734375" style="333" bestFit="1" customWidth="1"/>
    <col min="2" max="2" width="165.109375" style="333" customWidth="1"/>
    <col min="3" max="11" width="28.21875" style="333" customWidth="1"/>
    <col min="12" max="12" width="9.5546875" style="333" bestFit="1" customWidth="1"/>
    <col min="13" max="13" width="11.6640625" style="333" bestFit="1" customWidth="1"/>
    <col min="14" max="16384" width="8.77734375" style="333"/>
  </cols>
  <sheetData>
    <row r="1" spans="1:14" s="326" customFormat="1" ht="13.8">
      <c r="A1" s="325" t="s">
        <v>97</v>
      </c>
      <c r="B1" s="241" t="str">
        <f>Info!C2</f>
        <v>სს " პაშა ბანკი საქართველო"</v>
      </c>
      <c r="C1" s="398"/>
      <c r="D1" s="398"/>
      <c r="E1" s="398"/>
      <c r="F1" s="398"/>
      <c r="G1" s="398"/>
      <c r="H1" s="398"/>
      <c r="I1" s="398"/>
      <c r="J1" s="398"/>
      <c r="K1" s="398"/>
    </row>
    <row r="2" spans="1:14" s="326" customFormat="1">
      <c r="A2" s="325" t="s">
        <v>98</v>
      </c>
      <c r="B2" s="328">
        <f>'1. key ratios'!B2</f>
        <v>45747</v>
      </c>
      <c r="C2" s="398"/>
      <c r="D2" s="398"/>
      <c r="E2" s="398"/>
      <c r="F2" s="398"/>
      <c r="G2" s="398"/>
      <c r="H2" s="398"/>
      <c r="I2" s="398"/>
      <c r="J2" s="398"/>
      <c r="K2" s="398"/>
    </row>
    <row r="3" spans="1:14" s="326" customFormat="1">
      <c r="A3" s="327" t="s">
        <v>567</v>
      </c>
      <c r="B3" s="398"/>
      <c r="C3" s="398"/>
      <c r="D3" s="398"/>
      <c r="E3" s="398"/>
      <c r="F3" s="398"/>
      <c r="G3" s="398"/>
      <c r="H3" s="398"/>
      <c r="I3" s="398"/>
      <c r="J3" s="398"/>
      <c r="K3" s="398"/>
    </row>
    <row r="4" spans="1:14">
      <c r="A4" s="449"/>
      <c r="B4" s="449"/>
      <c r="C4" s="448" t="s">
        <v>471</v>
      </c>
      <c r="D4" s="448" t="s">
        <v>472</v>
      </c>
      <c r="E4" s="448" t="s">
        <v>473</v>
      </c>
      <c r="F4" s="448" t="s">
        <v>474</v>
      </c>
      <c r="G4" s="448" t="s">
        <v>475</v>
      </c>
      <c r="H4" s="448" t="s">
        <v>476</v>
      </c>
      <c r="I4" s="448" t="s">
        <v>477</v>
      </c>
      <c r="J4" s="448" t="s">
        <v>478</v>
      </c>
      <c r="K4" s="448" t="s">
        <v>479</v>
      </c>
    </row>
    <row r="5" spans="1:14" ht="103.95" customHeight="1">
      <c r="A5" s="885" t="s">
        <v>874</v>
      </c>
      <c r="B5" s="886"/>
      <c r="C5" s="447" t="s">
        <v>568</v>
      </c>
      <c r="D5" s="447" t="s">
        <v>561</v>
      </c>
      <c r="E5" s="447" t="s">
        <v>562</v>
      </c>
      <c r="F5" s="447" t="s">
        <v>873</v>
      </c>
      <c r="G5" s="447" t="s">
        <v>569</v>
      </c>
      <c r="H5" s="447" t="s">
        <v>570</v>
      </c>
      <c r="I5" s="447" t="s">
        <v>571</v>
      </c>
      <c r="J5" s="447" t="s">
        <v>572</v>
      </c>
      <c r="K5" s="447" t="s">
        <v>573</v>
      </c>
    </row>
    <row r="6" spans="1:14">
      <c r="A6" s="388">
        <v>1</v>
      </c>
      <c r="B6" s="388" t="s">
        <v>574</v>
      </c>
      <c r="C6" s="710">
        <v>46767169.670100003</v>
      </c>
      <c r="D6" s="710"/>
      <c r="E6" s="710">
        <v>539210.23140000005</v>
      </c>
      <c r="F6" s="710"/>
      <c r="G6" s="710">
        <v>192851043.20289999</v>
      </c>
      <c r="H6" s="710"/>
      <c r="I6" s="710">
        <v>65522474.972599998</v>
      </c>
      <c r="J6" s="710">
        <v>24529257.735800002</v>
      </c>
      <c r="K6" s="710">
        <v>31929641.716899998</v>
      </c>
    </row>
    <row r="7" spans="1:14">
      <c r="A7" s="388">
        <v>2</v>
      </c>
      <c r="B7" s="388" t="s">
        <v>575</v>
      </c>
      <c r="C7" s="710"/>
      <c r="D7" s="710"/>
      <c r="E7" s="710"/>
      <c r="F7" s="710"/>
      <c r="G7" s="710">
        <v>3165634.1771</v>
      </c>
      <c r="H7" s="710"/>
      <c r="I7" s="710">
        <v>40911532.490000002</v>
      </c>
      <c r="J7" s="710">
        <v>0</v>
      </c>
      <c r="K7" s="710">
        <f>32180454.9165-6909592.24</f>
        <v>25270862.6765</v>
      </c>
      <c r="L7" s="744"/>
      <c r="M7" s="745"/>
    </row>
    <row r="8" spans="1:14">
      <c r="A8" s="388">
        <v>3</v>
      </c>
      <c r="B8" s="388" t="s">
        <v>539</v>
      </c>
      <c r="C8" s="710">
        <v>1792891.1435</v>
      </c>
      <c r="D8" s="710"/>
      <c r="E8" s="710">
        <v>596.11500000000001</v>
      </c>
      <c r="F8" s="710"/>
      <c r="G8" s="710">
        <v>14211346.5426</v>
      </c>
      <c r="H8" s="710"/>
      <c r="I8" s="710">
        <v>9195577.8205999993</v>
      </c>
      <c r="J8" s="710">
        <v>10038592.1163</v>
      </c>
      <c r="K8" s="710">
        <v>43128932.190099999</v>
      </c>
      <c r="L8" s="744"/>
      <c r="M8" s="745"/>
      <c r="N8" s="745"/>
    </row>
    <row r="9" spans="1:14">
      <c r="A9" s="388">
        <v>4</v>
      </c>
      <c r="B9" s="405" t="s">
        <v>872</v>
      </c>
      <c r="C9" s="743"/>
      <c r="D9" s="743"/>
      <c r="E9" s="743"/>
      <c r="F9" s="743"/>
      <c r="G9" s="743">
        <v>28487537.2031</v>
      </c>
      <c r="H9" s="743"/>
      <c r="I9" s="743">
        <v>16.597799999999999</v>
      </c>
      <c r="J9" s="743">
        <v>114665.96709999999</v>
      </c>
      <c r="K9" s="743">
        <v>2020141.2943</v>
      </c>
    </row>
    <row r="10" spans="1:14">
      <c r="A10" s="388">
        <v>5</v>
      </c>
      <c r="B10" s="405" t="s">
        <v>871</v>
      </c>
      <c r="C10" s="743"/>
      <c r="D10" s="743"/>
      <c r="E10" s="743"/>
      <c r="F10" s="743"/>
      <c r="G10" s="743"/>
      <c r="H10" s="743"/>
      <c r="I10" s="743"/>
      <c r="J10" s="743"/>
      <c r="K10" s="743"/>
    </row>
    <row r="11" spans="1:14">
      <c r="A11" s="388">
        <v>6</v>
      </c>
      <c r="B11" s="405" t="s">
        <v>870</v>
      </c>
      <c r="C11" s="743"/>
      <c r="D11" s="743"/>
      <c r="E11" s="743"/>
      <c r="F11" s="743"/>
      <c r="G11" s="743">
        <v>0</v>
      </c>
      <c r="H11" s="743"/>
      <c r="I11" s="743">
        <v>0</v>
      </c>
      <c r="J11" s="743">
        <v>0</v>
      </c>
      <c r="K11" s="743">
        <v>0</v>
      </c>
    </row>
    <row r="13" spans="1:14" ht="13.8">
      <c r="B13" s="445"/>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headerFooter>
    <oddFooter>&amp;C_x000D_&amp;1#&amp;"Calibri"&amp;10&amp;K000000 C1 - FOR INTERNAL USE ONLY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0"/>
  <sheetViews>
    <sheetView showGridLines="0" zoomScale="80" zoomScaleNormal="80" workbookViewId="0">
      <selection activeCell="B2" sqref="B2"/>
    </sheetView>
  </sheetViews>
  <sheetFormatPr defaultColWidth="8.77734375" defaultRowHeight="14.4"/>
  <cols>
    <col min="1" max="1" width="10" style="450" bestFit="1" customWidth="1"/>
    <col min="2" max="2" width="71.77734375" style="450" customWidth="1"/>
    <col min="3" max="3" width="10.6640625" style="450" bestFit="1" customWidth="1"/>
    <col min="4" max="5" width="15.21875" style="450" bestFit="1" customWidth="1"/>
    <col min="6" max="6" width="20" style="450" bestFit="1" customWidth="1"/>
    <col min="7" max="7" width="37.6640625" style="450" bestFit="1" customWidth="1"/>
    <col min="8" max="8" width="10.6640625" style="450" bestFit="1" customWidth="1"/>
    <col min="9" max="10" width="15.21875" style="450" bestFit="1" customWidth="1"/>
    <col min="11" max="11" width="20" style="450" bestFit="1" customWidth="1"/>
    <col min="12" max="12" width="37.6640625" style="450" bestFit="1" customWidth="1"/>
    <col min="13" max="13" width="10.6640625" style="450" bestFit="1" customWidth="1"/>
    <col min="14" max="15" width="15.21875" style="450" bestFit="1" customWidth="1"/>
    <col min="16" max="16" width="20" style="450" bestFit="1" customWidth="1"/>
    <col min="17" max="17" width="37.6640625" style="450" bestFit="1" customWidth="1"/>
    <col min="18" max="18" width="18" style="450" bestFit="1" customWidth="1"/>
    <col min="19" max="19" width="48" style="450" bestFit="1" customWidth="1"/>
    <col min="20" max="20" width="45.77734375" style="450" bestFit="1" customWidth="1"/>
    <col min="21" max="21" width="48" style="450" bestFit="1" customWidth="1"/>
    <col min="22" max="22" width="44.33203125" style="450" bestFit="1" customWidth="1"/>
    <col min="23" max="16384" width="8.77734375" style="450"/>
  </cols>
  <sheetData>
    <row r="1" spans="1:22">
      <c r="A1" s="325" t="s">
        <v>97</v>
      </c>
      <c r="B1" s="241" t="str">
        <f>Info!C2</f>
        <v>სს " პაშა ბანკი საქართველო"</v>
      </c>
    </row>
    <row r="2" spans="1:22">
      <c r="A2" s="325" t="s">
        <v>98</v>
      </c>
      <c r="B2" s="328">
        <f>'1. key ratios'!B2</f>
        <v>45747</v>
      </c>
    </row>
    <row r="3" spans="1:22">
      <c r="A3" s="327" t="s">
        <v>657</v>
      </c>
      <c r="B3" s="398"/>
    </row>
    <row r="4" spans="1:22">
      <c r="A4" s="327"/>
      <c r="B4" s="398"/>
    </row>
    <row r="5" spans="1:22" ht="24" customHeight="1">
      <c r="A5" s="887" t="s">
        <v>684</v>
      </c>
      <c r="B5" s="887"/>
      <c r="C5" s="889" t="s">
        <v>876</v>
      </c>
      <c r="D5" s="889"/>
      <c r="E5" s="889"/>
      <c r="F5" s="889"/>
      <c r="G5" s="889"/>
      <c r="H5" s="889" t="s">
        <v>565</v>
      </c>
      <c r="I5" s="889"/>
      <c r="J5" s="889"/>
      <c r="K5" s="889"/>
      <c r="L5" s="889"/>
      <c r="M5" s="889" t="s">
        <v>875</v>
      </c>
      <c r="N5" s="889"/>
      <c r="O5" s="889"/>
      <c r="P5" s="889"/>
      <c r="Q5" s="889"/>
      <c r="R5" s="888" t="s">
        <v>683</v>
      </c>
      <c r="S5" s="888" t="s">
        <v>687</v>
      </c>
      <c r="T5" s="888" t="s">
        <v>686</v>
      </c>
      <c r="U5" s="888" t="s">
        <v>915</v>
      </c>
      <c r="V5" s="888" t="s">
        <v>916</v>
      </c>
    </row>
    <row r="6" spans="1:22" ht="36" customHeight="1">
      <c r="A6" s="887"/>
      <c r="B6" s="887"/>
      <c r="C6" s="460"/>
      <c r="D6" s="396" t="s">
        <v>860</v>
      </c>
      <c r="E6" s="396" t="s">
        <v>859</v>
      </c>
      <c r="F6" s="396" t="s">
        <v>858</v>
      </c>
      <c r="G6" s="396" t="s">
        <v>857</v>
      </c>
      <c r="H6" s="460"/>
      <c r="I6" s="396" t="s">
        <v>860</v>
      </c>
      <c r="J6" s="396" t="s">
        <v>859</v>
      </c>
      <c r="K6" s="396" t="s">
        <v>858</v>
      </c>
      <c r="L6" s="396" t="s">
        <v>857</v>
      </c>
      <c r="M6" s="460"/>
      <c r="N6" s="396" t="s">
        <v>860</v>
      </c>
      <c r="O6" s="396" t="s">
        <v>859</v>
      </c>
      <c r="P6" s="396" t="s">
        <v>858</v>
      </c>
      <c r="Q6" s="396" t="s">
        <v>857</v>
      </c>
      <c r="R6" s="888"/>
      <c r="S6" s="888"/>
      <c r="T6" s="888"/>
      <c r="U6" s="888"/>
      <c r="V6" s="888"/>
    </row>
    <row r="7" spans="1:22">
      <c r="A7" s="454">
        <v>1</v>
      </c>
      <c r="B7" s="459" t="s">
        <v>658</v>
      </c>
      <c r="C7" s="742"/>
      <c r="D7" s="446"/>
      <c r="E7" s="446"/>
      <c r="F7" s="446"/>
      <c r="G7" s="446"/>
      <c r="H7" s="446"/>
      <c r="I7" s="446"/>
      <c r="J7" s="446"/>
      <c r="K7" s="446"/>
      <c r="L7" s="446"/>
      <c r="M7" s="446"/>
      <c r="N7" s="446"/>
      <c r="O7" s="446"/>
      <c r="P7" s="446"/>
      <c r="Q7" s="446"/>
      <c r="R7" s="446">
        <v>0</v>
      </c>
      <c r="S7" s="747"/>
      <c r="T7" s="747"/>
      <c r="U7" s="747"/>
      <c r="V7" s="764"/>
    </row>
    <row r="8" spans="1:22">
      <c r="A8" s="454">
        <v>2</v>
      </c>
      <c r="B8" s="458" t="s">
        <v>659</v>
      </c>
      <c r="C8" s="742">
        <v>1087072.27</v>
      </c>
      <c r="D8" s="446">
        <v>1047584.37</v>
      </c>
      <c r="E8" s="446">
        <v>25940.69</v>
      </c>
      <c r="F8" s="446">
        <v>13547.21</v>
      </c>
      <c r="G8" s="446"/>
      <c r="H8" s="446">
        <v>1110787.048</v>
      </c>
      <c r="I8" s="446">
        <v>1071416.8791</v>
      </c>
      <c r="J8" s="446">
        <v>25632.41</v>
      </c>
      <c r="K8" s="446">
        <v>13737.758900000001</v>
      </c>
      <c r="L8" s="446"/>
      <c r="M8" s="446">
        <v>15712.7089</v>
      </c>
      <c r="N8" s="446">
        <v>2454.0286000000001</v>
      </c>
      <c r="O8" s="446">
        <v>2152.6774999999998</v>
      </c>
      <c r="P8" s="446">
        <v>11106.0028</v>
      </c>
      <c r="Q8" s="446"/>
      <c r="R8" s="446">
        <v>48</v>
      </c>
      <c r="S8" s="747">
        <v>8.8099999999999998E-2</v>
      </c>
      <c r="T8" s="747">
        <v>9.01E-2</v>
      </c>
      <c r="U8" s="747">
        <v>0.1103</v>
      </c>
      <c r="V8" s="764">
        <v>9.6963000000000008</v>
      </c>
    </row>
    <row r="9" spans="1:22">
      <c r="A9" s="454">
        <v>3</v>
      </c>
      <c r="B9" s="458" t="s">
        <v>660</v>
      </c>
      <c r="C9" s="742"/>
      <c r="D9" s="446"/>
      <c r="E9" s="446"/>
      <c r="F9" s="446"/>
      <c r="G9" s="446"/>
      <c r="H9" s="446"/>
      <c r="I9" s="446"/>
      <c r="J9" s="446"/>
      <c r="K9" s="446"/>
      <c r="L9" s="446"/>
      <c r="M9" s="446"/>
      <c r="N9" s="446"/>
      <c r="O9" s="446"/>
      <c r="P9" s="446"/>
      <c r="Q9" s="446"/>
      <c r="R9" s="446">
        <v>0</v>
      </c>
      <c r="S9" s="747"/>
      <c r="T9" s="747"/>
      <c r="U9" s="747"/>
      <c r="V9" s="764"/>
    </row>
    <row r="10" spans="1:22">
      <c r="A10" s="454">
        <v>4</v>
      </c>
      <c r="B10" s="458" t="s">
        <v>661</v>
      </c>
      <c r="C10" s="742"/>
      <c r="D10" s="446"/>
      <c r="E10" s="446"/>
      <c r="F10" s="446"/>
      <c r="G10" s="446"/>
      <c r="H10" s="446"/>
      <c r="I10" s="446"/>
      <c r="J10" s="446"/>
      <c r="K10" s="446"/>
      <c r="L10" s="446"/>
      <c r="M10" s="446"/>
      <c r="N10" s="446"/>
      <c r="O10" s="446"/>
      <c r="P10" s="446"/>
      <c r="Q10" s="446"/>
      <c r="R10" s="446">
        <v>0</v>
      </c>
      <c r="S10" s="747"/>
      <c r="T10" s="747"/>
      <c r="U10" s="747"/>
      <c r="V10" s="764"/>
    </row>
    <row r="11" spans="1:22">
      <c r="A11" s="454">
        <v>5</v>
      </c>
      <c r="B11" s="458" t="s">
        <v>662</v>
      </c>
      <c r="C11" s="742">
        <v>3874.6136000000001</v>
      </c>
      <c r="D11" s="446">
        <v>3874.6136000000001</v>
      </c>
      <c r="E11" s="446">
        <v>0</v>
      </c>
      <c r="F11" s="446">
        <v>0</v>
      </c>
      <c r="G11" s="446"/>
      <c r="H11" s="446">
        <v>3880.2736</v>
      </c>
      <c r="I11" s="446">
        <v>3880.2736</v>
      </c>
      <c r="J11" s="446">
        <v>0</v>
      </c>
      <c r="K11" s="446">
        <v>0</v>
      </c>
      <c r="L11" s="446"/>
      <c r="M11" s="446">
        <v>23.948699999999999</v>
      </c>
      <c r="N11" s="446">
        <v>23.948699999999999</v>
      </c>
      <c r="O11" s="446">
        <v>0</v>
      </c>
      <c r="P11" s="446">
        <v>0</v>
      </c>
      <c r="Q11" s="446"/>
      <c r="R11" s="446">
        <v>14</v>
      </c>
      <c r="S11" s="747">
        <v>0.1389</v>
      </c>
      <c r="T11" s="747">
        <v>0.14899999999999999</v>
      </c>
      <c r="U11" s="747">
        <v>0.1019</v>
      </c>
      <c r="V11" s="764">
        <v>0.51049999999999995</v>
      </c>
    </row>
    <row r="12" spans="1:22">
      <c r="A12" s="454">
        <v>6</v>
      </c>
      <c r="B12" s="458" t="s">
        <v>663</v>
      </c>
      <c r="C12" s="742"/>
      <c r="D12" s="446"/>
      <c r="E12" s="446"/>
      <c r="F12" s="446"/>
      <c r="G12" s="446"/>
      <c r="H12" s="446"/>
      <c r="I12" s="446"/>
      <c r="J12" s="446"/>
      <c r="K12" s="446"/>
      <c r="L12" s="446"/>
      <c r="M12" s="446"/>
      <c r="N12" s="446"/>
      <c r="O12" s="446"/>
      <c r="P12" s="446"/>
      <c r="Q12" s="446"/>
      <c r="R12" s="446">
        <v>0</v>
      </c>
      <c r="S12" s="747"/>
      <c r="T12" s="747"/>
      <c r="U12" s="747"/>
      <c r="V12" s="764"/>
    </row>
    <row r="13" spans="1:22">
      <c r="A13" s="454">
        <v>7</v>
      </c>
      <c r="B13" s="458" t="s">
        <v>664</v>
      </c>
      <c r="C13" s="742">
        <v>37406.839399999997</v>
      </c>
      <c r="D13" s="446">
        <v>0</v>
      </c>
      <c r="E13" s="446">
        <v>37406.839399999997</v>
      </c>
      <c r="F13" s="446">
        <v>0</v>
      </c>
      <c r="G13" s="446"/>
      <c r="H13" s="446">
        <v>37468.107400000001</v>
      </c>
      <c r="I13" s="446">
        <v>0</v>
      </c>
      <c r="J13" s="446">
        <v>37468.107400000001</v>
      </c>
      <c r="K13" s="446">
        <v>0</v>
      </c>
      <c r="L13" s="446"/>
      <c r="M13" s="446">
        <v>1124.6075000000001</v>
      </c>
      <c r="N13" s="446">
        <v>0</v>
      </c>
      <c r="O13" s="446">
        <v>1124.6075000000001</v>
      </c>
      <c r="P13" s="446">
        <v>0</v>
      </c>
      <c r="Q13" s="446"/>
      <c r="R13" s="446">
        <v>1</v>
      </c>
      <c r="S13" s="747"/>
      <c r="T13" s="747"/>
      <c r="U13" s="747">
        <v>9.6799999999999997E-2</v>
      </c>
      <c r="V13" s="764">
        <v>9</v>
      </c>
    </row>
    <row r="14" spans="1:22">
      <c r="A14" s="452">
        <v>7.1</v>
      </c>
      <c r="B14" s="451" t="s">
        <v>665</v>
      </c>
      <c r="C14" s="742">
        <v>37406.839399999997</v>
      </c>
      <c r="D14" s="446">
        <v>0</v>
      </c>
      <c r="E14" s="446">
        <v>37406.839399999997</v>
      </c>
      <c r="F14" s="446">
        <v>0</v>
      </c>
      <c r="G14" s="446"/>
      <c r="H14" s="446">
        <v>37468.107400000001</v>
      </c>
      <c r="I14" s="446">
        <v>0</v>
      </c>
      <c r="J14" s="446">
        <v>37468.107400000001</v>
      </c>
      <c r="K14" s="446">
        <v>0</v>
      </c>
      <c r="L14" s="446"/>
      <c r="M14" s="446">
        <v>1124.6075000000001</v>
      </c>
      <c r="N14" s="446">
        <v>0</v>
      </c>
      <c r="O14" s="446">
        <v>1124.6075000000001</v>
      </c>
      <c r="P14" s="446">
        <v>0</v>
      </c>
      <c r="Q14" s="446"/>
      <c r="R14" s="446">
        <v>1</v>
      </c>
      <c r="S14" s="747"/>
      <c r="T14" s="747"/>
      <c r="U14" s="747">
        <v>9.6799999999999997E-2</v>
      </c>
      <c r="V14" s="764">
        <v>9</v>
      </c>
    </row>
    <row r="15" spans="1:22" ht="24">
      <c r="A15" s="452">
        <v>7.2</v>
      </c>
      <c r="B15" s="451" t="s">
        <v>666</v>
      </c>
      <c r="C15" s="742"/>
      <c r="D15" s="446"/>
      <c r="E15" s="446"/>
      <c r="F15" s="446"/>
      <c r="G15" s="446"/>
      <c r="H15" s="446"/>
      <c r="I15" s="446"/>
      <c r="J15" s="446"/>
      <c r="K15" s="446"/>
      <c r="L15" s="446"/>
      <c r="M15" s="446"/>
      <c r="N15" s="446"/>
      <c r="O15" s="446"/>
      <c r="P15" s="446"/>
      <c r="Q15" s="446"/>
      <c r="R15" s="446">
        <v>0</v>
      </c>
      <c r="S15" s="747"/>
      <c r="T15" s="747"/>
      <c r="U15" s="747"/>
      <c r="V15" s="764"/>
    </row>
    <row r="16" spans="1:22">
      <c r="A16" s="452">
        <v>7.3</v>
      </c>
      <c r="B16" s="451" t="s">
        <v>667</v>
      </c>
      <c r="C16" s="742"/>
      <c r="D16" s="446"/>
      <c r="E16" s="446"/>
      <c r="F16" s="446"/>
      <c r="G16" s="446"/>
      <c r="H16" s="446"/>
      <c r="I16" s="446"/>
      <c r="J16" s="446"/>
      <c r="K16" s="446"/>
      <c r="L16" s="446"/>
      <c r="M16" s="446"/>
      <c r="N16" s="446"/>
      <c r="O16" s="446"/>
      <c r="P16" s="446"/>
      <c r="Q16" s="446"/>
      <c r="R16" s="446">
        <v>0</v>
      </c>
      <c r="S16" s="747"/>
      <c r="T16" s="747"/>
      <c r="U16" s="747"/>
      <c r="V16" s="764"/>
    </row>
    <row r="17" spans="1:22">
      <c r="A17" s="454">
        <v>8</v>
      </c>
      <c r="B17" s="458" t="s">
        <v>668</v>
      </c>
      <c r="C17" s="742"/>
      <c r="D17" s="446"/>
      <c r="E17" s="446"/>
      <c r="F17" s="446"/>
      <c r="G17" s="446"/>
      <c r="H17" s="446"/>
      <c r="I17" s="446"/>
      <c r="J17" s="446"/>
      <c r="K17" s="446"/>
      <c r="L17" s="446"/>
      <c r="M17" s="446"/>
      <c r="N17" s="446"/>
      <c r="O17" s="446"/>
      <c r="P17" s="446"/>
      <c r="Q17" s="446"/>
      <c r="R17" s="446">
        <v>0</v>
      </c>
      <c r="S17" s="747"/>
      <c r="T17" s="747"/>
      <c r="U17" s="747"/>
      <c r="V17" s="764"/>
    </row>
    <row r="18" spans="1:22">
      <c r="A18" s="457">
        <v>9</v>
      </c>
      <c r="B18" s="456" t="s">
        <v>669</v>
      </c>
      <c r="C18" s="746"/>
      <c r="D18" s="455"/>
      <c r="E18" s="455"/>
      <c r="F18" s="455"/>
      <c r="G18" s="455"/>
      <c r="H18" s="455"/>
      <c r="I18" s="455"/>
      <c r="J18" s="455"/>
      <c r="K18" s="455"/>
      <c r="L18" s="455"/>
      <c r="M18" s="455"/>
      <c r="N18" s="455"/>
      <c r="O18" s="455"/>
      <c r="P18" s="455"/>
      <c r="Q18" s="455"/>
      <c r="R18" s="455">
        <v>0</v>
      </c>
      <c r="S18" s="748"/>
      <c r="T18" s="748"/>
      <c r="U18" s="748"/>
      <c r="V18" s="765"/>
    </row>
    <row r="19" spans="1:22">
      <c r="A19" s="454">
        <v>10</v>
      </c>
      <c r="B19" s="453" t="s">
        <v>685</v>
      </c>
      <c r="C19" s="742">
        <v>1128353.723</v>
      </c>
      <c r="D19" s="446">
        <v>1051458.9835999999</v>
      </c>
      <c r="E19" s="446">
        <v>63347.529399999999</v>
      </c>
      <c r="F19" s="446">
        <v>13547.21</v>
      </c>
      <c r="G19" s="446"/>
      <c r="H19" s="446">
        <v>1152135.429</v>
      </c>
      <c r="I19" s="446">
        <v>1075297.1527</v>
      </c>
      <c r="J19" s="446">
        <v>63100.517399999997</v>
      </c>
      <c r="K19" s="446">
        <v>13737.758900000001</v>
      </c>
      <c r="L19" s="446"/>
      <c r="M19" s="446">
        <v>16861.265100000001</v>
      </c>
      <c r="N19" s="446">
        <v>2477.9773</v>
      </c>
      <c r="O19" s="446">
        <v>3277.2849999999999</v>
      </c>
      <c r="P19" s="446">
        <v>11106.0028</v>
      </c>
      <c r="Q19" s="446"/>
      <c r="R19" s="446">
        <v>63</v>
      </c>
      <c r="S19" s="747">
        <v>0.11990000000000001</v>
      </c>
      <c r="T19" s="747">
        <v>0.127</v>
      </c>
      <c r="U19" s="747">
        <v>0.10979999999999999</v>
      </c>
      <c r="V19" s="764">
        <v>9.6417000000000002</v>
      </c>
    </row>
    <row r="20" spans="1:22" ht="24">
      <c r="A20" s="452">
        <v>10.1</v>
      </c>
      <c r="B20" s="451" t="s">
        <v>688</v>
      </c>
      <c r="C20" s="446"/>
      <c r="D20" s="446"/>
      <c r="E20" s="446"/>
      <c r="F20" s="446"/>
      <c r="G20" s="446"/>
      <c r="H20" s="446"/>
      <c r="I20" s="446"/>
      <c r="J20" s="446"/>
      <c r="K20" s="446"/>
      <c r="L20" s="446"/>
      <c r="M20" s="446"/>
      <c r="N20" s="446"/>
      <c r="O20" s="446"/>
      <c r="P20" s="446"/>
      <c r="Q20" s="446"/>
      <c r="R20" s="446">
        <v>0</v>
      </c>
      <c r="S20" s="446"/>
      <c r="T20" s="446"/>
      <c r="U20" s="446"/>
      <c r="V20" s="76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Footer>&amp;C_x000D_&amp;1#&amp;"Calibri"&amp;10&amp;K000000 C1 - FOR INTERNAL USE ONLY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73" sqref="B73:C73"/>
    </sheetView>
  </sheetViews>
  <sheetFormatPr defaultColWidth="43.5546875" defaultRowHeight="12"/>
  <cols>
    <col min="1" max="1" width="8" style="126" customWidth="1"/>
    <col min="2" max="2" width="66.21875" style="127" customWidth="1"/>
    <col min="3" max="3" width="131.44140625" style="128" customWidth="1"/>
    <col min="4" max="5" width="10.21875" style="119" customWidth="1"/>
    <col min="6" max="6" width="67.6640625" style="119" customWidth="1"/>
    <col min="7" max="16384" width="43.5546875" style="119"/>
  </cols>
  <sheetData>
    <row r="1" spans="1:3" ht="13.2" thickTop="1" thickBot="1">
      <c r="A1" s="890" t="s">
        <v>176</v>
      </c>
      <c r="B1" s="891"/>
      <c r="C1" s="892"/>
    </row>
    <row r="2" spans="1:3" ht="26.25" customHeight="1">
      <c r="A2" s="334"/>
      <c r="B2" s="893" t="s">
        <v>177</v>
      </c>
      <c r="C2" s="893"/>
    </row>
    <row r="3" spans="1:3" s="124" customFormat="1" ht="11.25" customHeight="1">
      <c r="A3" s="123"/>
      <c r="B3" s="893" t="s">
        <v>251</v>
      </c>
      <c r="C3" s="893"/>
    </row>
    <row r="4" spans="1:3" ht="12" customHeight="1" thickBot="1">
      <c r="A4" s="894" t="s">
        <v>255</v>
      </c>
      <c r="B4" s="895"/>
      <c r="C4" s="896"/>
    </row>
    <row r="5" spans="1:3" ht="12.6" thickTop="1">
      <c r="A5" s="120"/>
      <c r="B5" s="897" t="s">
        <v>178</v>
      </c>
      <c r="C5" s="898"/>
    </row>
    <row r="6" spans="1:3">
      <c r="A6" s="334"/>
      <c r="B6" s="899" t="s">
        <v>252</v>
      </c>
      <c r="C6" s="900"/>
    </row>
    <row r="7" spans="1:3">
      <c r="A7" s="334"/>
      <c r="B7" s="899" t="s">
        <v>179</v>
      </c>
      <c r="C7" s="900"/>
    </row>
    <row r="8" spans="1:3">
      <c r="A8" s="334"/>
      <c r="B8" s="899" t="s">
        <v>253</v>
      </c>
      <c r="C8" s="900"/>
    </row>
    <row r="9" spans="1:3">
      <c r="A9" s="334"/>
      <c r="B9" s="905" t="s">
        <v>254</v>
      </c>
      <c r="C9" s="906"/>
    </row>
    <row r="10" spans="1:3">
      <c r="A10" s="334"/>
      <c r="B10" s="903" t="s">
        <v>180</v>
      </c>
      <c r="C10" s="904" t="s">
        <v>180</v>
      </c>
    </row>
    <row r="11" spans="1:3">
      <c r="A11" s="334"/>
      <c r="B11" s="903" t="s">
        <v>181</v>
      </c>
      <c r="C11" s="904" t="s">
        <v>181</v>
      </c>
    </row>
    <row r="12" spans="1:3">
      <c r="A12" s="334"/>
      <c r="B12" s="903" t="s">
        <v>182</v>
      </c>
      <c r="C12" s="904" t="s">
        <v>182</v>
      </c>
    </row>
    <row r="13" spans="1:3">
      <c r="A13" s="334"/>
      <c r="B13" s="903" t="s">
        <v>183</v>
      </c>
      <c r="C13" s="904" t="s">
        <v>183</v>
      </c>
    </row>
    <row r="14" spans="1:3">
      <c r="A14" s="334"/>
      <c r="B14" s="903" t="s">
        <v>184</v>
      </c>
      <c r="C14" s="904" t="s">
        <v>184</v>
      </c>
    </row>
    <row r="15" spans="1:3" ht="21.75" customHeight="1">
      <c r="A15" s="334"/>
      <c r="B15" s="903" t="s">
        <v>185</v>
      </c>
      <c r="C15" s="904" t="s">
        <v>185</v>
      </c>
    </row>
    <row r="16" spans="1:3">
      <c r="A16" s="334"/>
      <c r="B16" s="903" t="s">
        <v>186</v>
      </c>
      <c r="C16" s="904" t="s">
        <v>187</v>
      </c>
    </row>
    <row r="17" spans="1:6">
      <c r="A17" s="334"/>
      <c r="B17" s="903" t="s">
        <v>188</v>
      </c>
      <c r="C17" s="904" t="s">
        <v>189</v>
      </c>
    </row>
    <row r="18" spans="1:6">
      <c r="A18" s="334"/>
      <c r="B18" s="903" t="s">
        <v>190</v>
      </c>
      <c r="C18" s="904" t="s">
        <v>191</v>
      </c>
    </row>
    <row r="19" spans="1:6">
      <c r="A19" s="541"/>
      <c r="B19" s="901" t="s">
        <v>192</v>
      </c>
      <c r="C19" s="902" t="s">
        <v>192</v>
      </c>
    </row>
    <row r="20" spans="1:6">
      <c r="A20" s="541"/>
      <c r="B20" s="901" t="s">
        <v>918</v>
      </c>
      <c r="C20" s="902" t="s">
        <v>193</v>
      </c>
    </row>
    <row r="21" spans="1:6">
      <c r="A21" s="334"/>
      <c r="B21" s="901" t="s">
        <v>961</v>
      </c>
      <c r="C21" s="902" t="s">
        <v>194</v>
      </c>
    </row>
    <row r="22" spans="1:6" ht="23.25" customHeight="1">
      <c r="A22" s="334"/>
      <c r="B22" s="903" t="s">
        <v>195</v>
      </c>
      <c r="C22" s="904" t="s">
        <v>196</v>
      </c>
      <c r="F22" s="505"/>
    </row>
    <row r="23" spans="1:6">
      <c r="A23" s="334"/>
      <c r="B23" s="903" t="s">
        <v>197</v>
      </c>
      <c r="C23" s="904" t="s">
        <v>197</v>
      </c>
    </row>
    <row r="24" spans="1:6">
      <c r="A24" s="334"/>
      <c r="B24" s="903" t="s">
        <v>198</v>
      </c>
      <c r="C24" s="904" t="s">
        <v>199</v>
      </c>
    </row>
    <row r="25" spans="1:6" ht="12.6" thickBot="1">
      <c r="A25" s="121"/>
      <c r="B25" s="912" t="s">
        <v>200</v>
      </c>
      <c r="C25" s="913"/>
    </row>
    <row r="26" spans="1:6" ht="13.2" thickTop="1" thickBot="1">
      <c r="A26" s="894" t="s">
        <v>812</v>
      </c>
      <c r="B26" s="895"/>
      <c r="C26" s="896"/>
    </row>
    <row r="27" spans="1:6" ht="13.2" thickTop="1" thickBot="1">
      <c r="A27" s="122"/>
      <c r="B27" s="914" t="s">
        <v>813</v>
      </c>
      <c r="C27" s="915"/>
    </row>
    <row r="28" spans="1:6" ht="13.2" thickTop="1" thickBot="1">
      <c r="A28" s="894" t="s">
        <v>256</v>
      </c>
      <c r="B28" s="895"/>
      <c r="C28" s="896"/>
    </row>
    <row r="29" spans="1:6" ht="12.6" thickTop="1">
      <c r="A29" s="120"/>
      <c r="B29" s="916" t="s">
        <v>816</v>
      </c>
      <c r="C29" s="917" t="s">
        <v>201</v>
      </c>
    </row>
    <row r="30" spans="1:6">
      <c r="A30" s="334"/>
      <c r="B30" s="907" t="s">
        <v>205</v>
      </c>
      <c r="C30" s="908" t="s">
        <v>202</v>
      </c>
    </row>
    <row r="31" spans="1:6">
      <c r="A31" s="334"/>
      <c r="B31" s="907" t="s">
        <v>814</v>
      </c>
      <c r="C31" s="908" t="s">
        <v>203</v>
      </c>
    </row>
    <row r="32" spans="1:6">
      <c r="A32" s="334"/>
      <c r="B32" s="907" t="s">
        <v>815</v>
      </c>
      <c r="C32" s="908" t="s">
        <v>204</v>
      </c>
    </row>
    <row r="33" spans="1:3">
      <c r="A33" s="334"/>
      <c r="B33" s="907" t="s">
        <v>208</v>
      </c>
      <c r="C33" s="908" t="s">
        <v>209</v>
      </c>
    </row>
    <row r="34" spans="1:3">
      <c r="A34" s="334"/>
      <c r="B34" s="907" t="s">
        <v>817</v>
      </c>
      <c r="C34" s="908" t="s">
        <v>206</v>
      </c>
    </row>
    <row r="35" spans="1:3">
      <c r="A35" s="334"/>
      <c r="B35" s="907" t="s">
        <v>818</v>
      </c>
      <c r="C35" s="908" t="s">
        <v>207</v>
      </c>
    </row>
    <row r="36" spans="1:3">
      <c r="A36" s="334"/>
      <c r="B36" s="909" t="s">
        <v>819</v>
      </c>
      <c r="C36" s="910"/>
    </row>
    <row r="37" spans="1:3" ht="24.75" customHeight="1">
      <c r="A37" s="334"/>
      <c r="B37" s="907" t="s">
        <v>820</v>
      </c>
      <c r="C37" s="908" t="s">
        <v>210</v>
      </c>
    </row>
    <row r="38" spans="1:3" ht="23.25" customHeight="1">
      <c r="A38" s="334"/>
      <c r="B38" s="907" t="s">
        <v>821</v>
      </c>
      <c r="C38" s="908" t="s">
        <v>211</v>
      </c>
    </row>
    <row r="39" spans="1:3" ht="23.25" customHeight="1">
      <c r="A39" s="368"/>
      <c r="B39" s="909" t="s">
        <v>822</v>
      </c>
      <c r="C39" s="911"/>
    </row>
    <row r="40" spans="1:3" ht="12" customHeight="1">
      <c r="A40" s="334"/>
      <c r="B40" s="907" t="s">
        <v>823</v>
      </c>
      <c r="C40" s="908"/>
    </row>
    <row r="41" spans="1:3" ht="12.6" thickBot="1">
      <c r="A41" s="894" t="s">
        <v>257</v>
      </c>
      <c r="B41" s="895"/>
      <c r="C41" s="896"/>
    </row>
    <row r="42" spans="1:3" ht="12.6" thickTop="1">
      <c r="A42" s="120"/>
      <c r="B42" s="897" t="s">
        <v>287</v>
      </c>
      <c r="C42" s="898" t="s">
        <v>212</v>
      </c>
    </row>
    <row r="43" spans="1:3">
      <c r="A43" s="334"/>
      <c r="B43" s="899" t="s">
        <v>286</v>
      </c>
      <c r="C43" s="900"/>
    </row>
    <row r="44" spans="1:3" ht="23.25" customHeight="1" thickBot="1">
      <c r="A44" s="121"/>
      <c r="B44" s="918" t="s">
        <v>213</v>
      </c>
      <c r="C44" s="919" t="s">
        <v>214</v>
      </c>
    </row>
    <row r="45" spans="1:3" ht="11.25" customHeight="1" thickTop="1" thickBot="1">
      <c r="A45" s="894" t="s">
        <v>258</v>
      </c>
      <c r="B45" s="895"/>
      <c r="C45" s="896"/>
    </row>
    <row r="46" spans="1:3" ht="26.25" customHeight="1" thickTop="1">
      <c r="A46" s="334"/>
      <c r="B46" s="899" t="s">
        <v>259</v>
      </c>
      <c r="C46" s="900"/>
    </row>
    <row r="47" spans="1:3" ht="12.6" thickBot="1">
      <c r="A47" s="894" t="s">
        <v>260</v>
      </c>
      <c r="B47" s="895"/>
      <c r="C47" s="896"/>
    </row>
    <row r="48" spans="1:3" ht="12.6" thickTop="1">
      <c r="A48" s="120"/>
      <c r="B48" s="897" t="s">
        <v>215</v>
      </c>
      <c r="C48" s="898" t="s">
        <v>215</v>
      </c>
    </row>
    <row r="49" spans="1:3" ht="11.25" customHeight="1">
      <c r="A49" s="334"/>
      <c r="B49" s="899" t="s">
        <v>216</v>
      </c>
      <c r="C49" s="900" t="s">
        <v>216</v>
      </c>
    </row>
    <row r="50" spans="1:3">
      <c r="A50" s="334"/>
      <c r="B50" s="899" t="s">
        <v>217</v>
      </c>
      <c r="C50" s="900" t="s">
        <v>217</v>
      </c>
    </row>
    <row r="51" spans="1:3" ht="11.25" customHeight="1">
      <c r="A51" s="334"/>
      <c r="B51" s="899" t="s">
        <v>825</v>
      </c>
      <c r="C51" s="900" t="s">
        <v>218</v>
      </c>
    </row>
    <row r="52" spans="1:3" ht="33.6" customHeight="1">
      <c r="A52" s="334"/>
      <c r="B52" s="899" t="s">
        <v>219</v>
      </c>
      <c r="C52" s="900" t="s">
        <v>219</v>
      </c>
    </row>
    <row r="53" spans="1:3" ht="11.25" customHeight="1">
      <c r="A53" s="334"/>
      <c r="B53" s="899" t="s">
        <v>307</v>
      </c>
      <c r="C53" s="900" t="s">
        <v>220</v>
      </c>
    </row>
    <row r="54" spans="1:3" ht="11.25" customHeight="1" thickBot="1">
      <c r="A54" s="894" t="s">
        <v>261</v>
      </c>
      <c r="B54" s="895"/>
      <c r="C54" s="896"/>
    </row>
    <row r="55" spans="1:3" ht="12.6" thickTop="1">
      <c r="A55" s="120"/>
      <c r="B55" s="897" t="s">
        <v>215</v>
      </c>
      <c r="C55" s="898" t="s">
        <v>215</v>
      </c>
    </row>
    <row r="56" spans="1:3">
      <c r="A56" s="334"/>
      <c r="B56" s="899" t="s">
        <v>221</v>
      </c>
      <c r="C56" s="900" t="s">
        <v>221</v>
      </c>
    </row>
    <row r="57" spans="1:3">
      <c r="A57" s="334"/>
      <c r="B57" s="899" t="s">
        <v>264</v>
      </c>
      <c r="C57" s="900" t="s">
        <v>222</v>
      </c>
    </row>
    <row r="58" spans="1:3">
      <c r="A58" s="334"/>
      <c r="B58" s="899" t="s">
        <v>223</v>
      </c>
      <c r="C58" s="900" t="s">
        <v>223</v>
      </c>
    </row>
    <row r="59" spans="1:3">
      <c r="A59" s="334"/>
      <c r="B59" s="899" t="s">
        <v>224</v>
      </c>
      <c r="C59" s="900" t="s">
        <v>224</v>
      </c>
    </row>
    <row r="60" spans="1:3">
      <c r="A60" s="334"/>
      <c r="B60" s="899" t="s">
        <v>225</v>
      </c>
      <c r="C60" s="900" t="s">
        <v>225</v>
      </c>
    </row>
    <row r="61" spans="1:3">
      <c r="A61" s="334"/>
      <c r="B61" s="899" t="s">
        <v>265</v>
      </c>
      <c r="C61" s="900" t="s">
        <v>226</v>
      </c>
    </row>
    <row r="62" spans="1:3" ht="12" customHeight="1">
      <c r="A62" s="334"/>
      <c r="B62" s="924" t="s">
        <v>998</v>
      </c>
      <c r="C62" s="925" t="s">
        <v>227</v>
      </c>
    </row>
    <row r="63" spans="1:3" ht="22.5" customHeight="1" thickBot="1">
      <c r="A63" s="121"/>
      <c r="B63" s="918" t="s">
        <v>228</v>
      </c>
      <c r="C63" s="919" t="s">
        <v>228</v>
      </c>
    </row>
    <row r="64" spans="1:3" ht="11.25" customHeight="1" thickTop="1">
      <c r="A64" s="926" t="s">
        <v>262</v>
      </c>
      <c r="B64" s="927"/>
      <c r="C64" s="928"/>
    </row>
    <row r="65" spans="1:3" ht="12.6" thickBot="1">
      <c r="A65" s="121"/>
      <c r="B65" s="918" t="s">
        <v>229</v>
      </c>
      <c r="C65" s="919" t="s">
        <v>229</v>
      </c>
    </row>
    <row r="66" spans="1:3" ht="11.25" customHeight="1" thickTop="1">
      <c r="A66" s="926" t="s">
        <v>951</v>
      </c>
      <c r="B66" s="927"/>
      <c r="C66" s="928"/>
    </row>
    <row r="67" spans="1:3" ht="12.6" thickBot="1">
      <c r="A67" s="121"/>
      <c r="B67" s="918" t="s">
        <v>950</v>
      </c>
      <c r="C67" s="919"/>
    </row>
    <row r="68" spans="1:3" ht="11.25" customHeight="1" thickTop="1" thickBot="1">
      <c r="A68" s="894" t="s">
        <v>263</v>
      </c>
      <c r="B68" s="895"/>
      <c r="C68" s="896"/>
    </row>
    <row r="69" spans="1:3" ht="12.6" thickTop="1">
      <c r="A69" s="120"/>
      <c r="B69" s="897" t="s">
        <v>230</v>
      </c>
      <c r="C69" s="898" t="s">
        <v>230</v>
      </c>
    </row>
    <row r="70" spans="1:3">
      <c r="A70" s="334"/>
      <c r="B70" s="899" t="s">
        <v>827</v>
      </c>
      <c r="C70" s="900" t="s">
        <v>231</v>
      </c>
    </row>
    <row r="71" spans="1:3">
      <c r="A71" s="334"/>
      <c r="B71" s="899" t="s">
        <v>232</v>
      </c>
      <c r="C71" s="900" t="s">
        <v>232</v>
      </c>
    </row>
    <row r="72" spans="1:3" ht="55.05" customHeight="1">
      <c r="A72" s="334"/>
      <c r="B72" s="920" t="s">
        <v>962</v>
      </c>
      <c r="C72" s="921" t="s">
        <v>233</v>
      </c>
    </row>
    <row r="73" spans="1:3" ht="33.75" customHeight="1">
      <c r="A73" s="334"/>
      <c r="B73" s="922" t="s">
        <v>266</v>
      </c>
      <c r="C73" s="923" t="s">
        <v>234</v>
      </c>
    </row>
    <row r="74" spans="1:3" ht="15.75" customHeight="1">
      <c r="A74" s="334"/>
      <c r="B74" s="922" t="s">
        <v>828</v>
      </c>
      <c r="C74" s="923" t="s">
        <v>235</v>
      </c>
    </row>
    <row r="75" spans="1:3">
      <c r="A75" s="334"/>
      <c r="B75" s="899" t="s">
        <v>236</v>
      </c>
      <c r="C75" s="900" t="s">
        <v>236</v>
      </c>
    </row>
    <row r="76" spans="1:3" ht="12.6" thickBot="1">
      <c r="A76" s="121"/>
      <c r="B76" s="918" t="s">
        <v>237</v>
      </c>
      <c r="C76" s="919" t="s">
        <v>237</v>
      </c>
    </row>
    <row r="77" spans="1:3" ht="12.6" thickTop="1">
      <c r="A77" s="926" t="s">
        <v>290</v>
      </c>
      <c r="B77" s="927"/>
      <c r="C77" s="928"/>
    </row>
    <row r="78" spans="1:3">
      <c r="A78" s="334"/>
      <c r="B78" s="899" t="s">
        <v>229</v>
      </c>
      <c r="C78" s="900"/>
    </row>
    <row r="79" spans="1:3">
      <c r="A79" s="334"/>
      <c r="B79" s="899" t="s">
        <v>288</v>
      </c>
      <c r="C79" s="900"/>
    </row>
    <row r="80" spans="1:3">
      <c r="A80" s="334"/>
      <c r="B80" s="899" t="s">
        <v>289</v>
      </c>
      <c r="C80" s="900"/>
    </row>
    <row r="81" spans="1:3">
      <c r="A81" s="926" t="s">
        <v>291</v>
      </c>
      <c r="B81" s="927"/>
      <c r="C81" s="928"/>
    </row>
    <row r="82" spans="1:3">
      <c r="A82" s="334"/>
      <c r="B82" s="899" t="s">
        <v>229</v>
      </c>
      <c r="C82" s="900"/>
    </row>
    <row r="83" spans="1:3">
      <c r="A83" s="334"/>
      <c r="B83" s="899" t="s">
        <v>292</v>
      </c>
      <c r="C83" s="900"/>
    </row>
    <row r="84" spans="1:3" ht="79.5" customHeight="1">
      <c r="A84" s="334"/>
      <c r="B84" s="899" t="s">
        <v>306</v>
      </c>
      <c r="C84" s="900"/>
    </row>
    <row r="85" spans="1:3" ht="53.25" customHeight="1">
      <c r="A85" s="334"/>
      <c r="B85" s="899" t="s">
        <v>305</v>
      </c>
      <c r="C85" s="900"/>
    </row>
    <row r="86" spans="1:3">
      <c r="A86" s="334"/>
      <c r="B86" s="899" t="s">
        <v>293</v>
      </c>
      <c r="C86" s="900"/>
    </row>
    <row r="87" spans="1:3">
      <c r="A87" s="334"/>
      <c r="B87" s="899" t="s">
        <v>294</v>
      </c>
      <c r="C87" s="900"/>
    </row>
    <row r="88" spans="1:3">
      <c r="A88" s="334"/>
      <c r="B88" s="899" t="s">
        <v>295</v>
      </c>
      <c r="C88" s="900"/>
    </row>
    <row r="89" spans="1:3">
      <c r="A89" s="926" t="s">
        <v>296</v>
      </c>
      <c r="B89" s="927"/>
      <c r="C89" s="928"/>
    </row>
    <row r="90" spans="1:3">
      <c r="A90" s="334"/>
      <c r="B90" s="899" t="s">
        <v>229</v>
      </c>
      <c r="C90" s="900"/>
    </row>
    <row r="91" spans="1:3">
      <c r="A91" s="334"/>
      <c r="B91" s="899" t="s">
        <v>298</v>
      </c>
      <c r="C91" s="900"/>
    </row>
    <row r="92" spans="1:3" ht="12" customHeight="1">
      <c r="A92" s="334"/>
      <c r="B92" s="899" t="s">
        <v>299</v>
      </c>
      <c r="C92" s="900"/>
    </row>
    <row r="93" spans="1:3">
      <c r="A93" s="334"/>
      <c r="B93" s="899" t="s">
        <v>300</v>
      </c>
      <c r="C93" s="900"/>
    </row>
    <row r="94" spans="1:3" ht="24.75" customHeight="1">
      <c r="A94" s="334"/>
      <c r="B94" s="907" t="s">
        <v>336</v>
      </c>
      <c r="C94" s="908"/>
    </row>
    <row r="95" spans="1:3" ht="24" customHeight="1">
      <c r="A95" s="334"/>
      <c r="B95" s="907" t="s">
        <v>337</v>
      </c>
      <c r="C95" s="908"/>
    </row>
    <row r="96" spans="1:3" ht="13.5" customHeight="1">
      <c r="A96" s="334"/>
      <c r="B96" s="907" t="s">
        <v>301</v>
      </c>
      <c r="C96" s="908"/>
    </row>
    <row r="97" spans="1:3" ht="11.25" customHeight="1" thickBot="1">
      <c r="A97" s="929" t="s">
        <v>332</v>
      </c>
      <c r="B97" s="930"/>
      <c r="C97" s="931"/>
    </row>
    <row r="98" spans="1:3" ht="13.2" thickTop="1" thickBot="1">
      <c r="A98" s="938" t="s">
        <v>238</v>
      </c>
      <c r="B98" s="938"/>
      <c r="C98" s="938"/>
    </row>
    <row r="99" spans="1:3">
      <c r="A99" s="187">
        <v>2</v>
      </c>
      <c r="B99" s="322" t="s">
        <v>312</v>
      </c>
      <c r="C99" s="322" t="s">
        <v>333</v>
      </c>
    </row>
    <row r="100" spans="1:3">
      <c r="A100" s="125">
        <v>3</v>
      </c>
      <c r="B100" s="323" t="s">
        <v>313</v>
      </c>
      <c r="C100" s="324" t="s">
        <v>334</v>
      </c>
    </row>
    <row r="101" spans="1:3">
      <c r="A101" s="125">
        <v>4</v>
      </c>
      <c r="B101" s="323" t="s">
        <v>314</v>
      </c>
      <c r="C101" s="324" t="s">
        <v>338</v>
      </c>
    </row>
    <row r="102" spans="1:3" ht="11.25" customHeight="1">
      <c r="A102" s="125">
        <v>5</v>
      </c>
      <c r="B102" s="323" t="s">
        <v>315</v>
      </c>
      <c r="C102" s="324" t="s">
        <v>335</v>
      </c>
    </row>
    <row r="103" spans="1:3" ht="12" customHeight="1">
      <c r="A103" s="125">
        <v>6</v>
      </c>
      <c r="B103" s="323" t="s">
        <v>330</v>
      </c>
      <c r="C103" s="324" t="s">
        <v>316</v>
      </c>
    </row>
    <row r="104" spans="1:3" ht="12" customHeight="1">
      <c r="A104" s="125">
        <v>7</v>
      </c>
      <c r="B104" s="323" t="s">
        <v>317</v>
      </c>
      <c r="C104" s="324" t="s">
        <v>331</v>
      </c>
    </row>
    <row r="105" spans="1:3">
      <c r="A105" s="125">
        <v>8</v>
      </c>
      <c r="B105" s="323" t="s">
        <v>322</v>
      </c>
      <c r="C105" s="324" t="s">
        <v>342</v>
      </c>
    </row>
    <row r="106" spans="1:3" ht="11.25" customHeight="1">
      <c r="A106" s="926" t="s">
        <v>302</v>
      </c>
      <c r="B106" s="927"/>
      <c r="C106" s="928"/>
    </row>
    <row r="107" spans="1:3" ht="12" customHeight="1">
      <c r="A107" s="334"/>
      <c r="B107" s="924" t="s">
        <v>999</v>
      </c>
      <c r="C107" s="925"/>
    </row>
    <row r="108" spans="1:3">
      <c r="A108" s="926" t="s">
        <v>458</v>
      </c>
      <c r="B108" s="927"/>
      <c r="C108" s="928"/>
    </row>
    <row r="109" spans="1:3" ht="12" customHeight="1">
      <c r="A109" s="334"/>
      <c r="B109" s="899" t="s">
        <v>460</v>
      </c>
      <c r="C109" s="900"/>
    </row>
    <row r="110" spans="1:3">
      <c r="A110" s="334"/>
      <c r="B110" s="899" t="s">
        <v>461</v>
      </c>
      <c r="C110" s="900"/>
    </row>
    <row r="111" spans="1:3">
      <c r="A111" s="334"/>
      <c r="B111" s="899" t="s">
        <v>459</v>
      </c>
      <c r="C111" s="900"/>
    </row>
    <row r="112" spans="1:3">
      <c r="A112" s="932" t="s">
        <v>692</v>
      </c>
      <c r="B112" s="932"/>
      <c r="C112" s="932"/>
    </row>
    <row r="113" spans="1:3">
      <c r="A113" s="933" t="s">
        <v>176</v>
      </c>
      <c r="B113" s="933"/>
      <c r="C113" s="933"/>
    </row>
    <row r="114" spans="1:3">
      <c r="A114" s="488">
        <v>1</v>
      </c>
      <c r="B114" s="934" t="s">
        <v>576</v>
      </c>
      <c r="C114" s="935"/>
    </row>
    <row r="115" spans="1:3">
      <c r="A115" s="488">
        <v>2</v>
      </c>
      <c r="B115" s="936" t="s">
        <v>577</v>
      </c>
      <c r="C115" s="937"/>
    </row>
    <row r="116" spans="1:3">
      <c r="A116" s="488">
        <v>3</v>
      </c>
      <c r="B116" s="934" t="s">
        <v>902</v>
      </c>
      <c r="C116" s="935"/>
    </row>
    <row r="117" spans="1:3">
      <c r="A117" s="488">
        <v>4</v>
      </c>
      <c r="B117" s="934" t="s">
        <v>901</v>
      </c>
      <c r="C117" s="935"/>
    </row>
    <row r="118" spans="1:3">
      <c r="A118" s="488">
        <v>5</v>
      </c>
      <c r="B118" s="492" t="s">
        <v>900</v>
      </c>
      <c r="C118" s="491"/>
    </row>
    <row r="119" spans="1:3">
      <c r="A119" s="488">
        <v>6</v>
      </c>
      <c r="B119" s="946" t="s">
        <v>968</v>
      </c>
      <c r="C119" s="947"/>
    </row>
    <row r="120" spans="1:3" ht="48.45" customHeight="1">
      <c r="A120" s="488">
        <v>7</v>
      </c>
      <c r="B120" s="946" t="s">
        <v>969</v>
      </c>
      <c r="C120" s="947"/>
    </row>
    <row r="121" spans="1:3">
      <c r="A121" s="466">
        <v>8</v>
      </c>
      <c r="B121" s="461" t="s">
        <v>603</v>
      </c>
      <c r="C121" s="485" t="s">
        <v>899</v>
      </c>
    </row>
    <row r="122" spans="1:3" ht="24">
      <c r="A122" s="488">
        <v>9.01</v>
      </c>
      <c r="B122" s="461" t="s">
        <v>487</v>
      </c>
      <c r="C122" s="462" t="s">
        <v>652</v>
      </c>
    </row>
    <row r="123" spans="1:3" ht="36">
      <c r="A123" s="488">
        <v>9.02</v>
      </c>
      <c r="B123" s="461" t="s">
        <v>488</v>
      </c>
      <c r="C123" s="462" t="s">
        <v>655</v>
      </c>
    </row>
    <row r="124" spans="1:3">
      <c r="A124" s="488">
        <v>9.0299999999999994</v>
      </c>
      <c r="B124" s="462" t="s">
        <v>836</v>
      </c>
      <c r="C124" s="462" t="s">
        <v>578</v>
      </c>
    </row>
    <row r="125" spans="1:3">
      <c r="A125" s="488">
        <v>9.0399999999999991</v>
      </c>
      <c r="B125" s="461" t="s">
        <v>489</v>
      </c>
      <c r="C125" s="462" t="s">
        <v>579</v>
      </c>
    </row>
    <row r="126" spans="1:3">
      <c r="A126" s="488">
        <v>9.0500000000000007</v>
      </c>
      <c r="B126" s="461" t="s">
        <v>490</v>
      </c>
      <c r="C126" s="462" t="s">
        <v>580</v>
      </c>
    </row>
    <row r="127" spans="1:3" ht="24">
      <c r="A127" s="488">
        <v>9.06</v>
      </c>
      <c r="B127" s="461" t="s">
        <v>491</v>
      </c>
      <c r="C127" s="462" t="s">
        <v>581</v>
      </c>
    </row>
    <row r="128" spans="1:3">
      <c r="A128" s="488">
        <v>9.07</v>
      </c>
      <c r="B128" s="490" t="s">
        <v>492</v>
      </c>
      <c r="C128" s="462" t="s">
        <v>582</v>
      </c>
    </row>
    <row r="129" spans="1:3" ht="24">
      <c r="A129" s="488">
        <v>9.08</v>
      </c>
      <c r="B129" s="461" t="s">
        <v>493</v>
      </c>
      <c r="C129" s="462" t="s">
        <v>583</v>
      </c>
    </row>
    <row r="130" spans="1:3" ht="24">
      <c r="A130" s="488">
        <v>9.09</v>
      </c>
      <c r="B130" s="461" t="s">
        <v>494</v>
      </c>
      <c r="C130" s="462" t="s">
        <v>584</v>
      </c>
    </row>
    <row r="131" spans="1:3">
      <c r="A131" s="489">
        <v>9.1</v>
      </c>
      <c r="B131" s="461" t="s">
        <v>495</v>
      </c>
      <c r="C131" s="462" t="s">
        <v>585</v>
      </c>
    </row>
    <row r="132" spans="1:3">
      <c r="A132" s="488">
        <v>9.11</v>
      </c>
      <c r="B132" s="461" t="s">
        <v>496</v>
      </c>
      <c r="C132" s="462" t="s">
        <v>586</v>
      </c>
    </row>
    <row r="133" spans="1:3">
      <c r="A133" s="488">
        <v>9.1199999999999992</v>
      </c>
      <c r="B133" s="461" t="s">
        <v>497</v>
      </c>
      <c r="C133" s="462" t="s">
        <v>587</v>
      </c>
    </row>
    <row r="134" spans="1:3">
      <c r="A134" s="488">
        <v>9.1300000000000008</v>
      </c>
      <c r="B134" s="461" t="s">
        <v>498</v>
      </c>
      <c r="C134" s="462" t="s">
        <v>588</v>
      </c>
    </row>
    <row r="135" spans="1:3">
      <c r="A135" s="488">
        <v>9.14</v>
      </c>
      <c r="B135" s="461" t="s">
        <v>499</v>
      </c>
      <c r="C135" s="462" t="s">
        <v>589</v>
      </c>
    </row>
    <row r="136" spans="1:3">
      <c r="A136" s="488">
        <v>9.15</v>
      </c>
      <c r="B136" s="461" t="s">
        <v>500</v>
      </c>
      <c r="C136" s="462" t="s">
        <v>590</v>
      </c>
    </row>
    <row r="137" spans="1:3">
      <c r="A137" s="488">
        <v>9.16</v>
      </c>
      <c r="B137" s="461" t="s">
        <v>501</v>
      </c>
      <c r="C137" s="462" t="s">
        <v>591</v>
      </c>
    </row>
    <row r="138" spans="1:3">
      <c r="A138" s="488">
        <v>9.17</v>
      </c>
      <c r="B138" s="462" t="s">
        <v>502</v>
      </c>
      <c r="C138" s="462" t="s">
        <v>592</v>
      </c>
    </row>
    <row r="139" spans="1:3" ht="24">
      <c r="A139" s="488">
        <v>9.18</v>
      </c>
      <c r="B139" s="461" t="s">
        <v>503</v>
      </c>
      <c r="C139" s="462" t="s">
        <v>593</v>
      </c>
    </row>
    <row r="140" spans="1:3">
      <c r="A140" s="488">
        <v>9.19</v>
      </c>
      <c r="B140" s="461" t="s">
        <v>504</v>
      </c>
      <c r="C140" s="462" t="s">
        <v>594</v>
      </c>
    </row>
    <row r="141" spans="1:3">
      <c r="A141" s="489">
        <v>9.1999999999999993</v>
      </c>
      <c r="B141" s="461" t="s">
        <v>505</v>
      </c>
      <c r="C141" s="462" t="s">
        <v>595</v>
      </c>
    </row>
    <row r="142" spans="1:3">
      <c r="A142" s="488">
        <v>9.2100000000000009</v>
      </c>
      <c r="B142" s="461" t="s">
        <v>506</v>
      </c>
      <c r="C142" s="462" t="s">
        <v>596</v>
      </c>
    </row>
    <row r="143" spans="1:3">
      <c r="A143" s="488">
        <v>9.2200000000000006</v>
      </c>
      <c r="B143" s="461" t="s">
        <v>507</v>
      </c>
      <c r="C143" s="462" t="s">
        <v>597</v>
      </c>
    </row>
    <row r="144" spans="1:3" ht="24">
      <c r="A144" s="488">
        <v>9.23</v>
      </c>
      <c r="B144" s="461" t="s">
        <v>508</v>
      </c>
      <c r="C144" s="462" t="s">
        <v>598</v>
      </c>
    </row>
    <row r="145" spans="1:3" ht="24">
      <c r="A145" s="488">
        <v>9.24</v>
      </c>
      <c r="B145" s="461" t="s">
        <v>509</v>
      </c>
      <c r="C145" s="462" t="s">
        <v>599</v>
      </c>
    </row>
    <row r="146" spans="1:3">
      <c r="A146" s="488">
        <v>9.2500000000000107</v>
      </c>
      <c r="B146" s="461" t="s">
        <v>510</v>
      </c>
      <c r="C146" s="462" t="s">
        <v>600</v>
      </c>
    </row>
    <row r="147" spans="1:3" ht="24">
      <c r="A147" s="488">
        <v>9.2600000000000193</v>
      </c>
      <c r="B147" s="461" t="s">
        <v>601</v>
      </c>
      <c r="C147" s="487" t="s">
        <v>602</v>
      </c>
    </row>
    <row r="148" spans="1:3" s="335" customFormat="1" ht="24">
      <c r="A148" s="488">
        <v>9.2700000000000298</v>
      </c>
      <c r="B148" s="461" t="s">
        <v>88</v>
      </c>
      <c r="C148" s="487" t="s">
        <v>653</v>
      </c>
    </row>
    <row r="149" spans="1:3" s="335" customFormat="1">
      <c r="A149" s="467"/>
      <c r="B149" s="940" t="s">
        <v>604</v>
      </c>
      <c r="C149" s="941"/>
    </row>
    <row r="150" spans="1:3" s="335" customFormat="1">
      <c r="A150" s="466">
        <v>1</v>
      </c>
      <c r="B150" s="924" t="s">
        <v>898</v>
      </c>
      <c r="C150" s="925"/>
    </row>
    <row r="151" spans="1:3" s="335" customFormat="1">
      <c r="A151" s="466">
        <v>2</v>
      </c>
      <c r="B151" s="924" t="s">
        <v>654</v>
      </c>
      <c r="C151" s="925"/>
    </row>
    <row r="152" spans="1:3" s="335" customFormat="1">
      <c r="A152" s="466">
        <v>3</v>
      </c>
      <c r="B152" s="924" t="s">
        <v>651</v>
      </c>
      <c r="C152" s="925"/>
    </row>
    <row r="153" spans="1:3" s="335" customFormat="1">
      <c r="A153" s="467"/>
      <c r="B153" s="940" t="s">
        <v>605</v>
      </c>
      <c r="C153" s="941"/>
    </row>
    <row r="154" spans="1:3" s="335" customFormat="1">
      <c r="A154" s="466">
        <v>1</v>
      </c>
      <c r="B154" s="943" t="s">
        <v>897</v>
      </c>
      <c r="C154" s="948"/>
    </row>
    <row r="155" spans="1:3" s="335" customFormat="1">
      <c r="A155" s="466">
        <v>2</v>
      </c>
      <c r="B155" s="461" t="s">
        <v>834</v>
      </c>
      <c r="C155" s="542" t="s">
        <v>963</v>
      </c>
    </row>
    <row r="156" spans="1:3" ht="24">
      <c r="A156" s="466">
        <v>3</v>
      </c>
      <c r="B156" s="461" t="s">
        <v>833</v>
      </c>
      <c r="C156" s="485" t="s">
        <v>896</v>
      </c>
    </row>
    <row r="157" spans="1:3">
      <c r="A157" s="466">
        <v>4</v>
      </c>
      <c r="B157" s="461" t="s">
        <v>480</v>
      </c>
      <c r="C157" s="461" t="s">
        <v>914</v>
      </c>
    </row>
    <row r="158" spans="1:3" ht="25.05" customHeight="1">
      <c r="A158" s="467"/>
      <c r="B158" s="940" t="s">
        <v>606</v>
      </c>
      <c r="C158" s="941"/>
    </row>
    <row r="159" spans="1:3" ht="36">
      <c r="A159" s="466"/>
      <c r="B159" s="461" t="s">
        <v>885</v>
      </c>
      <c r="C159" s="543" t="s">
        <v>964</v>
      </c>
    </row>
    <row r="160" spans="1:3">
      <c r="A160" s="467"/>
      <c r="B160" s="940" t="s">
        <v>607</v>
      </c>
      <c r="C160" s="941"/>
    </row>
    <row r="161" spans="1:3" ht="39" customHeight="1">
      <c r="A161" s="467"/>
      <c r="B161" s="924" t="s">
        <v>895</v>
      </c>
      <c r="C161" s="925"/>
    </row>
    <row r="162" spans="1:3">
      <c r="A162" s="467" t="s">
        <v>608</v>
      </c>
      <c r="B162" s="486" t="s">
        <v>518</v>
      </c>
      <c r="C162" s="478" t="s">
        <v>609</v>
      </c>
    </row>
    <row r="163" spans="1:3">
      <c r="A163" s="467" t="s">
        <v>357</v>
      </c>
      <c r="B163" s="483" t="s">
        <v>519</v>
      </c>
      <c r="C163" s="485" t="s">
        <v>894</v>
      </c>
    </row>
    <row r="164" spans="1:3" ht="24">
      <c r="A164" s="467" t="s">
        <v>364</v>
      </c>
      <c r="B164" s="478" t="s">
        <v>520</v>
      </c>
      <c r="C164" s="485" t="s">
        <v>610</v>
      </c>
    </row>
    <row r="165" spans="1:3">
      <c r="A165" s="467" t="s">
        <v>611</v>
      </c>
      <c r="B165" s="483" t="s">
        <v>521</v>
      </c>
      <c r="C165" s="484" t="s">
        <v>612</v>
      </c>
    </row>
    <row r="166" spans="1:3" ht="24">
      <c r="A166" s="467" t="s">
        <v>613</v>
      </c>
      <c r="B166" s="483" t="s">
        <v>849</v>
      </c>
      <c r="C166" s="477" t="s">
        <v>893</v>
      </c>
    </row>
    <row r="167" spans="1:3" ht="24">
      <c r="A167" s="467" t="s">
        <v>365</v>
      </c>
      <c r="B167" s="483" t="s">
        <v>522</v>
      </c>
      <c r="C167" s="477" t="s">
        <v>615</v>
      </c>
    </row>
    <row r="168" spans="1:3" ht="24">
      <c r="A168" s="467" t="s">
        <v>614</v>
      </c>
      <c r="B168" s="481" t="s">
        <v>525</v>
      </c>
      <c r="C168" s="482" t="s">
        <v>622</v>
      </c>
    </row>
    <row r="169" spans="1:3" ht="24">
      <c r="A169" s="467" t="s">
        <v>616</v>
      </c>
      <c r="B169" s="481" t="s">
        <v>523</v>
      </c>
      <c r="C169" s="477" t="s">
        <v>618</v>
      </c>
    </row>
    <row r="170" spans="1:3" ht="26.55" customHeight="1">
      <c r="A170" s="467" t="s">
        <v>617</v>
      </c>
      <c r="B170" s="481" t="s">
        <v>524</v>
      </c>
      <c r="C170" s="482" t="s">
        <v>620</v>
      </c>
    </row>
    <row r="171" spans="1:3" ht="24">
      <c r="A171" s="467" t="s">
        <v>619</v>
      </c>
      <c r="B171" s="462" t="s">
        <v>526</v>
      </c>
      <c r="C171" s="482" t="s">
        <v>624</v>
      </c>
    </row>
    <row r="172" spans="1:3" ht="24">
      <c r="A172" s="467" t="s">
        <v>621</v>
      </c>
      <c r="B172" s="481" t="s">
        <v>527</v>
      </c>
      <c r="C172" s="480" t="s">
        <v>625</v>
      </c>
    </row>
    <row r="173" spans="1:3">
      <c r="A173" s="467" t="s">
        <v>623</v>
      </c>
      <c r="B173" s="479" t="s">
        <v>528</v>
      </c>
      <c r="C173" s="478" t="s">
        <v>626</v>
      </c>
    </row>
    <row r="174" spans="1:3" ht="24">
      <c r="A174" s="467"/>
      <c r="B174" s="477" t="s">
        <v>892</v>
      </c>
      <c r="C174" s="462" t="s">
        <v>627</v>
      </c>
    </row>
    <row r="175" spans="1:3" ht="24">
      <c r="A175" s="467"/>
      <c r="B175" s="477" t="s">
        <v>891</v>
      </c>
      <c r="C175" s="462" t="s">
        <v>628</v>
      </c>
    </row>
    <row r="176" spans="1:3" ht="24">
      <c r="A176" s="467"/>
      <c r="B176" s="477" t="s">
        <v>890</v>
      </c>
      <c r="C176" s="462" t="s">
        <v>629</v>
      </c>
    </row>
    <row r="177" spans="1:3">
      <c r="A177" s="467"/>
      <c r="B177" s="940" t="s">
        <v>630</v>
      </c>
      <c r="C177" s="941"/>
    </row>
    <row r="178" spans="1:3">
      <c r="A178" s="467"/>
      <c r="B178" s="924" t="s">
        <v>889</v>
      </c>
      <c r="C178" s="925"/>
    </row>
    <row r="179" spans="1:3">
      <c r="A179" s="466">
        <v>1</v>
      </c>
      <c r="B179" s="462" t="s">
        <v>532</v>
      </c>
      <c r="C179" s="462" t="s">
        <v>532</v>
      </c>
    </row>
    <row r="180" spans="1:3" ht="24">
      <c r="A180" s="466">
        <v>2</v>
      </c>
      <c r="B180" s="462" t="s">
        <v>631</v>
      </c>
      <c r="C180" s="462" t="s">
        <v>632</v>
      </c>
    </row>
    <row r="181" spans="1:3">
      <c r="A181" s="466">
        <v>3</v>
      </c>
      <c r="B181" s="462" t="s">
        <v>534</v>
      </c>
      <c r="C181" s="462" t="s">
        <v>633</v>
      </c>
    </row>
    <row r="182" spans="1:3" ht="24">
      <c r="A182" s="466">
        <v>4</v>
      </c>
      <c r="B182" s="462" t="s">
        <v>535</v>
      </c>
      <c r="C182" s="462" t="s">
        <v>634</v>
      </c>
    </row>
    <row r="183" spans="1:3" ht="24">
      <c r="A183" s="466">
        <v>5</v>
      </c>
      <c r="B183" s="462" t="s">
        <v>536</v>
      </c>
      <c r="C183" s="462" t="s">
        <v>656</v>
      </c>
    </row>
    <row r="184" spans="1:3" ht="48">
      <c r="A184" s="466">
        <v>6</v>
      </c>
      <c r="B184" s="462" t="s">
        <v>537</v>
      </c>
      <c r="C184" s="462" t="s">
        <v>635</v>
      </c>
    </row>
    <row r="185" spans="1:3">
      <c r="A185" s="467"/>
      <c r="B185" s="940" t="s">
        <v>636</v>
      </c>
      <c r="C185" s="941"/>
    </row>
    <row r="186" spans="1:3">
      <c r="A186" s="467"/>
      <c r="B186" s="942" t="s">
        <v>888</v>
      </c>
      <c r="C186" s="943"/>
    </row>
    <row r="187" spans="1:3" ht="24">
      <c r="A187" s="467">
        <v>1.1000000000000001</v>
      </c>
      <c r="B187" s="476" t="s">
        <v>542</v>
      </c>
      <c r="C187" s="462" t="s">
        <v>637</v>
      </c>
    </row>
    <row r="188" spans="1:3" ht="49.95" customHeight="1">
      <c r="A188" s="467" t="s">
        <v>146</v>
      </c>
      <c r="B188" s="463" t="s">
        <v>543</v>
      </c>
      <c r="C188" s="462" t="s">
        <v>638</v>
      </c>
    </row>
    <row r="189" spans="1:3">
      <c r="A189" s="467" t="s">
        <v>544</v>
      </c>
      <c r="B189" s="475" t="s">
        <v>545</v>
      </c>
      <c r="C189" s="944" t="s">
        <v>887</v>
      </c>
    </row>
    <row r="190" spans="1:3">
      <c r="A190" s="467" t="s">
        <v>546</v>
      </c>
      <c r="B190" s="475" t="s">
        <v>547</v>
      </c>
      <c r="C190" s="944"/>
    </row>
    <row r="191" spans="1:3">
      <c r="A191" s="467" t="s">
        <v>548</v>
      </c>
      <c r="B191" s="475" t="s">
        <v>549</v>
      </c>
      <c r="C191" s="944"/>
    </row>
    <row r="192" spans="1:3">
      <c r="A192" s="467" t="s">
        <v>550</v>
      </c>
      <c r="B192" s="475" t="s">
        <v>551</v>
      </c>
      <c r="C192" s="944"/>
    </row>
    <row r="193" spans="1:4" ht="25.5" customHeight="1">
      <c r="A193" s="467">
        <v>1.2</v>
      </c>
      <c r="B193" s="474" t="s">
        <v>863</v>
      </c>
      <c r="C193" s="544" t="s">
        <v>965</v>
      </c>
    </row>
    <row r="194" spans="1:4" ht="24">
      <c r="A194" s="467" t="s">
        <v>553</v>
      </c>
      <c r="B194" s="469" t="s">
        <v>554</v>
      </c>
      <c r="C194" s="472" t="s">
        <v>639</v>
      </c>
    </row>
    <row r="195" spans="1:4" ht="24">
      <c r="A195" s="467" t="s">
        <v>555</v>
      </c>
      <c r="B195" s="473" t="s">
        <v>556</v>
      </c>
      <c r="C195" s="472" t="s">
        <v>640</v>
      </c>
    </row>
    <row r="196" spans="1:4" ht="25.95" customHeight="1">
      <c r="A196" s="467" t="s">
        <v>557</v>
      </c>
      <c r="B196" s="471" t="s">
        <v>558</v>
      </c>
      <c r="C196" s="461" t="s">
        <v>641</v>
      </c>
    </row>
    <row r="197" spans="1:4" ht="24">
      <c r="A197" s="467" t="s">
        <v>559</v>
      </c>
      <c r="B197" s="470" t="s">
        <v>560</v>
      </c>
      <c r="C197" s="461" t="s">
        <v>642</v>
      </c>
      <c r="D197" s="336"/>
    </row>
    <row r="198" spans="1:4" ht="12.6">
      <c r="A198" s="467">
        <v>1.4</v>
      </c>
      <c r="B198" s="469" t="s">
        <v>649</v>
      </c>
      <c r="C198" s="468" t="s">
        <v>643</v>
      </c>
      <c r="D198" s="337"/>
    </row>
    <row r="199" spans="1:4" ht="12.6">
      <c r="A199" s="467">
        <v>1.5</v>
      </c>
      <c r="B199" s="469" t="s">
        <v>650</v>
      </c>
      <c r="C199" s="468" t="s">
        <v>643</v>
      </c>
      <c r="D199" s="338"/>
    </row>
    <row r="200" spans="1:4" ht="12.6">
      <c r="A200" s="467"/>
      <c r="B200" s="932" t="s">
        <v>644</v>
      </c>
      <c r="C200" s="932"/>
      <c r="D200" s="338"/>
    </row>
    <row r="201" spans="1:4" ht="12.6">
      <c r="A201" s="467"/>
      <c r="B201" s="942" t="s">
        <v>886</v>
      </c>
      <c r="C201" s="942"/>
      <c r="D201" s="338"/>
    </row>
    <row r="202" spans="1:4" ht="12.6">
      <c r="A202" s="466"/>
      <c r="B202" s="461" t="s">
        <v>885</v>
      </c>
      <c r="C202" s="543" t="s">
        <v>963</v>
      </c>
      <c r="D202" s="338"/>
    </row>
    <row r="203" spans="1:4" ht="12.6">
      <c r="A203" s="467"/>
      <c r="B203" s="932" t="s">
        <v>645</v>
      </c>
      <c r="C203" s="932"/>
      <c r="D203" s="339"/>
    </row>
    <row r="204" spans="1:4" ht="12.6">
      <c r="A204" s="466"/>
      <c r="B204" s="942" t="s">
        <v>884</v>
      </c>
      <c r="C204" s="942"/>
      <c r="D204" s="340"/>
    </row>
    <row r="205" spans="1:4" ht="12.6">
      <c r="B205" s="932" t="s">
        <v>682</v>
      </c>
      <c r="C205" s="932"/>
      <c r="D205" s="341"/>
    </row>
    <row r="206" spans="1:4" ht="24">
      <c r="A206" s="463">
        <v>1</v>
      </c>
      <c r="B206" s="461" t="s">
        <v>658</v>
      </c>
      <c r="C206" s="461" t="s">
        <v>670</v>
      </c>
      <c r="D206" s="340"/>
    </row>
    <row r="207" spans="1:4" ht="18" customHeight="1">
      <c r="A207" s="463">
        <v>2</v>
      </c>
      <c r="B207" s="461" t="s">
        <v>659</v>
      </c>
      <c r="C207" s="461" t="s">
        <v>671</v>
      </c>
      <c r="D207" s="341"/>
    </row>
    <row r="208" spans="1:4" ht="24">
      <c r="A208" s="463">
        <v>3</v>
      </c>
      <c r="B208" s="461" t="s">
        <v>660</v>
      </c>
      <c r="C208" s="461" t="s">
        <v>672</v>
      </c>
      <c r="D208" s="342"/>
    </row>
    <row r="209" spans="1:4" ht="12.6">
      <c r="A209" s="463">
        <v>4</v>
      </c>
      <c r="B209" s="461" t="s">
        <v>661</v>
      </c>
      <c r="C209" s="461" t="s">
        <v>673</v>
      </c>
      <c r="D209" s="342"/>
    </row>
    <row r="210" spans="1:4" ht="24">
      <c r="A210" s="463">
        <v>5</v>
      </c>
      <c r="B210" s="461" t="s">
        <v>662</v>
      </c>
      <c r="C210" s="461" t="s">
        <v>674</v>
      </c>
    </row>
    <row r="211" spans="1:4" ht="24.45" customHeight="1">
      <c r="A211" s="463">
        <v>6</v>
      </c>
      <c r="B211" s="461" t="s">
        <v>663</v>
      </c>
      <c r="C211" s="461" t="s">
        <v>675</v>
      </c>
    </row>
    <row r="212" spans="1:4" ht="24">
      <c r="A212" s="463">
        <v>7</v>
      </c>
      <c r="B212" s="461" t="s">
        <v>664</v>
      </c>
      <c r="C212" s="461" t="s">
        <v>676</v>
      </c>
    </row>
    <row r="213" spans="1:4">
      <c r="A213" s="463">
        <v>7.1</v>
      </c>
      <c r="B213" s="465" t="s">
        <v>665</v>
      </c>
      <c r="C213" s="461" t="s">
        <v>677</v>
      </c>
    </row>
    <row r="214" spans="1:4">
      <c r="A214" s="463">
        <v>7.2</v>
      </c>
      <c r="B214" s="465" t="s">
        <v>666</v>
      </c>
      <c r="C214" s="461" t="s">
        <v>678</v>
      </c>
    </row>
    <row r="215" spans="1:4">
      <c r="A215" s="463">
        <v>7.3</v>
      </c>
      <c r="B215" s="464" t="s">
        <v>667</v>
      </c>
      <c r="C215" s="461" t="s">
        <v>679</v>
      </c>
    </row>
    <row r="216" spans="1:4" ht="39.450000000000003" customHeight="1">
      <c r="A216" s="463">
        <v>8</v>
      </c>
      <c r="B216" s="461" t="s">
        <v>668</v>
      </c>
      <c r="C216" s="461" t="s">
        <v>680</v>
      </c>
    </row>
    <row r="217" spans="1:4">
      <c r="A217" s="463">
        <v>9</v>
      </c>
      <c r="B217" s="461" t="s">
        <v>669</v>
      </c>
      <c r="C217" s="461" t="s">
        <v>681</v>
      </c>
    </row>
    <row r="218" spans="1:4" ht="24">
      <c r="A218" s="500">
        <v>10.1</v>
      </c>
      <c r="B218" s="501" t="s">
        <v>689</v>
      </c>
      <c r="C218" s="493" t="s">
        <v>690</v>
      </c>
    </row>
    <row r="219" spans="1:4">
      <c r="A219" s="945"/>
      <c r="B219" s="502" t="s">
        <v>876</v>
      </c>
      <c r="C219" s="461" t="s">
        <v>883</v>
      </c>
    </row>
    <row r="220" spans="1:4">
      <c r="A220" s="945"/>
      <c r="B220" s="462" t="s">
        <v>541</v>
      </c>
      <c r="C220" s="461" t="s">
        <v>882</v>
      </c>
    </row>
    <row r="221" spans="1:4">
      <c r="A221" s="945"/>
      <c r="B221" s="462" t="s">
        <v>875</v>
      </c>
      <c r="C221" s="544" t="s">
        <v>966</v>
      </c>
    </row>
    <row r="222" spans="1:4">
      <c r="A222" s="945"/>
      <c r="B222" s="462" t="s">
        <v>683</v>
      </c>
      <c r="C222" s="461" t="s">
        <v>881</v>
      </c>
    </row>
    <row r="223" spans="1:4" ht="24">
      <c r="A223" s="945"/>
      <c r="B223" s="462" t="s">
        <v>687</v>
      </c>
      <c r="C223" s="462" t="s">
        <v>880</v>
      </c>
    </row>
    <row r="224" spans="1:4" ht="36">
      <c r="A224" s="945"/>
      <c r="B224" s="462" t="s">
        <v>686</v>
      </c>
      <c r="C224" s="461" t="s">
        <v>879</v>
      </c>
    </row>
    <row r="225" spans="1:3">
      <c r="A225" s="945"/>
      <c r="B225" s="462" t="s">
        <v>915</v>
      </c>
      <c r="C225" s="461" t="s">
        <v>878</v>
      </c>
    </row>
    <row r="226" spans="1:3" ht="24">
      <c r="A226" s="945"/>
      <c r="B226" s="462" t="s">
        <v>916</v>
      </c>
      <c r="C226" s="461" t="s">
        <v>877</v>
      </c>
    </row>
    <row r="227" spans="1:3" ht="12.6">
      <c r="A227" s="494"/>
      <c r="B227" s="495"/>
      <c r="C227" s="496"/>
    </row>
    <row r="228" spans="1:3" ht="12.6">
      <c r="A228" s="494"/>
      <c r="B228" s="496"/>
      <c r="C228" s="496"/>
    </row>
    <row r="229" spans="1:3" ht="12.6">
      <c r="A229" s="494"/>
      <c r="B229" s="496"/>
      <c r="C229" s="496"/>
    </row>
    <row r="230" spans="1:3" ht="12.6">
      <c r="A230" s="494"/>
      <c r="B230" s="497"/>
      <c r="C230" s="496"/>
    </row>
    <row r="231" spans="1:3">
      <c r="A231" s="939"/>
      <c r="B231" s="498"/>
      <c r="C231" s="496"/>
    </row>
    <row r="232" spans="1:3">
      <c r="A232" s="939"/>
      <c r="B232" s="498"/>
      <c r="C232" s="496"/>
    </row>
    <row r="233" spans="1:3">
      <c r="A233" s="939"/>
      <c r="B233" s="498"/>
      <c r="C233" s="496"/>
    </row>
    <row r="234" spans="1:3">
      <c r="A234" s="939"/>
      <c r="B234" s="498"/>
      <c r="C234" s="499"/>
    </row>
    <row r="235" spans="1:3" ht="40.5" customHeight="1">
      <c r="A235" s="939"/>
      <c r="B235" s="498"/>
      <c r="C235" s="496"/>
    </row>
    <row r="236" spans="1:3" ht="24" customHeight="1">
      <c r="A236" s="939"/>
      <c r="B236" s="498"/>
      <c r="C236" s="496"/>
    </row>
    <row r="237" spans="1:3">
      <c r="A237" s="939"/>
      <c r="B237" s="498"/>
      <c r="C237" s="496"/>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headerFooter>
    <oddFooter>&amp;C_x000D_&amp;1#&amp;"Calibri"&amp;10&amp;K000000 C1 - FOR 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0" zoomScaleNormal="80" workbookViewId="0">
      <selection activeCell="E45" sqref="E45"/>
    </sheetView>
  </sheetViews>
  <sheetFormatPr defaultRowHeight="14.4"/>
  <cols>
    <col min="2" max="2" width="66.6640625" customWidth="1"/>
    <col min="3" max="5" width="17.77734375" customWidth="1"/>
    <col min="6" max="8" width="17.77734375" style="644" customWidth="1"/>
  </cols>
  <sheetData>
    <row r="1" spans="1:8">
      <c r="A1" s="13" t="s">
        <v>97</v>
      </c>
      <c r="B1" s="241" t="str">
        <f>Info!C2</f>
        <v>სს " პაშა ბანკი საქართველო"</v>
      </c>
      <c r="C1" s="12"/>
      <c r="D1" s="1"/>
      <c r="E1" s="1"/>
      <c r="F1" s="641"/>
      <c r="G1" s="641"/>
    </row>
    <row r="2" spans="1:8">
      <c r="A2" s="13" t="s">
        <v>98</v>
      </c>
      <c r="B2" s="278">
        <f>'1. key ratios'!B2</f>
        <v>45747</v>
      </c>
      <c r="C2" s="12"/>
      <c r="D2" s="1"/>
      <c r="E2" s="1"/>
      <c r="F2" s="641"/>
      <c r="G2" s="641"/>
    </row>
    <row r="3" spans="1:8" ht="15" thickBot="1">
      <c r="A3" s="13"/>
      <c r="B3" s="12"/>
      <c r="C3" s="12"/>
      <c r="D3" s="1"/>
      <c r="E3" s="1"/>
      <c r="F3" s="641"/>
      <c r="G3" s="641"/>
    </row>
    <row r="4" spans="1:8">
      <c r="A4" s="785" t="s">
        <v>25</v>
      </c>
      <c r="B4" s="782" t="s">
        <v>155</v>
      </c>
      <c r="C4" s="780" t="s">
        <v>103</v>
      </c>
      <c r="D4" s="780"/>
      <c r="E4" s="780"/>
      <c r="F4" s="779" t="s">
        <v>104</v>
      </c>
      <c r="G4" s="779"/>
      <c r="H4" s="784"/>
    </row>
    <row r="5" spans="1:8" ht="15.45" customHeight="1">
      <c r="A5" s="786"/>
      <c r="B5" s="783"/>
      <c r="C5" s="625" t="s">
        <v>26</v>
      </c>
      <c r="D5" s="625" t="s">
        <v>77</v>
      </c>
      <c r="E5" s="625" t="s">
        <v>66</v>
      </c>
      <c r="F5" s="642" t="s">
        <v>26</v>
      </c>
      <c r="G5" s="642" t="s">
        <v>77</v>
      </c>
      <c r="H5" s="646" t="s">
        <v>66</v>
      </c>
    </row>
    <row r="6" spans="1:8">
      <c r="A6" s="624">
        <v>1</v>
      </c>
      <c r="B6" s="653" t="s">
        <v>744</v>
      </c>
      <c r="C6" s="622">
        <v>7105017.5639000004</v>
      </c>
      <c r="D6" s="622">
        <v>5976689.3902000003</v>
      </c>
      <c r="E6" s="630">
        <f>C6+D6</f>
        <v>13081706.954100002</v>
      </c>
      <c r="F6" s="622">
        <f>SUM(F7:F12)</f>
        <v>7476616.7299999995</v>
      </c>
      <c r="G6" s="622">
        <f>SUM(G7:G12)</f>
        <v>5158071.7363</v>
      </c>
      <c r="H6" s="647">
        <f>F6+G6</f>
        <v>12634688.4663</v>
      </c>
    </row>
    <row r="7" spans="1:8">
      <c r="A7" s="624">
        <v>1.1000000000000001</v>
      </c>
      <c r="B7" s="611" t="s">
        <v>698</v>
      </c>
      <c r="C7" s="622"/>
      <c r="D7" s="622"/>
      <c r="E7" s="630">
        <f t="shared" ref="E7:E45" si="0">C7+D7</f>
        <v>0</v>
      </c>
      <c r="F7" s="622"/>
      <c r="G7" s="622"/>
      <c r="H7" s="647">
        <f t="shared" ref="H7:H44" si="1">F7+G7</f>
        <v>0</v>
      </c>
    </row>
    <row r="8" spans="1:8" ht="20.399999999999999">
      <c r="A8" s="624">
        <v>1.2</v>
      </c>
      <c r="B8" s="611" t="s">
        <v>745</v>
      </c>
      <c r="C8" s="622"/>
      <c r="D8" s="622"/>
      <c r="E8" s="630">
        <f t="shared" si="0"/>
        <v>0</v>
      </c>
      <c r="F8" s="622"/>
      <c r="G8" s="622"/>
      <c r="H8" s="647">
        <f t="shared" si="1"/>
        <v>0</v>
      </c>
    </row>
    <row r="9" spans="1:8" ht="21.45" customHeight="1">
      <c r="A9" s="624">
        <v>1.3</v>
      </c>
      <c r="B9" s="611" t="s">
        <v>746</v>
      </c>
      <c r="C9" s="622"/>
      <c r="D9" s="622"/>
      <c r="E9" s="630">
        <f t="shared" si="0"/>
        <v>0</v>
      </c>
      <c r="F9" s="622"/>
      <c r="G9" s="622"/>
      <c r="H9" s="647">
        <f t="shared" si="1"/>
        <v>0</v>
      </c>
    </row>
    <row r="10" spans="1:8" ht="20.399999999999999">
      <c r="A10" s="624">
        <v>1.4</v>
      </c>
      <c r="B10" s="611" t="s">
        <v>702</v>
      </c>
      <c r="C10" s="622"/>
      <c r="D10" s="622"/>
      <c r="E10" s="630">
        <f t="shared" si="0"/>
        <v>0</v>
      </c>
      <c r="F10" s="622"/>
      <c r="G10" s="622"/>
      <c r="H10" s="647">
        <f t="shared" si="1"/>
        <v>0</v>
      </c>
    </row>
    <row r="11" spans="1:8">
      <c r="A11" s="624">
        <v>1.5</v>
      </c>
      <c r="B11" s="611" t="s">
        <v>705</v>
      </c>
      <c r="C11" s="622">
        <v>7105017.5639000004</v>
      </c>
      <c r="D11" s="622">
        <v>5976689.3902000003</v>
      </c>
      <c r="E11" s="630">
        <f t="shared" si="0"/>
        <v>13081706.954100002</v>
      </c>
      <c r="F11" s="622">
        <v>7476616.7299999995</v>
      </c>
      <c r="G11" s="622">
        <v>5158071.7363</v>
      </c>
      <c r="H11" s="647">
        <f t="shared" si="1"/>
        <v>12634688.4663</v>
      </c>
    </row>
    <row r="12" spans="1:8">
      <c r="A12" s="624">
        <v>1.6</v>
      </c>
      <c r="B12" s="611" t="s">
        <v>88</v>
      </c>
      <c r="C12" s="622"/>
      <c r="D12" s="622"/>
      <c r="E12" s="630">
        <f t="shared" si="0"/>
        <v>0</v>
      </c>
      <c r="F12" s="622"/>
      <c r="G12" s="622"/>
      <c r="H12" s="647">
        <f t="shared" si="1"/>
        <v>0</v>
      </c>
    </row>
    <row r="13" spans="1:8">
      <c r="A13" s="624">
        <v>2</v>
      </c>
      <c r="B13" s="653" t="s">
        <v>747</v>
      </c>
      <c r="C13" s="622">
        <v>-3470326.4200000004</v>
      </c>
      <c r="D13" s="622">
        <v>-3442085.0311999996</v>
      </c>
      <c r="E13" s="630">
        <f t="shared" si="0"/>
        <v>-6912411.4512</v>
      </c>
      <c r="F13" s="622">
        <f>SUM(F14:F17)</f>
        <v>-3153220.02</v>
      </c>
      <c r="G13" s="622">
        <f>SUM(G14:G17)</f>
        <v>-2186059.8374999994</v>
      </c>
      <c r="H13" s="647">
        <f t="shared" si="1"/>
        <v>-5339279.8574999999</v>
      </c>
    </row>
    <row r="14" spans="1:8">
      <c r="A14" s="624">
        <v>2.1</v>
      </c>
      <c r="B14" s="611" t="s">
        <v>748</v>
      </c>
      <c r="C14" s="622"/>
      <c r="D14" s="622"/>
      <c r="E14" s="630">
        <f t="shared" si="0"/>
        <v>0</v>
      </c>
      <c r="F14" s="622"/>
      <c r="G14" s="622"/>
      <c r="H14" s="647">
        <f t="shared" si="1"/>
        <v>0</v>
      </c>
    </row>
    <row r="15" spans="1:8" ht="24.45" customHeight="1">
      <c r="A15" s="624">
        <v>2.2000000000000002</v>
      </c>
      <c r="B15" s="611" t="s">
        <v>749</v>
      </c>
      <c r="C15" s="622"/>
      <c r="D15" s="622"/>
      <c r="E15" s="630">
        <f t="shared" si="0"/>
        <v>0</v>
      </c>
      <c r="F15" s="622"/>
      <c r="G15" s="622"/>
      <c r="H15" s="647">
        <f t="shared" si="1"/>
        <v>0</v>
      </c>
    </row>
    <row r="16" spans="1:8" ht="20.55" customHeight="1">
      <c r="A16" s="624">
        <v>2.2999999999999998</v>
      </c>
      <c r="B16" s="611" t="s">
        <v>750</v>
      </c>
      <c r="C16" s="622">
        <v>-3470326.4200000004</v>
      </c>
      <c r="D16" s="622">
        <v>-3442085.0311999996</v>
      </c>
      <c r="E16" s="630">
        <f t="shared" si="0"/>
        <v>-6912411.4512</v>
      </c>
      <c r="F16" s="622">
        <v>-3153220.02</v>
      </c>
      <c r="G16" s="622">
        <v>-2186059.8374999994</v>
      </c>
      <c r="H16" s="647">
        <f t="shared" si="1"/>
        <v>-5339279.8574999999</v>
      </c>
    </row>
    <row r="17" spans="1:8">
      <c r="A17" s="624">
        <v>2.4</v>
      </c>
      <c r="B17" s="611" t="s">
        <v>751</v>
      </c>
      <c r="C17" s="622"/>
      <c r="D17" s="622"/>
      <c r="E17" s="630">
        <f t="shared" si="0"/>
        <v>0</v>
      </c>
      <c r="F17" s="622"/>
      <c r="G17" s="622"/>
      <c r="H17" s="647">
        <f t="shared" si="1"/>
        <v>0</v>
      </c>
    </row>
    <row r="18" spans="1:8">
      <c r="A18" s="624">
        <v>3</v>
      </c>
      <c r="B18" s="653" t="s">
        <v>752</v>
      </c>
      <c r="C18" s="622"/>
      <c r="D18" s="622"/>
      <c r="E18" s="630">
        <f t="shared" si="0"/>
        <v>0</v>
      </c>
      <c r="F18" s="622"/>
      <c r="G18" s="622"/>
      <c r="H18" s="647">
        <f t="shared" si="1"/>
        <v>0</v>
      </c>
    </row>
    <row r="19" spans="1:8">
      <c r="A19" s="624">
        <v>4</v>
      </c>
      <c r="B19" s="653" t="s">
        <v>753</v>
      </c>
      <c r="C19" s="622">
        <v>159833.23000000001</v>
      </c>
      <c r="D19" s="622">
        <v>342378.12459999998</v>
      </c>
      <c r="E19" s="630">
        <f t="shared" si="0"/>
        <v>502211.35459999996</v>
      </c>
      <c r="F19" s="622">
        <v>664518.35</v>
      </c>
      <c r="G19" s="622">
        <v>370447.3665</v>
      </c>
      <c r="H19" s="647">
        <f t="shared" si="1"/>
        <v>1034965.7165</v>
      </c>
    </row>
    <row r="20" spans="1:8">
      <c r="A20" s="624">
        <v>5</v>
      </c>
      <c r="B20" s="653" t="s">
        <v>754</v>
      </c>
      <c r="C20" s="622">
        <v>-58077.62</v>
      </c>
      <c r="D20" s="622">
        <v>-303981.24</v>
      </c>
      <c r="E20" s="630">
        <f t="shared" si="0"/>
        <v>-362058.86</v>
      </c>
      <c r="F20" s="622">
        <v>-91505.47</v>
      </c>
      <c r="G20" s="622">
        <v>-410898.74</v>
      </c>
      <c r="H20" s="647">
        <f t="shared" si="1"/>
        <v>-502404.20999999996</v>
      </c>
    </row>
    <row r="21" spans="1:8" ht="38.549999999999997" customHeight="1">
      <c r="A21" s="624">
        <v>6</v>
      </c>
      <c r="B21" s="653" t="s">
        <v>755</v>
      </c>
      <c r="C21" s="622">
        <v>300025.43</v>
      </c>
      <c r="D21" s="622">
        <v>0</v>
      </c>
      <c r="E21" s="630">
        <f t="shared" si="0"/>
        <v>300025.43</v>
      </c>
      <c r="F21" s="622"/>
      <c r="G21" s="622"/>
      <c r="H21" s="647">
        <f t="shared" si="1"/>
        <v>0</v>
      </c>
    </row>
    <row r="22" spans="1:8" ht="27.45" customHeight="1">
      <c r="A22" s="624">
        <v>7</v>
      </c>
      <c r="B22" s="653" t="s">
        <v>756</v>
      </c>
      <c r="C22" s="622">
        <v>72261.61</v>
      </c>
      <c r="D22" s="622">
        <v>0</v>
      </c>
      <c r="E22" s="630">
        <f t="shared" si="0"/>
        <v>72261.61</v>
      </c>
      <c r="F22" s="622"/>
      <c r="G22" s="622"/>
      <c r="H22" s="647">
        <f t="shared" si="1"/>
        <v>0</v>
      </c>
    </row>
    <row r="23" spans="1:8" ht="37.049999999999997" customHeight="1">
      <c r="A23" s="624">
        <v>8</v>
      </c>
      <c r="B23" s="654" t="s">
        <v>757</v>
      </c>
      <c r="C23" s="622"/>
      <c r="D23" s="622"/>
      <c r="E23" s="630">
        <f t="shared" si="0"/>
        <v>0</v>
      </c>
      <c r="F23" s="622"/>
      <c r="G23" s="622"/>
      <c r="H23" s="647">
        <f t="shared" si="1"/>
        <v>0</v>
      </c>
    </row>
    <row r="24" spans="1:8" ht="34.5" customHeight="1">
      <c r="A24" s="624">
        <v>9</v>
      </c>
      <c r="B24" s="654" t="s">
        <v>758</v>
      </c>
      <c r="C24" s="622"/>
      <c r="D24" s="622"/>
      <c r="E24" s="630">
        <f t="shared" si="0"/>
        <v>0</v>
      </c>
      <c r="F24" s="622"/>
      <c r="G24" s="622"/>
      <c r="H24" s="647">
        <f t="shared" si="1"/>
        <v>0</v>
      </c>
    </row>
    <row r="25" spans="1:8">
      <c r="A25" s="624">
        <v>10</v>
      </c>
      <c r="B25" s="653" t="s">
        <v>759</v>
      </c>
      <c r="C25" s="622">
        <v>3322091.48</v>
      </c>
      <c r="D25" s="622">
        <v>0</v>
      </c>
      <c r="E25" s="630">
        <f t="shared" si="0"/>
        <v>3322091.48</v>
      </c>
      <c r="F25" s="622">
        <v>2414084.0499999998</v>
      </c>
      <c r="G25" s="622">
        <v>0</v>
      </c>
      <c r="H25" s="647">
        <f t="shared" si="1"/>
        <v>2414084.0499999998</v>
      </c>
    </row>
    <row r="26" spans="1:8" ht="27" customHeight="1">
      <c r="A26" s="624">
        <v>11</v>
      </c>
      <c r="B26" s="655" t="s">
        <v>760</v>
      </c>
      <c r="C26" s="622">
        <v>28755.38</v>
      </c>
      <c r="D26" s="622">
        <v>0</v>
      </c>
      <c r="E26" s="630">
        <f t="shared" si="0"/>
        <v>28755.38</v>
      </c>
      <c r="F26" s="622"/>
      <c r="G26" s="622"/>
      <c r="H26" s="647">
        <f t="shared" si="1"/>
        <v>0</v>
      </c>
    </row>
    <row r="27" spans="1:8">
      <c r="A27" s="624">
        <v>12</v>
      </c>
      <c r="B27" s="653" t="s">
        <v>761</v>
      </c>
      <c r="C27" s="622">
        <v>741.96</v>
      </c>
      <c r="D27" s="622">
        <v>0</v>
      </c>
      <c r="E27" s="630">
        <f t="shared" si="0"/>
        <v>741.96</v>
      </c>
      <c r="F27" s="622">
        <v>2682.94</v>
      </c>
      <c r="G27" s="622"/>
      <c r="H27" s="647">
        <f t="shared" si="1"/>
        <v>2682.94</v>
      </c>
    </row>
    <row r="28" spans="1:8">
      <c r="A28" s="624">
        <v>13</v>
      </c>
      <c r="B28" s="653" t="s">
        <v>762</v>
      </c>
      <c r="C28" s="622">
        <v>-1224941.3899999999</v>
      </c>
      <c r="D28" s="622">
        <v>-443.11</v>
      </c>
      <c r="E28" s="630">
        <f t="shared" si="0"/>
        <v>-1225384.5</v>
      </c>
      <c r="F28" s="622">
        <v>-55449.340000000084</v>
      </c>
      <c r="G28" s="622">
        <v>75324.600000000006</v>
      </c>
      <c r="H28" s="647">
        <f t="shared" si="1"/>
        <v>19875.259999999922</v>
      </c>
    </row>
    <row r="29" spans="1:8">
      <c r="A29" s="624">
        <v>14</v>
      </c>
      <c r="B29" s="653" t="s">
        <v>763</v>
      </c>
      <c r="C29" s="622">
        <v>-5126734.17</v>
      </c>
      <c r="D29" s="622">
        <v>0</v>
      </c>
      <c r="E29" s="630">
        <f t="shared" si="0"/>
        <v>-5126734.17</v>
      </c>
      <c r="F29" s="622">
        <f>SUM(F30:F31)</f>
        <v>-7179158.870000001</v>
      </c>
      <c r="G29" s="622">
        <f>SUM(G30:G31)</f>
        <v>0</v>
      </c>
      <c r="H29" s="647">
        <f t="shared" si="1"/>
        <v>-7179158.870000001</v>
      </c>
    </row>
    <row r="30" spans="1:8">
      <c r="A30" s="624">
        <v>14.1</v>
      </c>
      <c r="B30" s="612" t="s">
        <v>764</v>
      </c>
      <c r="C30" s="622">
        <v>-4827115.45</v>
      </c>
      <c r="D30" s="622"/>
      <c r="E30" s="630">
        <f t="shared" si="0"/>
        <v>-4827115.45</v>
      </c>
      <c r="F30" s="622">
        <v>-6530850.3000000007</v>
      </c>
      <c r="G30" s="622"/>
      <c r="H30" s="647">
        <f t="shared" si="1"/>
        <v>-6530850.3000000007</v>
      </c>
    </row>
    <row r="31" spans="1:8">
      <c r="A31" s="624">
        <v>14.2</v>
      </c>
      <c r="B31" s="612" t="s">
        <v>765</v>
      </c>
      <c r="C31" s="622">
        <v>-299618.71999999997</v>
      </c>
      <c r="D31" s="622"/>
      <c r="E31" s="630">
        <f t="shared" si="0"/>
        <v>-299618.71999999997</v>
      </c>
      <c r="F31" s="622">
        <v>-648308.57000000007</v>
      </c>
      <c r="G31" s="622"/>
      <c r="H31" s="647">
        <f t="shared" si="1"/>
        <v>-648308.57000000007</v>
      </c>
    </row>
    <row r="32" spans="1:8">
      <c r="A32" s="624">
        <v>15</v>
      </c>
      <c r="B32" s="648" t="s">
        <v>766</v>
      </c>
      <c r="C32" s="622">
        <v>-1017272.97</v>
      </c>
      <c r="D32" s="622"/>
      <c r="E32" s="630">
        <f t="shared" si="0"/>
        <v>-1017272.97</v>
      </c>
      <c r="F32" s="622">
        <v>-1102626.8900000001</v>
      </c>
      <c r="G32" s="622"/>
      <c r="H32" s="647">
        <f t="shared" si="1"/>
        <v>-1102626.8900000001</v>
      </c>
    </row>
    <row r="33" spans="1:8" ht="22.5" customHeight="1">
      <c r="A33" s="624">
        <v>16</v>
      </c>
      <c r="B33" s="609" t="s">
        <v>767</v>
      </c>
      <c r="C33" s="622"/>
      <c r="D33" s="622"/>
      <c r="E33" s="630">
        <f t="shared" si="0"/>
        <v>0</v>
      </c>
      <c r="F33" s="622"/>
      <c r="G33" s="622"/>
      <c r="H33" s="647">
        <f t="shared" si="1"/>
        <v>0</v>
      </c>
    </row>
    <row r="34" spans="1:8">
      <c r="A34" s="624">
        <v>17</v>
      </c>
      <c r="B34" s="653" t="s">
        <v>768</v>
      </c>
      <c r="C34" s="622">
        <v>-41536.325299999997</v>
      </c>
      <c r="D34" s="622">
        <v>30903.8992</v>
      </c>
      <c r="E34" s="630">
        <f t="shared" si="0"/>
        <v>-10632.426099999997</v>
      </c>
      <c r="F34" s="622">
        <f>SUM(F35:F36)</f>
        <v>-972295.67115296877</v>
      </c>
      <c r="G34" s="622">
        <f>SUM(G35:G36)</f>
        <v>365493.65539999999</v>
      </c>
      <c r="H34" s="647">
        <f t="shared" si="1"/>
        <v>-606802.01575296884</v>
      </c>
    </row>
    <row r="35" spans="1:8">
      <c r="A35" s="624">
        <v>17.100000000000001</v>
      </c>
      <c r="B35" s="612" t="s">
        <v>769</v>
      </c>
      <c r="C35" s="622">
        <v>20892.254700000001</v>
      </c>
      <c r="D35" s="622">
        <v>30903.8992</v>
      </c>
      <c r="E35" s="630">
        <f t="shared" si="0"/>
        <v>51796.153900000005</v>
      </c>
      <c r="F35" s="622">
        <v>-5512.7632999980633</v>
      </c>
      <c r="G35" s="622">
        <v>224038.6361</v>
      </c>
      <c r="H35" s="647">
        <f t="shared" si="1"/>
        <v>218525.87280000193</v>
      </c>
    </row>
    <row r="36" spans="1:8">
      <c r="A36" s="624">
        <v>17.2</v>
      </c>
      <c r="B36" s="612" t="s">
        <v>770</v>
      </c>
      <c r="C36" s="622">
        <v>-62428.58</v>
      </c>
      <c r="D36" s="622">
        <v>0</v>
      </c>
      <c r="E36" s="630">
        <f t="shared" si="0"/>
        <v>-62428.58</v>
      </c>
      <c r="F36" s="622">
        <v>-966782.90785297076</v>
      </c>
      <c r="G36" s="622">
        <v>141455.01929999999</v>
      </c>
      <c r="H36" s="647">
        <f t="shared" si="1"/>
        <v>-825327.88855297072</v>
      </c>
    </row>
    <row r="37" spans="1:8" ht="41.55" customHeight="1">
      <c r="A37" s="624">
        <v>18</v>
      </c>
      <c r="B37" s="656" t="s">
        <v>771</v>
      </c>
      <c r="C37" s="622">
        <v>-613669.88087964989</v>
      </c>
      <c r="D37" s="622">
        <v>-2328451.2260000003</v>
      </c>
      <c r="E37" s="630">
        <f t="shared" si="0"/>
        <v>-2942121.1068796501</v>
      </c>
      <c r="F37" s="622">
        <f>SUM(F38:F39)</f>
        <v>0</v>
      </c>
      <c r="G37" s="622">
        <f>SUM(G38:G39)</f>
        <v>0</v>
      </c>
      <c r="H37" s="647">
        <f t="shared" si="1"/>
        <v>0</v>
      </c>
    </row>
    <row r="38" spans="1:8" ht="20.399999999999999">
      <c r="A38" s="624">
        <v>18.100000000000001</v>
      </c>
      <c r="B38" s="611" t="s">
        <v>772</v>
      </c>
      <c r="C38" s="622"/>
      <c r="D38" s="622">
        <v>0</v>
      </c>
      <c r="E38" s="630">
        <f t="shared" si="0"/>
        <v>0</v>
      </c>
      <c r="F38" s="622"/>
      <c r="G38" s="622"/>
      <c r="H38" s="647">
        <f t="shared" si="1"/>
        <v>0</v>
      </c>
    </row>
    <row r="39" spans="1:8">
      <c r="A39" s="624">
        <v>18.2</v>
      </c>
      <c r="B39" s="611" t="s">
        <v>773</v>
      </c>
      <c r="C39" s="622">
        <v>-613669.88087964989</v>
      </c>
      <c r="D39" s="622">
        <v>-2328451.2260000003</v>
      </c>
      <c r="E39" s="630">
        <f t="shared" si="0"/>
        <v>-2942121.1068796501</v>
      </c>
      <c r="F39" s="622"/>
      <c r="G39" s="622"/>
      <c r="H39" s="647">
        <f t="shared" si="1"/>
        <v>0</v>
      </c>
    </row>
    <row r="40" spans="1:8" ht="24.45" customHeight="1">
      <c r="A40" s="624">
        <v>19</v>
      </c>
      <c r="B40" s="656" t="s">
        <v>774</v>
      </c>
      <c r="C40" s="622"/>
      <c r="D40" s="622"/>
      <c r="E40" s="630">
        <f t="shared" si="0"/>
        <v>0</v>
      </c>
      <c r="F40" s="622"/>
      <c r="G40" s="622"/>
      <c r="H40" s="647">
        <f t="shared" si="1"/>
        <v>0</v>
      </c>
    </row>
    <row r="41" spans="1:8" ht="25.05" customHeight="1">
      <c r="A41" s="624">
        <v>20</v>
      </c>
      <c r="B41" s="656" t="s">
        <v>775</v>
      </c>
      <c r="C41" s="622"/>
      <c r="D41" s="622"/>
      <c r="E41" s="630">
        <f t="shared" si="0"/>
        <v>0</v>
      </c>
      <c r="F41" s="622"/>
      <c r="G41" s="622"/>
      <c r="H41" s="647">
        <f t="shared" si="1"/>
        <v>0</v>
      </c>
    </row>
    <row r="42" spans="1:8" ht="33" customHeight="1">
      <c r="A42" s="624">
        <v>21</v>
      </c>
      <c r="B42" s="657" t="s">
        <v>776</v>
      </c>
      <c r="C42" s="622"/>
      <c r="D42" s="622"/>
      <c r="E42" s="630">
        <f t="shared" si="0"/>
        <v>0</v>
      </c>
      <c r="F42" s="622"/>
      <c r="G42" s="622"/>
      <c r="H42" s="647">
        <f t="shared" si="1"/>
        <v>0</v>
      </c>
    </row>
    <row r="43" spans="1:8">
      <c r="A43" s="624">
        <v>22</v>
      </c>
      <c r="B43" s="649" t="s">
        <v>777</v>
      </c>
      <c r="C43" s="622">
        <v>-563832.12227964925</v>
      </c>
      <c r="D43" s="622">
        <v>275010.80680000037</v>
      </c>
      <c r="E43" s="630">
        <f t="shared" si="0"/>
        <v>-288821.31547964888</v>
      </c>
      <c r="F43" s="622">
        <f>SUM(F6,F13,F18,F19,F20,F21,F22,F23,F24,F25,F26,F27,F28,F29,F32,F33,F34,F37,F40,F41,F42)</f>
        <v>-1996354.1911529708</v>
      </c>
      <c r="G43" s="622">
        <f>SUM(G6,G13,G18,G19,G20,G21,G22,G23,G24,G25,G26,G27,G28,G29,G32,G33,G34,G37,G40,G41,G42)</f>
        <v>3372378.7807000009</v>
      </c>
      <c r="H43" s="647">
        <f t="shared" si="1"/>
        <v>1376024.5895470302</v>
      </c>
    </row>
    <row r="44" spans="1:8">
      <c r="A44" s="624">
        <v>23</v>
      </c>
      <c r="B44" s="649" t="s">
        <v>778</v>
      </c>
      <c r="C44" s="622">
        <v>625896.73</v>
      </c>
      <c r="D44" s="622"/>
      <c r="E44" s="630">
        <f t="shared" si="0"/>
        <v>625896.73</v>
      </c>
      <c r="F44" s="622"/>
      <c r="G44" s="622"/>
      <c r="H44" s="647">
        <f t="shared" si="1"/>
        <v>0</v>
      </c>
    </row>
    <row r="45" spans="1:8" ht="15" thickBot="1">
      <c r="A45" s="650">
        <v>24</v>
      </c>
      <c r="B45" s="651" t="s">
        <v>779</v>
      </c>
      <c r="C45" s="623">
        <v>-1189728.8522796491</v>
      </c>
      <c r="D45" s="623">
        <v>275010.80680000037</v>
      </c>
      <c r="E45" s="643">
        <f t="shared" si="0"/>
        <v>-914718.04547964875</v>
      </c>
      <c r="F45" s="623">
        <f>F43-F44</f>
        <v>-1996354.1911529708</v>
      </c>
      <c r="G45" s="623">
        <f>G43-G44</f>
        <v>3372378.7807000009</v>
      </c>
      <c r="H45" s="652">
        <f>F45+G45</f>
        <v>1376024.5895470302</v>
      </c>
    </row>
  </sheetData>
  <mergeCells count="4">
    <mergeCell ref="B4:B5"/>
    <mergeCell ref="C4:E4"/>
    <mergeCell ref="F4:H4"/>
    <mergeCell ref="A4:A5"/>
  </mergeCells>
  <pageMargins left="0.7" right="0.7" top="0.75" bottom="0.75" header="0.3" footer="0.3"/>
  <headerFooter>
    <oddFooter>&amp;C_x000D_&amp;1#&amp;"Calibri"&amp;10&amp;K000000 C1 - FOR 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
  <sheetViews>
    <sheetView topLeftCell="A40" zoomScale="80" zoomScaleNormal="80" workbookViewId="0">
      <selection activeCell="D40" sqref="D40"/>
    </sheetView>
  </sheetViews>
  <sheetFormatPr defaultRowHeight="14.4"/>
  <cols>
    <col min="1" max="1" width="8.77734375" style="366"/>
    <col min="2" max="2" width="87.6640625" bestFit="1" customWidth="1"/>
    <col min="3" max="8" width="12.77734375" customWidth="1"/>
    <col min="10" max="10" width="11.21875" bestFit="1" customWidth="1"/>
    <col min="11" max="11" width="13.88671875" bestFit="1" customWidth="1"/>
    <col min="12" max="12" width="14.88671875" bestFit="1" customWidth="1"/>
  </cols>
  <sheetData>
    <row r="1" spans="1:11">
      <c r="A1" s="13" t="s">
        <v>97</v>
      </c>
      <c r="B1" s="241" t="str">
        <f>Info!C2</f>
        <v>სს " პაშა ბანკი საქართველო"</v>
      </c>
      <c r="C1" s="12"/>
      <c r="D1" s="1"/>
      <c r="E1" s="1"/>
      <c r="F1" s="1"/>
      <c r="G1" s="1"/>
    </row>
    <row r="2" spans="1:11">
      <c r="A2" s="13" t="s">
        <v>98</v>
      </c>
      <c r="B2" s="278">
        <f>'1. key ratios'!B2</f>
        <v>45747</v>
      </c>
      <c r="C2" s="12"/>
      <c r="D2" s="1"/>
      <c r="E2" s="1"/>
      <c r="F2" s="1"/>
      <c r="G2" s="1"/>
    </row>
    <row r="3" spans="1:11">
      <c r="A3" s="13"/>
      <c r="B3" s="12"/>
      <c r="C3" s="12"/>
      <c r="D3" s="1"/>
      <c r="E3" s="1"/>
      <c r="F3" s="1"/>
      <c r="G3" s="1"/>
    </row>
    <row r="4" spans="1:11">
      <c r="A4" s="787" t="s">
        <v>25</v>
      </c>
      <c r="B4" s="788" t="s">
        <v>140</v>
      </c>
      <c r="C4" s="789" t="s">
        <v>103</v>
      </c>
      <c r="D4" s="789"/>
      <c r="E4" s="789"/>
      <c r="F4" s="789" t="s">
        <v>104</v>
      </c>
      <c r="G4" s="789"/>
      <c r="H4" s="790"/>
    </row>
    <row r="5" spans="1:11">
      <c r="A5" s="787"/>
      <c r="B5" s="788"/>
      <c r="C5" s="353" t="s">
        <v>26</v>
      </c>
      <c r="D5" s="353" t="s">
        <v>77</v>
      </c>
      <c r="E5" s="353" t="s">
        <v>66</v>
      </c>
      <c r="F5" s="353" t="s">
        <v>26</v>
      </c>
      <c r="G5" s="353" t="s">
        <v>77</v>
      </c>
      <c r="H5" s="354" t="s">
        <v>66</v>
      </c>
    </row>
    <row r="6" spans="1:11">
      <c r="A6" s="355">
        <v>1</v>
      </c>
      <c r="B6" s="359" t="s">
        <v>780</v>
      </c>
      <c r="C6" s="356"/>
      <c r="D6" s="356"/>
      <c r="E6" s="357">
        <f t="shared" ref="E6:E43" si="0">C6+D6</f>
        <v>0</v>
      </c>
      <c r="F6" s="546"/>
      <c r="G6" s="546"/>
      <c r="H6" s="358">
        <f t="shared" ref="H6:H43" si="1">F6+G6</f>
        <v>0</v>
      </c>
    </row>
    <row r="7" spans="1:11">
      <c r="A7" s="355">
        <v>2</v>
      </c>
      <c r="B7" s="359" t="s">
        <v>166</v>
      </c>
      <c r="C7" s="356"/>
      <c r="D7" s="356"/>
      <c r="E7" s="357">
        <f t="shared" si="0"/>
        <v>0</v>
      </c>
      <c r="F7" s="546"/>
      <c r="G7" s="546"/>
      <c r="H7" s="358">
        <f t="shared" si="1"/>
        <v>0</v>
      </c>
    </row>
    <row r="8" spans="1:11">
      <c r="A8" s="355">
        <v>3</v>
      </c>
      <c r="B8" s="359" t="s">
        <v>168</v>
      </c>
      <c r="C8" s="356">
        <f>C9+C10</f>
        <v>330783483.09890002</v>
      </c>
      <c r="D8" s="356">
        <f>D9+D10</f>
        <v>459842724.97600001</v>
      </c>
      <c r="E8" s="357">
        <f t="shared" si="0"/>
        <v>790626208.07490003</v>
      </c>
      <c r="F8" s="356">
        <f>F9+F10</f>
        <v>305588874.33780003</v>
      </c>
      <c r="G8" s="356">
        <f>G9+G10</f>
        <v>361672388.87470001</v>
      </c>
      <c r="H8" s="358">
        <f t="shared" si="1"/>
        <v>667261263.2125001</v>
      </c>
    </row>
    <row r="9" spans="1:11">
      <c r="A9" s="355">
        <v>3.1</v>
      </c>
      <c r="B9" s="360" t="s">
        <v>781</v>
      </c>
      <c r="C9" s="761">
        <v>309064486.68889999</v>
      </c>
      <c r="D9" s="761">
        <v>442799913.52850002</v>
      </c>
      <c r="E9" s="357">
        <f t="shared" si="0"/>
        <v>751864400.21740007</v>
      </c>
      <c r="F9" s="658">
        <v>283859177.9278</v>
      </c>
      <c r="G9" s="658">
        <v>335144100.81440002</v>
      </c>
      <c r="H9" s="358">
        <f t="shared" si="1"/>
        <v>619003278.74220002</v>
      </c>
    </row>
    <row r="10" spans="1:11">
      <c r="A10" s="355">
        <v>3.2</v>
      </c>
      <c r="B10" s="360" t="s">
        <v>782</v>
      </c>
      <c r="C10" s="356">
        <v>21718996.41</v>
      </c>
      <c r="D10" s="356">
        <v>17042811.447499998</v>
      </c>
      <c r="E10" s="357">
        <f t="shared" si="0"/>
        <v>38761807.857500002</v>
      </c>
      <c r="F10" s="658">
        <v>21729696.41</v>
      </c>
      <c r="G10" s="658">
        <v>26528288.0603</v>
      </c>
      <c r="H10" s="358">
        <f t="shared" si="1"/>
        <v>48257984.470300004</v>
      </c>
    </row>
    <row r="11" spans="1:11">
      <c r="A11" s="355">
        <v>4</v>
      </c>
      <c r="B11" s="359" t="s">
        <v>167</v>
      </c>
      <c r="C11" s="356">
        <f>C12+C13</f>
        <v>0</v>
      </c>
      <c r="D11" s="356">
        <f>D12+D13</f>
        <v>0</v>
      </c>
      <c r="E11" s="357">
        <f t="shared" si="0"/>
        <v>0</v>
      </c>
      <c r="F11" s="356">
        <f>F12+F13</f>
        <v>0</v>
      </c>
      <c r="G11" s="356">
        <f>G12+G13</f>
        <v>0</v>
      </c>
      <c r="H11" s="358">
        <f t="shared" si="1"/>
        <v>0</v>
      </c>
      <c r="J11" s="760"/>
      <c r="K11" s="760"/>
    </row>
    <row r="12" spans="1:11">
      <c r="A12" s="355">
        <v>4.0999999999999996</v>
      </c>
      <c r="B12" s="360" t="s">
        <v>783</v>
      </c>
      <c r="C12" s="356"/>
      <c r="D12" s="356"/>
      <c r="E12" s="357">
        <f t="shared" si="0"/>
        <v>0</v>
      </c>
      <c r="F12" s="546"/>
      <c r="G12" s="546"/>
      <c r="H12" s="358">
        <f t="shared" si="1"/>
        <v>0</v>
      </c>
    </row>
    <row r="13" spans="1:11">
      <c r="A13" s="355">
        <v>4.2</v>
      </c>
      <c r="B13" s="360" t="s">
        <v>784</v>
      </c>
      <c r="C13" s="356"/>
      <c r="D13" s="356"/>
      <c r="E13" s="357">
        <f t="shared" si="0"/>
        <v>0</v>
      </c>
      <c r="F13" s="546"/>
      <c r="G13" s="546"/>
      <c r="H13" s="358">
        <f t="shared" si="1"/>
        <v>0</v>
      </c>
    </row>
    <row r="14" spans="1:11">
      <c r="A14" s="355">
        <v>5</v>
      </c>
      <c r="B14" s="361" t="s">
        <v>785</v>
      </c>
      <c r="C14" s="356">
        <f>C15+C16+C17+C23+C24+C25+C26</f>
        <v>104624024.06999999</v>
      </c>
      <c r="D14" s="356">
        <f>D15+D16+D17+D23+D24+D25+D26</f>
        <v>511917525.30389988</v>
      </c>
      <c r="E14" s="357">
        <f t="shared" si="0"/>
        <v>616541549.37389994</v>
      </c>
      <c r="F14" s="356">
        <f>F15+F16+F17+F23+F24+F25+F26</f>
        <v>107462040.41</v>
      </c>
      <c r="G14" s="356">
        <f>G15+G16+G17+G23+G24+G25+G26</f>
        <v>315185747.72679996</v>
      </c>
      <c r="H14" s="358">
        <f t="shared" si="1"/>
        <v>422647788.13679993</v>
      </c>
    </row>
    <row r="15" spans="1:11">
      <c r="A15" s="355">
        <v>5.0999999999999996</v>
      </c>
      <c r="B15" s="362" t="s">
        <v>786</v>
      </c>
      <c r="C15" s="356">
        <v>2318393.54</v>
      </c>
      <c r="D15" s="356">
        <v>51468537.315700002</v>
      </c>
      <c r="E15" s="357">
        <f t="shared" si="0"/>
        <v>53786930.855700001</v>
      </c>
      <c r="F15" s="546">
        <v>2279088.41</v>
      </c>
      <c r="G15" s="546">
        <v>4400819.5894999998</v>
      </c>
      <c r="H15" s="358">
        <f t="shared" si="1"/>
        <v>6679907.9994999999</v>
      </c>
    </row>
    <row r="16" spans="1:11">
      <c r="A16" s="355">
        <v>5.2</v>
      </c>
      <c r="B16" s="362" t="s">
        <v>787</v>
      </c>
      <c r="C16" s="356"/>
      <c r="D16" s="356"/>
      <c r="E16" s="357">
        <f t="shared" si="0"/>
        <v>0</v>
      </c>
      <c r="F16" s="546"/>
      <c r="G16" s="546"/>
      <c r="H16" s="358">
        <f t="shared" si="1"/>
        <v>0</v>
      </c>
    </row>
    <row r="17" spans="1:12">
      <c r="A17" s="355">
        <v>5.3</v>
      </c>
      <c r="B17" s="362" t="s">
        <v>788</v>
      </c>
      <c r="C17" s="356">
        <f>C18+C19+C20+C21+C22</f>
        <v>25558852.579999998</v>
      </c>
      <c r="D17" s="356">
        <f>D18+D19+D20+D21+D22</f>
        <v>362923641.13879997</v>
      </c>
      <c r="E17" s="357">
        <f t="shared" si="0"/>
        <v>388482493.71879995</v>
      </c>
      <c r="F17" s="356">
        <f>F18+F19+F20+F21+F22</f>
        <v>34008852</v>
      </c>
      <c r="G17" s="356">
        <f>G18+G19+G20+G21+G22</f>
        <v>240500598.4533</v>
      </c>
      <c r="H17" s="358">
        <f t="shared" si="1"/>
        <v>274509450.4533</v>
      </c>
    </row>
    <row r="18" spans="1:12">
      <c r="A18" s="355" t="s">
        <v>169</v>
      </c>
      <c r="B18" s="363" t="s">
        <v>789</v>
      </c>
      <c r="C18" s="356">
        <v>1</v>
      </c>
      <c r="D18" s="356">
        <v>26051281.73</v>
      </c>
      <c r="E18" s="357">
        <f t="shared" si="0"/>
        <v>26051282.73</v>
      </c>
      <c r="F18" s="546">
        <v>1</v>
      </c>
      <c r="G18" s="546">
        <v>29192850.227299999</v>
      </c>
      <c r="H18" s="358">
        <f t="shared" si="1"/>
        <v>29192851.227299999</v>
      </c>
    </row>
    <row r="19" spans="1:12">
      <c r="A19" s="355" t="s">
        <v>170</v>
      </c>
      <c r="B19" s="364" t="s">
        <v>790</v>
      </c>
      <c r="C19" s="356">
        <v>167892</v>
      </c>
      <c r="D19" s="356">
        <v>246035694.51339999</v>
      </c>
      <c r="E19" s="357">
        <f t="shared" si="0"/>
        <v>246203586.51339999</v>
      </c>
      <c r="F19" s="546">
        <v>167892</v>
      </c>
      <c r="G19" s="546">
        <v>148485493.13789999</v>
      </c>
      <c r="H19" s="358">
        <f t="shared" si="1"/>
        <v>148653385.13789999</v>
      </c>
    </row>
    <row r="20" spans="1:12">
      <c r="A20" s="355" t="s">
        <v>171</v>
      </c>
      <c r="B20" s="364" t="s">
        <v>791</v>
      </c>
      <c r="C20" s="356">
        <v>0</v>
      </c>
      <c r="D20" s="356">
        <v>0</v>
      </c>
      <c r="E20" s="357">
        <f t="shared" si="0"/>
        <v>0</v>
      </c>
      <c r="F20" s="546"/>
      <c r="G20" s="546"/>
      <c r="H20" s="358">
        <f t="shared" si="1"/>
        <v>0</v>
      </c>
    </row>
    <row r="21" spans="1:12">
      <c r="A21" s="355" t="s">
        <v>172</v>
      </c>
      <c r="B21" s="364" t="s">
        <v>792</v>
      </c>
      <c r="C21" s="356">
        <v>40960.58</v>
      </c>
      <c r="D21" s="356">
        <v>65649479.954300001</v>
      </c>
      <c r="E21" s="357">
        <f t="shared" si="0"/>
        <v>65690440.534299999</v>
      </c>
      <c r="F21" s="546">
        <v>40960</v>
      </c>
      <c r="G21" s="546">
        <v>44547012.4036</v>
      </c>
      <c r="H21" s="358">
        <f t="shared" si="1"/>
        <v>44587972.4036</v>
      </c>
    </row>
    <row r="22" spans="1:12">
      <c r="A22" s="355" t="s">
        <v>173</v>
      </c>
      <c r="B22" s="364" t="s">
        <v>510</v>
      </c>
      <c r="C22" s="356">
        <v>25349999</v>
      </c>
      <c r="D22" s="356">
        <v>25187184.941100001</v>
      </c>
      <c r="E22" s="357">
        <f t="shared" si="0"/>
        <v>50537183.941100001</v>
      </c>
      <c r="F22" s="546">
        <v>33799999</v>
      </c>
      <c r="G22" s="546">
        <v>18275242.684500001</v>
      </c>
      <c r="H22" s="358">
        <f t="shared" si="1"/>
        <v>52075241.684500001</v>
      </c>
    </row>
    <row r="23" spans="1:12">
      <c r="A23" s="355">
        <v>5.4</v>
      </c>
      <c r="B23" s="362" t="s">
        <v>793</v>
      </c>
      <c r="C23" s="356">
        <v>4311601</v>
      </c>
      <c r="D23" s="356">
        <v>39329320.325300001</v>
      </c>
      <c r="E23" s="357">
        <f t="shared" si="0"/>
        <v>43640921.325300001</v>
      </c>
      <c r="F23" s="546">
        <v>7911600</v>
      </c>
      <c r="G23" s="546">
        <v>35661999.082500003</v>
      </c>
      <c r="H23" s="358">
        <f t="shared" si="1"/>
        <v>43573599.082500003</v>
      </c>
    </row>
    <row r="24" spans="1:12">
      <c r="A24" s="355">
        <v>5.5</v>
      </c>
      <c r="B24" s="362" t="s">
        <v>794</v>
      </c>
      <c r="C24" s="356">
        <v>0</v>
      </c>
      <c r="D24" s="356">
        <v>61.544800000000002</v>
      </c>
      <c r="E24" s="357">
        <f t="shared" si="0"/>
        <v>61.544800000000002</v>
      </c>
      <c r="F24" s="546">
        <v>0</v>
      </c>
      <c r="G24" s="546">
        <v>75.468599999999995</v>
      </c>
      <c r="H24" s="358">
        <f t="shared" si="1"/>
        <v>75.468599999999995</v>
      </c>
    </row>
    <row r="25" spans="1:12">
      <c r="A25" s="355">
        <v>5.6</v>
      </c>
      <c r="B25" s="362" t="s">
        <v>795</v>
      </c>
      <c r="C25" s="356">
        <v>0</v>
      </c>
      <c r="D25" s="356">
        <v>15730831.499199999</v>
      </c>
      <c r="E25" s="357">
        <f t="shared" si="0"/>
        <v>15730831.499199999</v>
      </c>
      <c r="F25" s="546"/>
      <c r="G25" s="546"/>
      <c r="H25" s="358">
        <f t="shared" si="1"/>
        <v>0</v>
      </c>
    </row>
    <row r="26" spans="1:12">
      <c r="A26" s="355">
        <v>5.7</v>
      </c>
      <c r="B26" s="362" t="s">
        <v>510</v>
      </c>
      <c r="C26" s="356">
        <v>72435176.950000003</v>
      </c>
      <c r="D26" s="356">
        <v>42465133.480099998</v>
      </c>
      <c r="E26" s="357">
        <f t="shared" si="0"/>
        <v>114900310.43009999</v>
      </c>
      <c r="F26" s="546">
        <v>63262500</v>
      </c>
      <c r="G26" s="546">
        <v>34622255.1329</v>
      </c>
      <c r="H26" s="358">
        <f t="shared" si="1"/>
        <v>97884755.1329</v>
      </c>
    </row>
    <row r="27" spans="1:12">
      <c r="A27" s="355">
        <v>6</v>
      </c>
      <c r="B27" s="361" t="s">
        <v>796</v>
      </c>
      <c r="C27" s="356">
        <v>2041208.1700000002</v>
      </c>
      <c r="D27" s="356">
        <v>19217118.318999998</v>
      </c>
      <c r="E27" s="357">
        <f t="shared" si="0"/>
        <v>21258326.489</v>
      </c>
      <c r="F27" s="546">
        <v>8309708.3600000003</v>
      </c>
      <c r="G27" s="546">
        <v>3521623.1697999993</v>
      </c>
      <c r="H27" s="358">
        <f t="shared" si="1"/>
        <v>11831331.5298</v>
      </c>
    </row>
    <row r="28" spans="1:12">
      <c r="A28" s="355">
        <v>7</v>
      </c>
      <c r="B28" s="361" t="s">
        <v>797</v>
      </c>
      <c r="C28" s="356">
        <v>24851782.68</v>
      </c>
      <c r="D28" s="356">
        <v>31069275.936700001</v>
      </c>
      <c r="E28" s="357">
        <f t="shared" si="0"/>
        <v>55921058.616700001</v>
      </c>
      <c r="F28" s="546">
        <v>39657664.020000003</v>
      </c>
      <c r="G28" s="546">
        <v>35345601.748999998</v>
      </c>
      <c r="H28" s="358">
        <f t="shared" si="1"/>
        <v>75003265.768999994</v>
      </c>
    </row>
    <row r="29" spans="1:12">
      <c r="A29" s="355">
        <v>8</v>
      </c>
      <c r="B29" s="361" t="s">
        <v>798</v>
      </c>
      <c r="C29" s="356">
        <v>0</v>
      </c>
      <c r="D29" s="356">
        <v>1188550.8223999999</v>
      </c>
      <c r="E29" s="357">
        <f t="shared" si="0"/>
        <v>1188550.8223999999</v>
      </c>
      <c r="F29" s="546">
        <v>0</v>
      </c>
      <c r="G29" s="546">
        <v>0</v>
      </c>
      <c r="H29" s="358">
        <f t="shared" si="1"/>
        <v>0</v>
      </c>
    </row>
    <row r="30" spans="1:12">
      <c r="A30" s="355">
        <v>9</v>
      </c>
      <c r="B30" s="359" t="s">
        <v>174</v>
      </c>
      <c r="C30" s="356">
        <f>C31+C32+C33+C34+C35+C36+C37</f>
        <v>84600469.780000001</v>
      </c>
      <c r="D30" s="356">
        <f>D31+D32+D33+D34+D35+D36+D37</f>
        <v>214611675.09750003</v>
      </c>
      <c r="E30" s="357">
        <f t="shared" si="0"/>
        <v>299212144.87750006</v>
      </c>
      <c r="F30" s="356">
        <f>F31+F32+F33+F34+F35+F36+F37</f>
        <v>88027110.210000008</v>
      </c>
      <c r="G30" s="356">
        <f>G31+G32+G33+G34+G35+G36+G37</f>
        <v>230230827.76069999</v>
      </c>
      <c r="H30" s="358">
        <f t="shared" si="1"/>
        <v>318257937.97070003</v>
      </c>
    </row>
    <row r="31" spans="1:12" ht="27.6">
      <c r="A31" s="355">
        <v>9.1</v>
      </c>
      <c r="B31" s="360" t="s">
        <v>799</v>
      </c>
      <c r="C31" s="356">
        <v>36770507.280000001</v>
      </c>
      <c r="D31" s="356">
        <v>112856455.77680001</v>
      </c>
      <c r="E31" s="357">
        <f t="shared" si="0"/>
        <v>149626963.05680001</v>
      </c>
      <c r="F31" s="546">
        <v>38363814.810000002</v>
      </c>
      <c r="G31" s="546">
        <v>121022747.76069999</v>
      </c>
      <c r="H31" s="358">
        <f t="shared" si="1"/>
        <v>159386562.57069999</v>
      </c>
      <c r="L31" s="645"/>
    </row>
    <row r="32" spans="1:12" ht="27.6">
      <c r="A32" s="355">
        <v>9.1999999999999993</v>
      </c>
      <c r="B32" s="360" t="s">
        <v>800</v>
      </c>
      <c r="C32" s="356">
        <v>47829962.5</v>
      </c>
      <c r="D32" s="356">
        <v>101755219.3207</v>
      </c>
      <c r="E32" s="357">
        <f t="shared" si="0"/>
        <v>149585181.82069999</v>
      </c>
      <c r="F32" s="546">
        <v>49663295.399999999</v>
      </c>
      <c r="G32" s="546">
        <v>109208080</v>
      </c>
      <c r="H32" s="358">
        <f t="shared" si="1"/>
        <v>158871375.40000001</v>
      </c>
      <c r="L32" s="645"/>
    </row>
    <row r="33" spans="1:8" ht="27.6">
      <c r="A33" s="355">
        <v>9.3000000000000007</v>
      </c>
      <c r="B33" s="360" t="s">
        <v>801</v>
      </c>
      <c r="C33" s="356"/>
      <c r="D33" s="356"/>
      <c r="E33" s="357">
        <f t="shared" si="0"/>
        <v>0</v>
      </c>
      <c r="F33" s="546"/>
      <c r="G33" s="546"/>
      <c r="H33" s="358">
        <f t="shared" si="1"/>
        <v>0</v>
      </c>
    </row>
    <row r="34" spans="1:8">
      <c r="A34" s="355">
        <v>9.4</v>
      </c>
      <c r="B34" s="360" t="s">
        <v>802</v>
      </c>
      <c r="C34" s="356"/>
      <c r="D34" s="356"/>
      <c r="E34" s="357">
        <f t="shared" si="0"/>
        <v>0</v>
      </c>
      <c r="F34" s="546"/>
      <c r="G34" s="546"/>
      <c r="H34" s="358">
        <f t="shared" si="1"/>
        <v>0</v>
      </c>
    </row>
    <row r="35" spans="1:8">
      <c r="A35" s="355">
        <v>9.5</v>
      </c>
      <c r="B35" s="360" t="s">
        <v>803</v>
      </c>
      <c r="C35" s="356"/>
      <c r="D35" s="356"/>
      <c r="E35" s="357">
        <f t="shared" si="0"/>
        <v>0</v>
      </c>
      <c r="F35" s="546"/>
      <c r="G35" s="546"/>
      <c r="H35" s="358">
        <f t="shared" si="1"/>
        <v>0</v>
      </c>
    </row>
    <row r="36" spans="1:8" ht="27.6">
      <c r="A36" s="355">
        <v>9.6</v>
      </c>
      <c r="B36" s="360" t="s">
        <v>804</v>
      </c>
      <c r="C36" s="356"/>
      <c r="D36" s="356"/>
      <c r="E36" s="357">
        <f t="shared" si="0"/>
        <v>0</v>
      </c>
      <c r="F36" s="546"/>
      <c r="G36" s="546"/>
      <c r="H36" s="358">
        <f t="shared" si="1"/>
        <v>0</v>
      </c>
    </row>
    <row r="37" spans="1:8" ht="27.6">
      <c r="A37" s="355">
        <v>9.6999999999999993</v>
      </c>
      <c r="B37" s="360" t="s">
        <v>805</v>
      </c>
      <c r="C37" s="356"/>
      <c r="D37" s="356"/>
      <c r="E37" s="357">
        <f t="shared" si="0"/>
        <v>0</v>
      </c>
      <c r="F37" s="546"/>
      <c r="G37" s="546"/>
      <c r="H37" s="358">
        <f t="shared" si="1"/>
        <v>0</v>
      </c>
    </row>
    <row r="38" spans="1:8">
      <c r="A38" s="355">
        <v>10</v>
      </c>
      <c r="B38" s="361" t="s">
        <v>806</v>
      </c>
      <c r="C38" s="546">
        <f>C41+C42</f>
        <v>16019374</v>
      </c>
      <c r="D38" s="546">
        <f>D41+D42</f>
        <v>193679</v>
      </c>
      <c r="E38" s="357">
        <f t="shared" si="0"/>
        <v>16213053</v>
      </c>
      <c r="F38" s="546">
        <f>F41+F42</f>
        <v>21935979.93</v>
      </c>
      <c r="G38" s="546">
        <f>G41+G42</f>
        <v>22466755.2762</v>
      </c>
      <c r="H38" s="358">
        <f t="shared" si="1"/>
        <v>44402735.206200004</v>
      </c>
    </row>
    <row r="39" spans="1:8">
      <c r="A39" s="355">
        <v>10.1</v>
      </c>
      <c r="B39" s="360" t="s">
        <v>807</v>
      </c>
      <c r="C39" s="356">
        <v>0</v>
      </c>
      <c r="D39" s="356">
        <v>0</v>
      </c>
      <c r="E39" s="357">
        <f t="shared" si="0"/>
        <v>0</v>
      </c>
      <c r="F39" s="546">
        <v>1425109.48</v>
      </c>
      <c r="G39" s="546">
        <v>0</v>
      </c>
      <c r="H39" s="358">
        <f t="shared" si="1"/>
        <v>1425109.48</v>
      </c>
    </row>
    <row r="40" spans="1:8" ht="27.6">
      <c r="A40" s="355">
        <v>10.199999999999999</v>
      </c>
      <c r="B40" s="360" t="s">
        <v>808</v>
      </c>
      <c r="C40" s="762">
        <v>0</v>
      </c>
      <c r="D40" s="762">
        <v>0</v>
      </c>
      <c r="E40" s="357">
        <f t="shared" si="0"/>
        <v>0</v>
      </c>
      <c r="F40" s="546">
        <v>1857417.02</v>
      </c>
      <c r="G40" s="546">
        <v>2202952.8791999999</v>
      </c>
      <c r="H40" s="358">
        <f t="shared" si="1"/>
        <v>4060369.8991999999</v>
      </c>
    </row>
    <row r="41" spans="1:8" ht="27.6">
      <c r="A41" s="355">
        <v>10.3</v>
      </c>
      <c r="B41" s="360" t="s">
        <v>809</v>
      </c>
      <c r="C41" s="356">
        <v>574405</v>
      </c>
      <c r="D41" s="356">
        <v>0</v>
      </c>
      <c r="E41" s="357">
        <f t="shared" si="0"/>
        <v>574405</v>
      </c>
      <c r="F41" s="546">
        <v>7859251.3300000001</v>
      </c>
      <c r="G41" s="546">
        <v>0</v>
      </c>
      <c r="H41" s="358">
        <f t="shared" si="1"/>
        <v>7859251.3300000001</v>
      </c>
    </row>
    <row r="42" spans="1:8" ht="27.6">
      <c r="A42" s="355">
        <v>10.4</v>
      </c>
      <c r="B42" s="360" t="s">
        <v>810</v>
      </c>
      <c r="C42" s="761">
        <v>15444969</v>
      </c>
      <c r="D42" s="761">
        <v>193679</v>
      </c>
      <c r="E42" s="357">
        <f t="shared" si="0"/>
        <v>15638648</v>
      </c>
      <c r="F42" s="546">
        <v>14076728.6</v>
      </c>
      <c r="G42" s="546">
        <v>22466755.2762</v>
      </c>
      <c r="H42" s="358">
        <f t="shared" si="1"/>
        <v>36543483.876199998</v>
      </c>
    </row>
    <row r="43" spans="1:8">
      <c r="A43" s="355">
        <v>11</v>
      </c>
      <c r="B43" s="365" t="s">
        <v>175</v>
      </c>
      <c r="C43" s="356"/>
      <c r="D43" s="356"/>
      <c r="E43" s="357">
        <f t="shared" si="0"/>
        <v>0</v>
      </c>
      <c r="F43" s="546"/>
      <c r="G43" s="546"/>
      <c r="H43" s="358">
        <f t="shared" si="1"/>
        <v>0</v>
      </c>
    </row>
    <row r="44" spans="1:8">
      <c r="C44" s="367"/>
      <c r="D44" s="367"/>
      <c r="E44" s="367"/>
      <c r="F44" s="367"/>
      <c r="G44" s="367"/>
      <c r="H44" s="367"/>
    </row>
    <row r="45" spans="1:8">
      <c r="C45" s="367"/>
      <c r="D45" s="367"/>
      <c r="E45" s="367"/>
      <c r="F45" s="367"/>
      <c r="G45" s="367"/>
      <c r="H45" s="367"/>
    </row>
    <row r="46" spans="1:8">
      <c r="C46" s="367"/>
      <c r="D46" s="367"/>
      <c r="E46" s="367"/>
      <c r="F46" s="367"/>
      <c r="G46" s="367"/>
      <c r="H46" s="367"/>
    </row>
    <row r="47" spans="1:8">
      <c r="C47" s="367"/>
      <c r="D47" s="367"/>
      <c r="E47" s="367"/>
      <c r="F47" s="367"/>
      <c r="G47" s="367"/>
      <c r="H47" s="367"/>
    </row>
  </sheetData>
  <mergeCells count="4">
    <mergeCell ref="A4:A5"/>
    <mergeCell ref="B4:B5"/>
    <mergeCell ref="C4:E4"/>
    <mergeCell ref="F4:H4"/>
  </mergeCells>
  <pageMargins left="0.7" right="0.7" top="0.75" bottom="0.75" header="0.3" footer="0.3"/>
  <headerFooter>
    <oddFooter>&amp;C_x000D_&amp;1#&amp;"Calibri"&amp;10&amp;K000000 C1 - FOR 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D25" sqref="D25"/>
    </sheetView>
  </sheetViews>
  <sheetFormatPr defaultColWidth="9.21875" defaultRowHeight="13.8"/>
  <cols>
    <col min="1" max="1" width="9.5546875" style="1" bestFit="1" customWidth="1"/>
    <col min="2" max="2" width="93.5546875" style="1" customWidth="1"/>
    <col min="3" max="4" width="12.77734375" style="1" customWidth="1"/>
    <col min="5" max="11" width="9.77734375" style="8" customWidth="1"/>
    <col min="12" max="16384" width="9.21875" style="8"/>
  </cols>
  <sheetData>
    <row r="1" spans="1:7">
      <c r="A1" s="13" t="s">
        <v>97</v>
      </c>
      <c r="B1" s="12" t="str">
        <f>Info!C2</f>
        <v>სს " პაშა ბანკი საქართველო"</v>
      </c>
      <c r="C1" s="12"/>
    </row>
    <row r="2" spans="1:7">
      <c r="A2" s="13" t="s">
        <v>98</v>
      </c>
      <c r="B2" s="278">
        <f>'1. key ratios'!B2</f>
        <v>45747</v>
      </c>
      <c r="C2" s="12"/>
    </row>
    <row r="3" spans="1:7">
      <c r="A3" s="13"/>
      <c r="B3" s="12"/>
      <c r="C3" s="12"/>
    </row>
    <row r="4" spans="1:7" ht="15" customHeight="1" thickBot="1">
      <c r="A4" s="116" t="s">
        <v>242</v>
      </c>
      <c r="B4" s="117" t="s">
        <v>96</v>
      </c>
      <c r="C4" s="118" t="s">
        <v>76</v>
      </c>
    </row>
    <row r="5" spans="1:7" ht="15" customHeight="1">
      <c r="A5" s="114" t="s">
        <v>25</v>
      </c>
      <c r="B5" s="115"/>
      <c r="C5" s="262" t="str">
        <f>INT((MONTH($B$2))/3)&amp;"Q"&amp;"-"&amp;YEAR($B$2)</f>
        <v>1Q-2025</v>
      </c>
      <c r="D5" s="262" t="str">
        <f>IF(INT(MONTH($B$2))=3, "4"&amp;"Q"&amp;"-"&amp;YEAR($B$2)-1, IF(INT(MONTH($B$2))=6, "1"&amp;"Q"&amp;"-"&amp;YEAR($B$2), IF(INT(MONTH($B$2))=9, "2"&amp;"Q"&amp;"-"&amp;YEAR($B$2),IF(INT(MONTH($B$2))=12, "3"&amp;"Q"&amp;"-"&amp;YEAR($B$2), 0))))</f>
        <v>4Q-2024</v>
      </c>
      <c r="E5" s="262" t="str">
        <f>IF(INT(MONTH($B$2))=3, "3"&amp;"Q"&amp;"-"&amp;YEAR($B$2)-1, IF(INT(MONTH($B$2))=6, "4"&amp;"Q"&amp;"-"&amp;YEAR($B$2)-1, IF(INT(MONTH($B$2))=9, "1"&amp;"Q"&amp;"-"&amp;YEAR($B$2),IF(INT(MONTH($B$2))=12, "2"&amp;"Q"&amp;"-"&amp;YEAR($B$2), 0))))</f>
        <v>3Q-2024</v>
      </c>
      <c r="F5" s="262" t="str">
        <f>IF(INT(MONTH($B$2))=3, "2"&amp;"Q"&amp;"-"&amp;YEAR($B$2)-1, IF(INT(MONTH($B$2))=6, "3"&amp;"Q"&amp;"-"&amp;YEAR($B$2)-1, IF(INT(MONTH($B$2))=9, "4"&amp;"Q"&amp;"-"&amp;YEAR($B$2)-1,IF(INT(MONTH($B$2))=12, "1"&amp;"Q"&amp;"-"&amp;YEAR($B$2), 0))))</f>
        <v>2Q-2024</v>
      </c>
      <c r="G5" s="262" t="str">
        <f>IF(INT(MONTH($B$2))=3, "1"&amp;"Q"&amp;"-"&amp;YEAR($B$2)-1, IF(INT(MONTH($B$2))=6, "2"&amp;"Q"&amp;"-"&amp;YEAR($B$2)-1, IF(INT(MONTH($B$2))=9, "3"&amp;"Q"&amp;"-"&amp;YEAR($B$2)-1,IF(INT(MONTH($B$2))=12, "4"&amp;"Q"&amp;"-"&amp;YEAR($B$2)-1, 0))))</f>
        <v>1Q-2024</v>
      </c>
    </row>
    <row r="6" spans="1:7" ht="15" customHeight="1">
      <c r="A6" s="215">
        <v>1</v>
      </c>
      <c r="B6" s="247" t="s">
        <v>101</v>
      </c>
      <c r="C6" s="216">
        <f>C7+C9+C10</f>
        <v>547179259.45317447</v>
      </c>
      <c r="D6" s="249">
        <f>D7+D9+D10</f>
        <v>557912289</v>
      </c>
      <c r="E6" s="217">
        <f t="shared" ref="E6:G6" si="0">E7+E9+E10</f>
        <v>532723318</v>
      </c>
      <c r="F6" s="216">
        <f t="shared" si="0"/>
        <v>531594203</v>
      </c>
      <c r="G6" s="250">
        <f t="shared" si="0"/>
        <v>486148202</v>
      </c>
    </row>
    <row r="7" spans="1:7" ht="15" customHeight="1">
      <c r="A7" s="215">
        <v>1.1000000000000001</v>
      </c>
      <c r="B7" s="218" t="s">
        <v>995</v>
      </c>
      <c r="C7" s="219">
        <v>513414045.70438999</v>
      </c>
      <c r="D7" s="251">
        <v>523377407</v>
      </c>
      <c r="E7" s="219">
        <v>490354565</v>
      </c>
      <c r="F7" s="219">
        <v>493078309</v>
      </c>
      <c r="G7" s="252">
        <v>440791399</v>
      </c>
    </row>
    <row r="8" spans="1:7" ht="27.6">
      <c r="A8" s="215" t="s">
        <v>146</v>
      </c>
      <c r="B8" s="220" t="s">
        <v>239</v>
      </c>
      <c r="C8" s="219"/>
      <c r="D8" s="251"/>
      <c r="E8" s="219"/>
      <c r="F8" s="219"/>
      <c r="G8" s="252"/>
    </row>
    <row r="9" spans="1:7" ht="15" customHeight="1">
      <c r="A9" s="215">
        <v>1.2</v>
      </c>
      <c r="B9" s="218" t="s">
        <v>21</v>
      </c>
      <c r="C9" s="219">
        <v>33153849.225784499</v>
      </c>
      <c r="D9" s="251">
        <v>33164663</v>
      </c>
      <c r="E9" s="219">
        <v>40956395</v>
      </c>
      <c r="F9" s="219">
        <v>37135997</v>
      </c>
      <c r="G9" s="252">
        <v>43415261</v>
      </c>
    </row>
    <row r="10" spans="1:7" ht="15" customHeight="1">
      <c r="A10" s="215">
        <v>1.3</v>
      </c>
      <c r="B10" s="248" t="s">
        <v>73</v>
      </c>
      <c r="C10" s="219">
        <v>611364.52299999993</v>
      </c>
      <c r="D10" s="251">
        <v>1370219</v>
      </c>
      <c r="E10" s="219">
        <v>1412358</v>
      </c>
      <c r="F10" s="219">
        <v>1379897</v>
      </c>
      <c r="G10" s="252">
        <v>1941542</v>
      </c>
    </row>
    <row r="11" spans="1:7" ht="15" customHeight="1">
      <c r="A11" s="215">
        <v>2</v>
      </c>
      <c r="B11" s="247" t="s">
        <v>102</v>
      </c>
      <c r="C11" s="219">
        <v>729412.21164619329</v>
      </c>
      <c r="D11" s="251">
        <v>2449693</v>
      </c>
      <c r="E11" s="219">
        <v>2278077</v>
      </c>
      <c r="F11" s="219">
        <v>1876606</v>
      </c>
      <c r="G11" s="252">
        <v>5665507</v>
      </c>
    </row>
    <row r="12" spans="1:7" ht="15" customHeight="1">
      <c r="A12" s="215">
        <v>3</v>
      </c>
      <c r="B12" s="247" t="s">
        <v>100</v>
      </c>
      <c r="C12" s="219">
        <v>77450981.25</v>
      </c>
      <c r="D12" s="251">
        <v>77450981</v>
      </c>
      <c r="E12" s="219">
        <v>66393322</v>
      </c>
      <c r="F12" s="219">
        <v>66393322</v>
      </c>
      <c r="G12" s="252">
        <v>66393322</v>
      </c>
    </row>
    <row r="13" spans="1:7" ht="15" customHeight="1" thickBot="1">
      <c r="A13" s="63">
        <v>4</v>
      </c>
      <c r="B13" s="255" t="s">
        <v>147</v>
      </c>
      <c r="C13" s="135">
        <f>C6+C11+C12</f>
        <v>625359652.91482067</v>
      </c>
      <c r="D13" s="253">
        <f>D6+D11+D12</f>
        <v>637812963</v>
      </c>
      <c r="E13" s="136">
        <f t="shared" ref="E13:G13" si="1">E6+E11+E12</f>
        <v>601394717</v>
      </c>
      <c r="F13" s="135">
        <f t="shared" si="1"/>
        <v>599864131</v>
      </c>
      <c r="G13" s="254">
        <f t="shared" si="1"/>
        <v>558207031</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headerFooter>
    <oddFooter>&amp;C_x000D_&amp;1#&amp;"Calibri"&amp;10&amp;K000000 C1 - FOR 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8"/>
  <sheetViews>
    <sheetView showGridLines="0" zoomScale="80" zoomScaleNormal="80" workbookViewId="0">
      <pane xSplit="1" ySplit="4" topLeftCell="B5" activePane="bottomRight" state="frozen"/>
      <selection pane="topRight" activeCell="B1" sqref="B1"/>
      <selection pane="bottomLeft" activeCell="A4" sqref="A4"/>
      <selection pane="bottomRight" activeCell="L24" sqref="L24"/>
    </sheetView>
  </sheetViews>
  <sheetFormatPr defaultRowHeight="14.4"/>
  <cols>
    <col min="1" max="1" width="9.5546875" style="1" bestFit="1" customWidth="1"/>
    <col min="2" max="2" width="58.77734375" style="1" customWidth="1"/>
    <col min="3" max="3" width="34.21875" style="1" customWidth="1"/>
  </cols>
  <sheetData>
    <row r="1" spans="1:8">
      <c r="A1" s="1" t="s">
        <v>97</v>
      </c>
      <c r="B1" s="1" t="str">
        <f>Info!C2</f>
        <v>სს " პაშა ბანკი საქართველო"</v>
      </c>
    </row>
    <row r="2" spans="1:8">
      <c r="A2" s="1" t="s">
        <v>98</v>
      </c>
      <c r="B2" s="278">
        <f>'1. key ratios'!B2</f>
        <v>45747</v>
      </c>
    </row>
    <row r="4" spans="1:8" ht="25.5" customHeight="1" thickBot="1">
      <c r="A4" s="129" t="s">
        <v>243</v>
      </c>
      <c r="B4" s="23" t="s">
        <v>80</v>
      </c>
      <c r="C4" s="9"/>
    </row>
    <row r="5" spans="1:8">
      <c r="A5" s="7"/>
      <c r="B5" s="243" t="s">
        <v>81</v>
      </c>
      <c r="C5" s="260" t="s">
        <v>419</v>
      </c>
    </row>
    <row r="6" spans="1:8">
      <c r="A6" s="10">
        <v>1</v>
      </c>
      <c r="B6" s="24" t="s">
        <v>1004</v>
      </c>
      <c r="C6" s="256" t="s">
        <v>1005</v>
      </c>
    </row>
    <row r="7" spans="1:8">
      <c r="A7" s="10">
        <v>2</v>
      </c>
      <c r="B7" s="24" t="s">
        <v>1006</v>
      </c>
      <c r="C7" s="256" t="s">
        <v>1007</v>
      </c>
    </row>
    <row r="8" spans="1:8">
      <c r="A8" s="10">
        <v>3</v>
      </c>
      <c r="B8" s="24" t="s">
        <v>1008</v>
      </c>
      <c r="C8" s="256" t="s">
        <v>1007</v>
      </c>
    </row>
    <row r="9" spans="1:8">
      <c r="A9" s="10">
        <v>4</v>
      </c>
      <c r="B9" s="24" t="s">
        <v>1009</v>
      </c>
      <c r="C9" s="256" t="s">
        <v>1005</v>
      </c>
    </row>
    <row r="10" spans="1:8">
      <c r="A10" s="10">
        <v>5</v>
      </c>
      <c r="B10" s="24" t="s">
        <v>1010</v>
      </c>
      <c r="C10" s="256" t="s">
        <v>1011</v>
      </c>
    </row>
    <row r="11" spans="1:8">
      <c r="A11" s="10">
        <v>6</v>
      </c>
      <c r="B11" s="24"/>
      <c r="C11" s="256"/>
    </row>
    <row r="12" spans="1:8">
      <c r="A12" s="10">
        <v>7</v>
      </c>
      <c r="B12" s="24"/>
      <c r="C12" s="256"/>
      <c r="H12" s="2"/>
    </row>
    <row r="13" spans="1:8">
      <c r="A13" s="10">
        <v>8</v>
      </c>
      <c r="B13" s="24"/>
      <c r="C13" s="256"/>
    </row>
    <row r="14" spans="1:8">
      <c r="A14" s="10">
        <v>9</v>
      </c>
      <c r="B14" s="24"/>
      <c r="C14" s="256"/>
    </row>
    <row r="15" spans="1:8">
      <c r="A15" s="10">
        <v>10</v>
      </c>
      <c r="B15" s="24"/>
      <c r="C15" s="256"/>
    </row>
    <row r="16" spans="1:8">
      <c r="A16" s="10"/>
      <c r="B16" s="791"/>
      <c r="C16" s="792"/>
    </row>
    <row r="17" spans="1:3" ht="55.2">
      <c r="A17" s="10"/>
      <c r="B17" s="244" t="s">
        <v>82</v>
      </c>
      <c r="C17" s="261" t="s">
        <v>420</v>
      </c>
    </row>
    <row r="18" spans="1:3">
      <c r="A18" s="10">
        <v>1</v>
      </c>
      <c r="B18" s="20" t="s">
        <v>1002</v>
      </c>
      <c r="C18" s="258" t="s">
        <v>1012</v>
      </c>
    </row>
    <row r="19" spans="1:3">
      <c r="A19" s="10">
        <v>2</v>
      </c>
      <c r="B19" s="20" t="s">
        <v>1013</v>
      </c>
      <c r="C19" s="258" t="s">
        <v>1014</v>
      </c>
    </row>
    <row r="20" spans="1:3">
      <c r="A20" s="10">
        <v>3</v>
      </c>
      <c r="B20" s="20" t="s">
        <v>1015</v>
      </c>
      <c r="C20" s="258" t="s">
        <v>1016</v>
      </c>
    </row>
    <row r="21" spans="1:3">
      <c r="A21" s="10">
        <v>4</v>
      </c>
      <c r="B21" s="20" t="s">
        <v>1017</v>
      </c>
      <c r="C21" s="258" t="s">
        <v>1018</v>
      </c>
    </row>
    <row r="22" spans="1:3">
      <c r="A22" s="10">
        <v>5</v>
      </c>
      <c r="B22" s="20"/>
      <c r="C22" s="258"/>
    </row>
    <row r="23" spans="1:3">
      <c r="A23" s="10">
        <v>6</v>
      </c>
      <c r="B23" s="20"/>
      <c r="C23" s="258"/>
    </row>
    <row r="24" spans="1:3">
      <c r="A24" s="10">
        <v>7</v>
      </c>
      <c r="B24" s="20"/>
      <c r="C24" s="258"/>
    </row>
    <row r="25" spans="1:3">
      <c r="A25" s="10">
        <v>8</v>
      </c>
      <c r="B25" s="20"/>
      <c r="C25" s="258"/>
    </row>
    <row r="26" spans="1:3">
      <c r="A26" s="10">
        <v>9</v>
      </c>
      <c r="B26" s="20"/>
      <c r="C26" s="258"/>
    </row>
    <row r="27" spans="1:3" ht="15.75" customHeight="1">
      <c r="A27" s="10">
        <v>10</v>
      </c>
      <c r="B27" s="20"/>
      <c r="C27" s="259"/>
    </row>
    <row r="28" spans="1:3" ht="15.75" customHeight="1">
      <c r="A28" s="10"/>
      <c r="B28" s="20"/>
      <c r="C28" s="21"/>
    </row>
    <row r="29" spans="1:3" ht="30" customHeight="1">
      <c r="A29" s="10"/>
      <c r="B29" s="793" t="s">
        <v>83</v>
      </c>
      <c r="C29" s="794"/>
    </row>
    <row r="30" spans="1:3">
      <c r="A30" s="10">
        <v>1</v>
      </c>
      <c r="B30" s="24" t="s">
        <v>1019</v>
      </c>
      <c r="C30" s="604">
        <v>0.85058799707602339</v>
      </c>
    </row>
    <row r="31" spans="1:3">
      <c r="A31" s="602">
        <v>2</v>
      </c>
      <c r="B31" s="603" t="s">
        <v>1020</v>
      </c>
      <c r="C31" s="604">
        <v>0.14941200292397661</v>
      </c>
    </row>
    <row r="32" spans="1:3" ht="15.75" customHeight="1">
      <c r="A32" s="10"/>
      <c r="B32" s="24"/>
      <c r="C32" s="25"/>
    </row>
    <row r="33" spans="1:3" ht="29.25" customHeight="1">
      <c r="A33" s="10"/>
      <c r="B33" s="793" t="s">
        <v>163</v>
      </c>
      <c r="C33" s="794"/>
    </row>
    <row r="34" spans="1:3">
      <c r="A34" s="10">
        <v>1</v>
      </c>
      <c r="B34" s="24" t="s">
        <v>1021</v>
      </c>
      <c r="C34" s="607">
        <v>0.18988394736842104</v>
      </c>
    </row>
    <row r="35" spans="1:3">
      <c r="A35" s="605">
        <v>2</v>
      </c>
      <c r="B35" s="606" t="s">
        <v>1022</v>
      </c>
      <c r="C35" s="608">
        <v>0.35211520467836255</v>
      </c>
    </row>
    <row r="36" spans="1:3">
      <c r="A36" s="605">
        <v>3</v>
      </c>
      <c r="B36" s="606" t="s">
        <v>1023</v>
      </c>
      <c r="C36" s="608">
        <v>0.35211520467836255</v>
      </c>
    </row>
    <row r="37" spans="1:3">
      <c r="A37" s="605">
        <v>4</v>
      </c>
      <c r="B37" s="606" t="s">
        <v>1024</v>
      </c>
      <c r="C37" s="608">
        <v>0.10588564327485381</v>
      </c>
    </row>
    <row r="38" spans="1:3" ht="15" thickBot="1">
      <c r="A38" s="11"/>
      <c r="B38" s="26"/>
      <c r="C38" s="257"/>
    </row>
  </sheetData>
  <mergeCells count="3">
    <mergeCell ref="B16:C16"/>
    <mergeCell ref="B33:C33"/>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Footer>&amp;C_x000D_&amp;1#&amp;"Calibri"&amp;10&amp;K000000 C1 - FOR 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80" zoomScaleNormal="80" workbookViewId="0">
      <pane xSplit="1" ySplit="5" topLeftCell="B30" activePane="bottomRight" state="frozen"/>
      <selection activeCell="H6" sqref="H6"/>
      <selection pane="topRight" activeCell="H6" sqref="H6"/>
      <selection pane="bottomLeft" activeCell="H6" sqref="H6"/>
      <selection pane="bottomRight" activeCell="O33" sqref="O33"/>
    </sheetView>
  </sheetViews>
  <sheetFormatPr defaultRowHeight="14.4"/>
  <cols>
    <col min="1" max="1" width="9.5546875" style="1" bestFit="1" customWidth="1"/>
    <col min="2" max="2" width="47.5546875" style="1" customWidth="1"/>
    <col min="3" max="3" width="28" style="1" customWidth="1"/>
    <col min="4" max="4" width="25.6640625" style="1" customWidth="1"/>
    <col min="5" max="5" width="18.77734375" style="1" customWidth="1"/>
    <col min="6" max="6" width="12" bestFit="1" customWidth="1"/>
    <col min="7" max="7" width="12.5546875" bestFit="1" customWidth="1"/>
  </cols>
  <sheetData>
    <row r="1" spans="1:5">
      <c r="A1" s="13" t="s">
        <v>97</v>
      </c>
      <c r="B1" s="12" t="str">
        <f>Info!C2</f>
        <v>სს " პაშა ბანკი საქართველო"</v>
      </c>
    </row>
    <row r="2" spans="1:5" s="13" customFormat="1" ht="15.75" customHeight="1">
      <c r="A2" s="13" t="s">
        <v>98</v>
      </c>
      <c r="B2" s="278">
        <f>'1. key ratios'!B2</f>
        <v>45747</v>
      </c>
    </row>
    <row r="3" spans="1:5" s="13" customFormat="1" ht="15.75" customHeight="1"/>
    <row r="4" spans="1:5" s="13" customFormat="1" ht="15.75" customHeight="1" thickBot="1">
      <c r="A4" s="130" t="s">
        <v>244</v>
      </c>
      <c r="B4" s="131" t="s">
        <v>157</v>
      </c>
      <c r="C4" s="96"/>
      <c r="D4" s="96"/>
      <c r="E4" s="97" t="s">
        <v>76</v>
      </c>
    </row>
    <row r="5" spans="1:5" s="59" customFormat="1" ht="17.55" customHeight="1">
      <c r="A5" s="193"/>
      <c r="B5" s="194"/>
      <c r="C5" s="95" t="s">
        <v>0</v>
      </c>
      <c r="D5" s="95" t="s">
        <v>1</v>
      </c>
      <c r="E5" s="195" t="s">
        <v>2</v>
      </c>
    </row>
    <row r="6" spans="1:5" ht="14.55" customHeight="1">
      <c r="A6" s="196"/>
      <c r="B6" s="795" t="s">
        <v>133</v>
      </c>
      <c r="C6" s="795" t="s">
        <v>824</v>
      </c>
      <c r="D6" s="796" t="s">
        <v>132</v>
      </c>
      <c r="E6" s="797"/>
    </row>
    <row r="7" spans="1:5" ht="99.6" customHeight="1">
      <c r="A7" s="196"/>
      <c r="B7" s="795"/>
      <c r="C7" s="795"/>
      <c r="D7" s="191" t="s">
        <v>131</v>
      </c>
      <c r="E7" s="192" t="s">
        <v>341</v>
      </c>
    </row>
    <row r="8" spans="1:5" ht="22.5" customHeight="1">
      <c r="A8" s="369">
        <v>1</v>
      </c>
      <c r="B8" s="345" t="s">
        <v>811</v>
      </c>
      <c r="C8" s="370">
        <f>SUM(C9:C11)</f>
        <v>198288716.39709997</v>
      </c>
      <c r="D8" s="370">
        <f t="shared" ref="D8:E8" si="0">SUM(D9:D11)</f>
        <v>0</v>
      </c>
      <c r="E8" s="659">
        <f t="shared" si="0"/>
        <v>198288716.39709997</v>
      </c>
    </row>
    <row r="9" spans="1:5">
      <c r="A9" s="369">
        <v>1.1000000000000001</v>
      </c>
      <c r="B9" s="346" t="s">
        <v>85</v>
      </c>
      <c r="C9" s="370">
        <v>3438603.0577000002</v>
      </c>
      <c r="D9" s="370"/>
      <c r="E9" s="659">
        <f>C9-D9</f>
        <v>3438603.0577000002</v>
      </c>
    </row>
    <row r="10" spans="1:5">
      <c r="A10" s="369">
        <v>1.2</v>
      </c>
      <c r="B10" s="346" t="s">
        <v>86</v>
      </c>
      <c r="C10" s="370">
        <v>89416383.471699998</v>
      </c>
      <c r="D10" s="370"/>
      <c r="E10" s="659">
        <f>C10-D10</f>
        <v>89416383.471699998</v>
      </c>
    </row>
    <row r="11" spans="1:5">
      <c r="A11" s="369">
        <v>1.3</v>
      </c>
      <c r="B11" s="346" t="s">
        <v>87</v>
      </c>
      <c r="C11" s="370">
        <v>105433729.8677</v>
      </c>
      <c r="D11" s="370"/>
      <c r="E11" s="659">
        <f>C11-D11</f>
        <v>105433729.8677</v>
      </c>
    </row>
    <row r="12" spans="1:5">
      <c r="A12" s="369">
        <v>2</v>
      </c>
      <c r="B12" s="347" t="s">
        <v>698</v>
      </c>
      <c r="C12" s="370">
        <v>590873.73609999998</v>
      </c>
      <c r="D12" s="370">
        <v>0</v>
      </c>
      <c r="E12" s="659">
        <f>E13</f>
        <v>590873.73609999998</v>
      </c>
    </row>
    <row r="13" spans="1:5">
      <c r="A13" s="369">
        <v>2.1</v>
      </c>
      <c r="B13" s="616" t="s">
        <v>699</v>
      </c>
      <c r="C13" s="370">
        <v>590873.73609999998</v>
      </c>
      <c r="D13" s="370"/>
      <c r="E13" s="659">
        <f>C13-D13</f>
        <v>590873.73609999998</v>
      </c>
    </row>
    <row r="14" spans="1:5" ht="34.049999999999997" customHeight="1">
      <c r="A14" s="369">
        <v>3</v>
      </c>
      <c r="B14" s="617" t="s">
        <v>700</v>
      </c>
      <c r="C14" s="370"/>
      <c r="D14" s="370"/>
      <c r="E14" s="659"/>
    </row>
    <row r="15" spans="1:5" ht="32.549999999999997" customHeight="1">
      <c r="A15" s="369">
        <v>4</v>
      </c>
      <c r="B15" s="609" t="s">
        <v>701</v>
      </c>
      <c r="C15" s="370"/>
      <c r="D15" s="370"/>
      <c r="E15" s="659"/>
    </row>
    <row r="16" spans="1:5" ht="22.95" customHeight="1">
      <c r="A16" s="369">
        <v>5</v>
      </c>
      <c r="B16" s="609" t="s">
        <v>702</v>
      </c>
      <c r="C16" s="370">
        <f>SUM(C17:C19)</f>
        <v>0</v>
      </c>
      <c r="D16" s="370">
        <f t="shared" ref="D16:E16" si="1">SUM(D17:D19)</f>
        <v>0</v>
      </c>
      <c r="E16" s="659">
        <f t="shared" si="1"/>
        <v>0</v>
      </c>
    </row>
    <row r="17" spans="1:5">
      <c r="A17" s="369">
        <v>5.0999999999999996</v>
      </c>
      <c r="B17" s="610" t="s">
        <v>703</v>
      </c>
      <c r="C17" s="370"/>
      <c r="D17" s="370"/>
      <c r="E17" s="659"/>
    </row>
    <row r="18" spans="1:5">
      <c r="A18" s="369">
        <v>5.2</v>
      </c>
      <c r="B18" s="610" t="s">
        <v>538</v>
      </c>
      <c r="C18" s="370"/>
      <c r="D18" s="370"/>
      <c r="E18" s="659"/>
    </row>
    <row r="19" spans="1:5">
      <c r="A19" s="369">
        <v>5.3</v>
      </c>
      <c r="B19" s="610" t="s">
        <v>704</v>
      </c>
      <c r="C19" s="370"/>
      <c r="D19" s="370"/>
      <c r="E19" s="659"/>
    </row>
    <row r="20" spans="1:5" ht="20.399999999999999">
      <c r="A20" s="369">
        <v>6</v>
      </c>
      <c r="B20" s="617" t="s">
        <v>705</v>
      </c>
      <c r="C20" s="370">
        <f>SUM(C21:C22)</f>
        <v>468121388.53500003</v>
      </c>
      <c r="D20" s="370">
        <f t="shared" ref="D20:E20" si="2">SUM(D21:D22)</f>
        <v>0</v>
      </c>
      <c r="E20" s="659">
        <f t="shared" si="2"/>
        <v>468121388.53500003</v>
      </c>
    </row>
    <row r="21" spans="1:5">
      <c r="A21" s="369">
        <v>6.1</v>
      </c>
      <c r="B21" s="610" t="s">
        <v>538</v>
      </c>
      <c r="C21" s="371">
        <v>81067518.249800012</v>
      </c>
      <c r="D21" s="371"/>
      <c r="E21" s="659">
        <f>C21-D21</f>
        <v>81067518.249800012</v>
      </c>
    </row>
    <row r="22" spans="1:5">
      <c r="A22" s="369">
        <v>6.2</v>
      </c>
      <c r="B22" s="610" t="s">
        <v>704</v>
      </c>
      <c r="C22" s="371">
        <v>387053870.2852</v>
      </c>
      <c r="D22" s="371"/>
      <c r="E22" s="659">
        <f>C22-D22</f>
        <v>387053870.2852</v>
      </c>
    </row>
    <row r="23" spans="1:5" ht="20.399999999999999">
      <c r="A23" s="369">
        <v>7</v>
      </c>
      <c r="B23" s="618" t="s">
        <v>706</v>
      </c>
      <c r="C23" s="372"/>
      <c r="D23" s="372"/>
      <c r="E23" s="659">
        <f>C23-D23</f>
        <v>0</v>
      </c>
    </row>
    <row r="24" spans="1:5" ht="20.399999999999999">
      <c r="A24" s="369">
        <v>8</v>
      </c>
      <c r="B24" s="618" t="s">
        <v>707</v>
      </c>
      <c r="C24" s="372"/>
      <c r="D24" s="372"/>
      <c r="E24" s="659">
        <f>C24-D24</f>
        <v>0</v>
      </c>
    </row>
    <row r="25" spans="1:5">
      <c r="A25" s="369">
        <v>9</v>
      </c>
      <c r="B25" s="609" t="s">
        <v>708</v>
      </c>
      <c r="C25" s="372">
        <f>SUM(C26:C27)</f>
        <v>6718453.9199999999</v>
      </c>
      <c r="D25" s="372">
        <f t="shared" ref="D25:E25" si="3">SUM(D26:D27)</f>
        <v>0</v>
      </c>
      <c r="E25" s="660">
        <f t="shared" si="3"/>
        <v>6718453.9199999999</v>
      </c>
    </row>
    <row r="26" spans="1:5">
      <c r="A26" s="369">
        <v>9.1</v>
      </c>
      <c r="B26" s="612" t="s">
        <v>709</v>
      </c>
      <c r="C26" s="372">
        <v>6718453.9199999999</v>
      </c>
      <c r="D26" s="372"/>
      <c r="E26" s="659">
        <f>C26-D26</f>
        <v>6718453.9199999999</v>
      </c>
    </row>
    <row r="27" spans="1:5">
      <c r="A27" s="369">
        <v>9.1999999999999993</v>
      </c>
      <c r="B27" s="612" t="s">
        <v>710</v>
      </c>
      <c r="C27" s="372"/>
      <c r="D27" s="372"/>
      <c r="E27" s="659">
        <f>C27-D27</f>
        <v>0</v>
      </c>
    </row>
    <row r="28" spans="1:5">
      <c r="A28" s="369">
        <v>10</v>
      </c>
      <c r="B28" s="609" t="s">
        <v>36</v>
      </c>
      <c r="C28" s="372">
        <f>SUM(C29:C30)</f>
        <v>3583917.36</v>
      </c>
      <c r="D28" s="372">
        <f t="shared" ref="D28:E28" si="4">SUM(D29:D30)</f>
        <v>3583917.36</v>
      </c>
      <c r="E28" s="660">
        <f t="shared" si="4"/>
        <v>0</v>
      </c>
    </row>
    <row r="29" spans="1:5">
      <c r="A29" s="369">
        <v>10.1</v>
      </c>
      <c r="B29" s="612" t="s">
        <v>711</v>
      </c>
      <c r="C29" s="372"/>
      <c r="D29" s="372"/>
      <c r="E29" s="660"/>
    </row>
    <row r="30" spans="1:5">
      <c r="A30" s="369">
        <v>10.199999999999999</v>
      </c>
      <c r="B30" s="612" t="s">
        <v>712</v>
      </c>
      <c r="C30" s="372">
        <v>3583917.36</v>
      </c>
      <c r="D30" s="372">
        <v>3583917.36</v>
      </c>
      <c r="E30" s="659">
        <f>C30-D30</f>
        <v>0</v>
      </c>
    </row>
    <row r="31" spans="1:5">
      <c r="A31" s="369">
        <v>11</v>
      </c>
      <c r="B31" s="609" t="s">
        <v>713</v>
      </c>
      <c r="C31" s="372">
        <f>SUM(C32:C33)</f>
        <v>3795103.27</v>
      </c>
      <c r="D31" s="372">
        <f t="shared" ref="D31:E31" si="5">SUM(D32:D33)</f>
        <v>3795103.27</v>
      </c>
      <c r="E31" s="660">
        <f t="shared" si="5"/>
        <v>0</v>
      </c>
    </row>
    <row r="32" spans="1:5">
      <c r="A32" s="369">
        <v>11.1</v>
      </c>
      <c r="B32" s="612" t="s">
        <v>714</v>
      </c>
      <c r="C32" s="372"/>
      <c r="D32" s="372"/>
      <c r="E32" s="660"/>
    </row>
    <row r="33" spans="1:7">
      <c r="A33" s="369">
        <v>11.2</v>
      </c>
      <c r="B33" s="612" t="s">
        <v>715</v>
      </c>
      <c r="C33" s="372">
        <v>3795103.27</v>
      </c>
      <c r="D33" s="372">
        <v>3795103.27</v>
      </c>
      <c r="E33" s="660"/>
    </row>
    <row r="34" spans="1:7">
      <c r="A34" s="369">
        <v>13</v>
      </c>
      <c r="B34" s="609" t="s">
        <v>88</v>
      </c>
      <c r="C34" s="371">
        <v>19129692.486999996</v>
      </c>
      <c r="D34" s="371"/>
      <c r="E34" s="659">
        <f>C34-D34</f>
        <v>19129692.486999996</v>
      </c>
    </row>
    <row r="35" spans="1:7">
      <c r="A35" s="369">
        <v>13.1</v>
      </c>
      <c r="B35" s="348" t="s">
        <v>716</v>
      </c>
      <c r="C35" s="371">
        <v>16895117.84</v>
      </c>
      <c r="D35" s="371"/>
      <c r="E35" s="659">
        <f>C35-D35</f>
        <v>16895117.84</v>
      </c>
    </row>
    <row r="36" spans="1:7">
      <c r="A36" s="369">
        <v>13.2</v>
      </c>
      <c r="B36" s="348" t="s">
        <v>717</v>
      </c>
      <c r="C36" s="371"/>
      <c r="D36" s="371"/>
      <c r="E36" s="660"/>
    </row>
    <row r="37" spans="1:7" ht="42" thickBot="1">
      <c r="A37" s="197"/>
      <c r="B37" s="198" t="s">
        <v>308</v>
      </c>
      <c r="C37" s="168">
        <f>SUM(C8,C12,C14,C15,C16,C20,C23,C24,C25,C28,C31,C34)</f>
        <v>700228145.70519996</v>
      </c>
      <c r="D37" s="168">
        <f t="shared" ref="D37" si="6">SUM(D8,D12,D14,D15,D16,D20,D23,D24,D25,D28,D31,D34)</f>
        <v>7379020.6299999999</v>
      </c>
      <c r="E37" s="168">
        <f>SUM(E8,E12,E14,E15,E16,E20,E23,E24,E25,E28,E31,E34)</f>
        <v>692849125.07519996</v>
      </c>
    </row>
    <row r="38" spans="1:7">
      <c r="A38"/>
      <c r="B38"/>
      <c r="C38"/>
      <c r="D38"/>
      <c r="E38"/>
    </row>
    <row r="39" spans="1:7">
      <c r="A39"/>
      <c r="B39"/>
      <c r="C39"/>
      <c r="D39"/>
      <c r="E39"/>
    </row>
    <row r="41" spans="1:7" s="1" customFormat="1">
      <c r="B41" s="28"/>
      <c r="F41"/>
      <c r="G41"/>
    </row>
    <row r="42" spans="1:7" s="1" customFormat="1">
      <c r="B42" s="29"/>
      <c r="F42"/>
      <c r="G42"/>
    </row>
    <row r="43" spans="1:7" s="1" customFormat="1">
      <c r="B43" s="28"/>
      <c r="F43"/>
      <c r="G43"/>
    </row>
    <row r="44" spans="1:7" s="1" customFormat="1">
      <c r="B44" s="28"/>
      <c r="F44"/>
      <c r="G44"/>
    </row>
    <row r="45" spans="1:7" s="1" customFormat="1">
      <c r="B45" s="28"/>
      <c r="F45"/>
      <c r="G45"/>
    </row>
    <row r="46" spans="1:7" s="1" customFormat="1">
      <c r="B46" s="28"/>
      <c r="F46"/>
      <c r="G46"/>
    </row>
    <row r="47" spans="1:7" s="1" customFormat="1">
      <c r="B47" s="28"/>
      <c r="F47"/>
      <c r="G47"/>
    </row>
    <row r="48" spans="1:7" s="1" customFormat="1">
      <c r="B48" s="29"/>
      <c r="F48"/>
      <c r="G48"/>
    </row>
    <row r="49" spans="2:7" s="1" customFormat="1">
      <c r="B49" s="29"/>
      <c r="F49"/>
      <c r="G49"/>
    </row>
    <row r="50" spans="2:7" s="1" customFormat="1">
      <c r="B50" s="29"/>
      <c r="F50"/>
      <c r="G50"/>
    </row>
    <row r="51" spans="2:7" s="1" customFormat="1">
      <c r="B51" s="29"/>
      <c r="F51"/>
      <c r="G51"/>
    </row>
    <row r="52" spans="2:7" s="1" customFormat="1">
      <c r="B52" s="29"/>
      <c r="F52"/>
      <c r="G52"/>
    </row>
    <row r="53" spans="2:7" s="1" customFormat="1">
      <c r="B53" s="29"/>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Footer>&amp;C_x000D_&amp;1#&amp;"Calibri"&amp;10&amp;K000000 C1 - FOR 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E30" sqref="E30"/>
    </sheetView>
  </sheetViews>
  <sheetFormatPr defaultRowHeight="14.4" outlineLevelRow="1"/>
  <cols>
    <col min="1" max="1" width="9.5546875" style="1" bestFit="1" customWidth="1"/>
    <col min="2" max="2" width="114.21875" style="1"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3" t="s">
        <v>97</v>
      </c>
      <c r="B1" s="12" t="str">
        <f>Info!C2</f>
        <v>სს " პაშა ბანკი საქართველო"</v>
      </c>
    </row>
    <row r="2" spans="1:6" s="13" customFormat="1" ht="15.75" customHeight="1">
      <c r="A2" s="13" t="s">
        <v>98</v>
      </c>
      <c r="B2" s="278">
        <f>'1. key ratios'!B2</f>
        <v>45747</v>
      </c>
      <c r="C2"/>
      <c r="D2"/>
      <c r="E2"/>
      <c r="F2"/>
    </row>
    <row r="3" spans="1:6" s="13" customFormat="1" ht="15.75" customHeight="1">
      <c r="C3"/>
      <c r="D3"/>
      <c r="E3"/>
      <c r="F3"/>
    </row>
    <row r="4" spans="1:6" s="13" customFormat="1" ht="28.2" thickBot="1">
      <c r="A4" s="13" t="s">
        <v>245</v>
      </c>
      <c r="B4" s="103" t="s">
        <v>160</v>
      </c>
      <c r="C4" s="97" t="s">
        <v>76</v>
      </c>
      <c r="D4"/>
      <c r="E4"/>
      <c r="F4"/>
    </row>
    <row r="5" spans="1:6">
      <c r="A5" s="98">
        <v>1</v>
      </c>
      <c r="B5" s="99" t="s">
        <v>695</v>
      </c>
      <c r="C5" s="137">
        <f>'7. LI1'!E37</f>
        <v>692849125.07519996</v>
      </c>
    </row>
    <row r="6" spans="1:6">
      <c r="A6" s="58">
        <v>2.1</v>
      </c>
      <c r="B6" s="105" t="s">
        <v>829</v>
      </c>
      <c r="C6" s="138">
        <v>78109987.643474996</v>
      </c>
    </row>
    <row r="7" spans="1:6" s="2" customFormat="1" ht="27.6" outlineLevel="1">
      <c r="A7" s="104">
        <v>2.2000000000000002</v>
      </c>
      <c r="B7" s="100" t="s">
        <v>830</v>
      </c>
      <c r="C7" s="139">
        <v>0</v>
      </c>
    </row>
    <row r="8" spans="1:6" s="2" customFormat="1" ht="27.6">
      <c r="A8" s="104">
        <v>3</v>
      </c>
      <c r="B8" s="101" t="s">
        <v>696</v>
      </c>
      <c r="C8" s="140">
        <f>SUM(C5:C7)</f>
        <v>770959112.7186749</v>
      </c>
    </row>
    <row r="9" spans="1:6">
      <c r="A9" s="58">
        <v>4</v>
      </c>
      <c r="B9" s="108" t="s">
        <v>158</v>
      </c>
      <c r="C9" s="138"/>
    </row>
    <row r="10" spans="1:6" s="2" customFormat="1" ht="27.6" outlineLevel="1">
      <c r="A10" s="104">
        <v>5.0999999999999996</v>
      </c>
      <c r="B10" s="100" t="s">
        <v>164</v>
      </c>
      <c r="C10" s="139">
        <v>-42990176.045290492</v>
      </c>
    </row>
    <row r="11" spans="1:6" s="2" customFormat="1" ht="27.6" outlineLevel="1">
      <c r="A11" s="104">
        <v>5.2</v>
      </c>
      <c r="B11" s="100" t="s">
        <v>165</v>
      </c>
      <c r="C11" s="139">
        <v>0</v>
      </c>
    </row>
    <row r="12" spans="1:6" s="2" customFormat="1">
      <c r="A12" s="104">
        <v>6</v>
      </c>
      <c r="B12" s="106" t="s">
        <v>996</v>
      </c>
      <c r="C12" s="139"/>
    </row>
    <row r="13" spans="1:6" s="2" customFormat="1" ht="15" thickBot="1">
      <c r="A13" s="107">
        <v>7</v>
      </c>
      <c r="B13" s="102" t="s">
        <v>159</v>
      </c>
      <c r="C13" s="141">
        <f>SUM(C8:C12)</f>
        <v>727968936.67338443</v>
      </c>
    </row>
    <row r="15" spans="1:6">
      <c r="B15" s="17"/>
    </row>
    <row r="17" spans="2:9" s="1" customFormat="1">
      <c r="B17" s="30"/>
      <c r="C17"/>
      <c r="D17"/>
      <c r="E17"/>
      <c r="F17"/>
      <c r="G17"/>
      <c r="H17"/>
      <c r="I17"/>
    </row>
    <row r="18" spans="2:9" s="1" customFormat="1">
      <c r="B18" s="27"/>
      <c r="C18"/>
      <c r="D18"/>
      <c r="E18"/>
      <c r="F18"/>
      <c r="G18"/>
      <c r="H18"/>
      <c r="I18"/>
    </row>
    <row r="19" spans="2:9" s="1" customFormat="1">
      <c r="B19" s="27"/>
      <c r="C19"/>
      <c r="D19"/>
      <c r="E19"/>
      <c r="F19"/>
      <c r="G19"/>
      <c r="H19"/>
      <c r="I19"/>
    </row>
    <row r="20" spans="2:9" s="1" customFormat="1">
      <c r="B20" s="29"/>
      <c r="C20"/>
      <c r="D20"/>
      <c r="E20"/>
      <c r="F20"/>
      <c r="G20"/>
      <c r="H20"/>
      <c r="I20"/>
    </row>
    <row r="21" spans="2:9" s="1" customFormat="1">
      <c r="B21" s="28"/>
      <c r="C21"/>
      <c r="D21"/>
      <c r="E21"/>
      <c r="F21"/>
      <c r="G21"/>
      <c r="H21"/>
      <c r="I21"/>
    </row>
    <row r="22" spans="2:9" s="1" customFormat="1">
      <c r="B22" s="29"/>
      <c r="C22"/>
      <c r="D22"/>
      <c r="E22"/>
      <c r="F22"/>
      <c r="G22"/>
      <c r="H22"/>
      <c r="I22"/>
    </row>
    <row r="23" spans="2:9" s="1" customFormat="1">
      <c r="B23" s="28"/>
      <c r="C23"/>
      <c r="D23"/>
      <c r="E23"/>
      <c r="F23"/>
      <c r="G23"/>
      <c r="H23"/>
      <c r="I23"/>
    </row>
    <row r="24" spans="2:9" s="1" customFormat="1">
      <c r="B24" s="28"/>
      <c r="C24"/>
      <c r="D24"/>
      <c r="E24"/>
      <c r="F24"/>
      <c r="G24"/>
      <c r="H24"/>
      <c r="I24"/>
    </row>
    <row r="25" spans="2:9" s="1" customFormat="1">
      <c r="B25" s="28"/>
      <c r="C25"/>
      <c r="D25"/>
      <c r="E25"/>
      <c r="F25"/>
      <c r="G25"/>
      <c r="H25"/>
      <c r="I25"/>
    </row>
    <row r="26" spans="2:9" s="1" customFormat="1">
      <c r="B26" s="28"/>
      <c r="C26"/>
      <c r="D26"/>
      <c r="E26"/>
      <c r="F26"/>
      <c r="G26"/>
      <c r="H26"/>
      <c r="I26"/>
    </row>
    <row r="27" spans="2:9" s="1" customFormat="1">
      <c r="B27" s="28"/>
      <c r="C27"/>
      <c r="D27"/>
      <c r="E27"/>
      <c r="F27"/>
      <c r="G27"/>
      <c r="H27"/>
      <c r="I27"/>
    </row>
    <row r="28" spans="2:9" s="1" customFormat="1">
      <c r="B28" s="29"/>
      <c r="C28"/>
      <c r="D28"/>
      <c r="E28"/>
      <c r="F28"/>
      <c r="G28"/>
      <c r="H28"/>
      <c r="I28"/>
    </row>
    <row r="29" spans="2:9" s="1" customFormat="1">
      <c r="B29" s="29"/>
      <c r="C29"/>
      <c r="D29"/>
      <c r="E29"/>
      <c r="F29"/>
      <c r="G29"/>
      <c r="H29"/>
      <c r="I29"/>
    </row>
    <row r="30" spans="2:9" s="1" customFormat="1">
      <c r="B30" s="29"/>
      <c r="C30"/>
      <c r="D30"/>
      <c r="E30"/>
      <c r="F30"/>
      <c r="G30"/>
      <c r="H30"/>
      <c r="I30"/>
    </row>
    <row r="31" spans="2:9" s="1" customFormat="1">
      <c r="B31" s="29"/>
      <c r="C31"/>
      <c r="D31"/>
      <c r="E31"/>
      <c r="F31"/>
      <c r="G31"/>
      <c r="H31"/>
      <c r="I31"/>
    </row>
    <row r="32" spans="2:9" s="1" customFormat="1">
      <c r="B32" s="29"/>
      <c r="C32"/>
      <c r="D32"/>
      <c r="E32"/>
      <c r="F32"/>
      <c r="G32"/>
      <c r="H32"/>
      <c r="I32"/>
    </row>
    <row r="33" spans="2:9" s="1" customFormat="1">
      <c r="B33" s="29"/>
      <c r="C33"/>
      <c r="D33"/>
      <c r="E33"/>
      <c r="F33"/>
      <c r="G33"/>
      <c r="H33"/>
      <c r="I33"/>
    </row>
  </sheetData>
  <pageMargins left="0.7" right="0.7" top="0.75" bottom="0.75" header="0.3" footer="0.3"/>
  <pageSetup paperSize="9" orientation="portrait" horizontalDpi="4294967295" verticalDpi="4294967295" r:id="rId1"/>
  <headerFooter>
    <oddFooter>&amp;C_x000D_&amp;1#&amp;"Calibri"&amp;10&amp;K000000 C1 - FOR 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2025-04-30T12:20:39Z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06c7ad2-60a5-409e-8203-10f940b19acd_Enabled">
    <vt:lpwstr>true</vt:lpwstr>
  </property>
  <property fmtid="{D5CDD505-2E9C-101B-9397-08002B2CF9AE}" pid="8" name="MSIP_Label_706c7ad2-60a5-409e-8203-10f940b19acd_SetDate">
    <vt:lpwstr>2025-04-23T06:35:32Z</vt:lpwstr>
  </property>
  <property fmtid="{D5CDD505-2E9C-101B-9397-08002B2CF9AE}" pid="9" name="MSIP_Label_706c7ad2-60a5-409e-8203-10f940b19acd_Method">
    <vt:lpwstr>Standard</vt:lpwstr>
  </property>
  <property fmtid="{D5CDD505-2E9C-101B-9397-08002B2CF9AE}" pid="10" name="MSIP_Label_706c7ad2-60a5-409e-8203-10f940b19acd_Name">
    <vt:lpwstr>For internal use only C1</vt:lpwstr>
  </property>
  <property fmtid="{D5CDD505-2E9C-101B-9397-08002B2CF9AE}" pid="11" name="MSIP_Label_706c7ad2-60a5-409e-8203-10f940b19acd_SiteId">
    <vt:lpwstr>91e167b0-e7f3-47d0-b08e-ac1e6b839fc3</vt:lpwstr>
  </property>
  <property fmtid="{D5CDD505-2E9C-101B-9397-08002B2CF9AE}" pid="12" name="MSIP_Label_706c7ad2-60a5-409e-8203-10f940b19acd_ActionId">
    <vt:lpwstr>fb67e2b6-cb20-44ad-827a-bd85ae98276e</vt:lpwstr>
  </property>
  <property fmtid="{D5CDD505-2E9C-101B-9397-08002B2CF9AE}" pid="13" name="MSIP_Label_706c7ad2-60a5-409e-8203-10f940b19acd_ContentBits">
    <vt:lpwstr>2</vt:lpwstr>
  </property>
  <property fmtid="{D5CDD505-2E9C-101B-9397-08002B2CF9AE}" pid="14" name="MSIP_Label_706c7ad2-60a5-409e-8203-10f940b19acd_Tag">
    <vt:lpwstr>10, 3, 0, 1</vt:lpwstr>
  </property>
</Properties>
</file>