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DA3DD1F3-1264-461D-9779-11687C330C9B}" xr6:coauthVersionLast="47" xr6:coauthVersionMax="47" xr10:uidLastSave="{00000000-0000-0000-0000-000000000000}"/>
  <bookViews>
    <workbookView xWindow="-108" yWindow="-108" windowWidth="23256" windowHeight="12576" tabRatio="919" activeTab="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vaime">#REF!</definedName>
    <definedName name="vax">#REF!</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74" l="1"/>
  <c r="G25" i="36"/>
  <c r="H25" i="36"/>
  <c r="I25" i="36"/>
  <c r="J25" i="36"/>
  <c r="K25" i="36"/>
  <c r="F25" i="36"/>
  <c r="D8" i="97"/>
  <c r="D7" i="97"/>
  <c r="C21" i="95"/>
  <c r="D16" i="96" l="1"/>
  <c r="D13" i="96"/>
  <c r="I33" i="102" l="1"/>
  <c r="H33" i="102"/>
  <c r="H8" i="102"/>
  <c r="D33" i="102"/>
  <c r="C33" i="102"/>
  <c r="C8" i="102"/>
  <c r="I8" i="102"/>
  <c r="D8" i="102"/>
  <c r="D8" i="100"/>
  <c r="C8" i="100"/>
  <c r="D15" i="100"/>
  <c r="C15" i="100"/>
  <c r="C14" i="98"/>
  <c r="C18" i="99" l="1"/>
  <c r="C10" i="99"/>
  <c r="C12" i="99"/>
  <c r="C44" i="6" l="1"/>
  <c r="C43" i="6"/>
  <c r="C42" i="6"/>
  <c r="K24" i="36"/>
  <c r="J24" i="36"/>
  <c r="I24" i="36"/>
  <c r="K23" i="36"/>
  <c r="J23" i="36"/>
  <c r="I23" i="36"/>
  <c r="H24" i="36"/>
  <c r="G24" i="36"/>
  <c r="F24" i="36"/>
  <c r="H23" i="36"/>
  <c r="G23" i="36"/>
  <c r="F23" i="36"/>
  <c r="G38" i="94" l="1"/>
  <c r="F38" i="94"/>
  <c r="G30" i="94"/>
  <c r="F30" i="94"/>
  <c r="G17" i="94"/>
  <c r="G14" i="94" s="1"/>
  <c r="F17" i="94"/>
  <c r="F14" i="94" s="1"/>
  <c r="G11" i="94"/>
  <c r="F11" i="94"/>
  <c r="G8" i="94"/>
  <c r="F8" i="94"/>
  <c r="C48" i="6" l="1"/>
  <c r="C47" i="6"/>
  <c r="C46" i="6"/>
  <c r="C37" i="69" l="1"/>
  <c r="C10" i="69"/>
  <c r="D7" i="77"/>
  <c r="D8" i="77"/>
  <c r="D9" i="77"/>
  <c r="E34" i="72"/>
  <c r="E31" i="72"/>
  <c r="E30" i="72"/>
  <c r="E28" i="72"/>
  <c r="E27" i="72"/>
  <c r="E25" i="72" s="1"/>
  <c r="E26" i="72"/>
  <c r="E24" i="72"/>
  <c r="E23" i="72"/>
  <c r="E22" i="72"/>
  <c r="E21" i="72"/>
  <c r="E20" i="72" s="1"/>
  <c r="E16" i="72"/>
  <c r="E13" i="72"/>
  <c r="E12" i="72" s="1"/>
  <c r="E11" i="72"/>
  <c r="E10" i="72"/>
  <c r="E9" i="72"/>
  <c r="E8" i="72"/>
  <c r="D31" i="72"/>
  <c r="C31" i="72"/>
  <c r="D28" i="72"/>
  <c r="C28" i="72"/>
  <c r="D25" i="72"/>
  <c r="C25" i="72"/>
  <c r="C20" i="72"/>
  <c r="D20" i="72"/>
  <c r="D16" i="72"/>
  <c r="C16" i="72"/>
  <c r="D12" i="72"/>
  <c r="C12" i="72"/>
  <c r="C8" i="72"/>
  <c r="D8" i="72"/>
  <c r="G11" i="92" l="1"/>
  <c r="F11" i="92"/>
  <c r="D11" i="92"/>
  <c r="C11" i="92"/>
  <c r="C67" i="92"/>
  <c r="G68" i="92"/>
  <c r="F68" i="92"/>
  <c r="D68" i="92"/>
  <c r="C68" i="92"/>
  <c r="C69" i="92" s="1"/>
  <c r="D69" i="92"/>
  <c r="C59" i="92"/>
  <c r="G69" i="92" l="1"/>
  <c r="F69" i="92"/>
  <c r="F7" i="92" l="1"/>
  <c r="G7" i="92"/>
  <c r="F15" i="92"/>
  <c r="G15" i="92"/>
  <c r="F19" i="92"/>
  <c r="G19" i="92"/>
  <c r="F24" i="92"/>
  <c r="G24" i="92"/>
  <c r="F27" i="92"/>
  <c r="G27" i="92"/>
  <c r="F30" i="92"/>
  <c r="G30" i="92"/>
  <c r="C22" i="95"/>
  <c r="H21" i="95"/>
  <c r="G36" i="92" l="1"/>
  <c r="F36" i="92"/>
  <c r="B1" i="94"/>
  <c r="B1" i="93"/>
  <c r="B1" i="92"/>
  <c r="B1" i="104" l="1"/>
  <c r="B1" i="103"/>
  <c r="B1" i="102"/>
  <c r="B1" i="101"/>
  <c r="B1" i="100"/>
  <c r="B1" i="99"/>
  <c r="B1" i="98"/>
  <c r="B1" i="97"/>
  <c r="B1" i="96"/>
  <c r="B1" i="95"/>
  <c r="C7" i="98" l="1"/>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H21" i="96" l="1"/>
  <c r="H22" i="95"/>
  <c r="D15" i="98"/>
  <c r="C15" i="98"/>
  <c r="H34" i="97"/>
  <c r="C62" i="69"/>
  <c r="C58" i="69"/>
  <c r="C67" i="69" s="1"/>
  <c r="C46" i="69"/>
  <c r="C40" i="69"/>
  <c r="C29" i="69"/>
  <c r="C26" i="69"/>
  <c r="C23" i="69"/>
  <c r="C18" i="69"/>
  <c r="C14" i="69"/>
  <c r="C6" i="69"/>
  <c r="C35" i="69" l="1"/>
  <c r="C52" i="69"/>
  <c r="C68" i="69" s="1"/>
  <c r="C37" i="72"/>
  <c r="E37" i="72"/>
  <c r="D37" i="72"/>
  <c r="H43" i="94"/>
  <c r="E43" i="94"/>
  <c r="H42" i="94"/>
  <c r="E42" i="94"/>
  <c r="H41" i="94"/>
  <c r="E41" i="94"/>
  <c r="H40" i="94"/>
  <c r="E40" i="94"/>
  <c r="H39" i="94"/>
  <c r="E39" i="94"/>
  <c r="D38" i="94"/>
  <c r="C38" i="94"/>
  <c r="E38" i="94" s="1"/>
  <c r="H37" i="94"/>
  <c r="E37" i="94"/>
  <c r="H36" i="94"/>
  <c r="E36" i="94"/>
  <c r="H35" i="94"/>
  <c r="E35" i="94"/>
  <c r="H34" i="94"/>
  <c r="E34" i="94"/>
  <c r="H33" i="94"/>
  <c r="E33" i="94"/>
  <c r="H32" i="94"/>
  <c r="E32" i="94"/>
  <c r="H31" i="94"/>
  <c r="E31" i="94"/>
  <c r="H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D14" i="94"/>
  <c r="H13" i="94"/>
  <c r="E13" i="94"/>
  <c r="H12" i="94"/>
  <c r="E12" i="94"/>
  <c r="D11" i="94"/>
  <c r="C11" i="94"/>
  <c r="H10" i="94"/>
  <c r="E10" i="94"/>
  <c r="H9" i="94"/>
  <c r="E9" i="94"/>
  <c r="D8" i="94"/>
  <c r="C8" i="94"/>
  <c r="H7" i="94"/>
  <c r="E7" i="94"/>
  <c r="H6" i="94"/>
  <c r="E6" i="94"/>
  <c r="H44" i="93"/>
  <c r="E44" i="93"/>
  <c r="H42" i="93"/>
  <c r="E42" i="93"/>
  <c r="H41" i="93"/>
  <c r="E41" i="93"/>
  <c r="H40" i="93"/>
  <c r="E40" i="93"/>
  <c r="H39" i="93"/>
  <c r="E39" i="93"/>
  <c r="H38" i="93"/>
  <c r="E38" i="93"/>
  <c r="G37" i="93"/>
  <c r="F37" i="93"/>
  <c r="D37" i="93"/>
  <c r="C37" i="93"/>
  <c r="E37" i="93" s="1"/>
  <c r="H36" i="93"/>
  <c r="E36" i="93"/>
  <c r="H35" i="93"/>
  <c r="E35" i="93"/>
  <c r="G34" i="93"/>
  <c r="F34" i="93"/>
  <c r="H34" i="93" s="1"/>
  <c r="D34" i="93"/>
  <c r="C34" i="93"/>
  <c r="E34" i="93" s="1"/>
  <c r="H33" i="93"/>
  <c r="E33" i="93"/>
  <c r="H32" i="93"/>
  <c r="E32" i="93"/>
  <c r="H31" i="93"/>
  <c r="E31" i="93"/>
  <c r="H30" i="93"/>
  <c r="E30" i="93"/>
  <c r="G29" i="93"/>
  <c r="F29" i="93"/>
  <c r="H29" i="93" s="1"/>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E13" i="93" s="1"/>
  <c r="H12" i="93"/>
  <c r="E12" i="93"/>
  <c r="H11" i="93"/>
  <c r="E11" i="93"/>
  <c r="H10" i="93"/>
  <c r="E10" i="93"/>
  <c r="H9" i="93"/>
  <c r="E9" i="93"/>
  <c r="H8" i="93"/>
  <c r="E8" i="93"/>
  <c r="H7" i="93"/>
  <c r="E7" i="93"/>
  <c r="G6" i="93"/>
  <c r="F6" i="93"/>
  <c r="F43" i="93" s="1"/>
  <c r="F45" i="93" s="1"/>
  <c r="D6" i="93"/>
  <c r="C6" i="93"/>
  <c r="C43" i="93" s="1"/>
  <c r="C45" i="93" s="1"/>
  <c r="H67" i="92"/>
  <c r="E67" i="92"/>
  <c r="H66" i="92"/>
  <c r="E66" i="92"/>
  <c r="H65" i="92"/>
  <c r="E65" i="92"/>
  <c r="H64" i="92"/>
  <c r="E64" i="92"/>
  <c r="H63" i="92"/>
  <c r="D63" i="92"/>
  <c r="H62" i="92"/>
  <c r="E62" i="92"/>
  <c r="H61" i="92"/>
  <c r="E61" i="92"/>
  <c r="H60" i="92"/>
  <c r="E60" i="92"/>
  <c r="H59" i="92"/>
  <c r="D59" i="92"/>
  <c r="H58" i="92"/>
  <c r="E58" i="92"/>
  <c r="H57" i="92"/>
  <c r="E57" i="92"/>
  <c r="H56" i="92"/>
  <c r="E56" i="92"/>
  <c r="H55" i="92"/>
  <c r="E55" i="92"/>
  <c r="H52" i="92"/>
  <c r="E52" i="92"/>
  <c r="H51" i="92"/>
  <c r="E51" i="92"/>
  <c r="H50" i="92"/>
  <c r="E50" i="92"/>
  <c r="H49" i="92"/>
  <c r="E49" i="92"/>
  <c r="H48" i="92"/>
  <c r="E48" i="92"/>
  <c r="G47" i="92"/>
  <c r="F47" i="92"/>
  <c r="H47" i="92" s="1"/>
  <c r="D47" i="92"/>
  <c r="C47" i="92"/>
  <c r="E47" i="92" s="1"/>
  <c r="H46" i="92"/>
  <c r="E46" i="92"/>
  <c r="H45" i="92"/>
  <c r="E45" i="92"/>
  <c r="H44" i="92"/>
  <c r="E44" i="92"/>
  <c r="H43" i="92"/>
  <c r="E43" i="92"/>
  <c r="H42" i="92"/>
  <c r="E42" i="92"/>
  <c r="G41" i="92"/>
  <c r="G53" i="92" s="1"/>
  <c r="F41" i="92"/>
  <c r="H41" i="92" s="1"/>
  <c r="D41" i="92"/>
  <c r="D53" i="92" s="1"/>
  <c r="C41" i="92"/>
  <c r="H40" i="92"/>
  <c r="E40" i="92"/>
  <c r="H39" i="92"/>
  <c r="E39" i="92"/>
  <c r="H38" i="92"/>
  <c r="E38" i="92"/>
  <c r="H35" i="92"/>
  <c r="E35" i="92"/>
  <c r="H34" i="92"/>
  <c r="E34" i="92"/>
  <c r="H33" i="92"/>
  <c r="E33" i="92"/>
  <c r="H32" i="92"/>
  <c r="E32" i="92"/>
  <c r="H31" i="92"/>
  <c r="E31" i="92"/>
  <c r="H30" i="92"/>
  <c r="D30" i="92"/>
  <c r="C30" i="92"/>
  <c r="E30" i="92" s="1"/>
  <c r="H29" i="92"/>
  <c r="E29" i="92"/>
  <c r="H28" i="92"/>
  <c r="E28" i="92"/>
  <c r="H27" i="92"/>
  <c r="D27" i="92"/>
  <c r="C27" i="92"/>
  <c r="E27" i="92" s="1"/>
  <c r="H26" i="92"/>
  <c r="E26" i="92"/>
  <c r="H25" i="92"/>
  <c r="E25" i="92"/>
  <c r="D24" i="92"/>
  <c r="C24" i="92"/>
  <c r="E24" i="92" s="1"/>
  <c r="H23" i="92"/>
  <c r="E23" i="92"/>
  <c r="H22" i="92"/>
  <c r="E22" i="92"/>
  <c r="H21" i="92"/>
  <c r="E21" i="92"/>
  <c r="H20" i="92"/>
  <c r="E20" i="92"/>
  <c r="H19" i="92"/>
  <c r="D19" i="92"/>
  <c r="C19" i="92"/>
  <c r="E19" i="92" s="1"/>
  <c r="H18" i="92"/>
  <c r="E18" i="92"/>
  <c r="H17" i="92"/>
  <c r="E17" i="92"/>
  <c r="H16" i="92"/>
  <c r="E16" i="92"/>
  <c r="H15" i="92"/>
  <c r="D15" i="92"/>
  <c r="C15" i="92"/>
  <c r="E15" i="92" s="1"/>
  <c r="H14" i="92"/>
  <c r="E14" i="92"/>
  <c r="H13" i="92"/>
  <c r="E13" i="92"/>
  <c r="H12" i="92"/>
  <c r="E12" i="92"/>
  <c r="H11" i="92"/>
  <c r="E11" i="92"/>
  <c r="H10" i="92"/>
  <c r="E10" i="92"/>
  <c r="H9" i="92"/>
  <c r="E9" i="92"/>
  <c r="H8" i="92"/>
  <c r="E8" i="92"/>
  <c r="H7" i="92"/>
  <c r="D7" i="92"/>
  <c r="C7" i="92"/>
  <c r="G43" i="93" l="1"/>
  <c r="G45" i="93" s="1"/>
  <c r="E41" i="92"/>
  <c r="H37" i="93"/>
  <c r="E6" i="93"/>
  <c r="E59" i="92"/>
  <c r="C36" i="92"/>
  <c r="D36" i="92"/>
  <c r="E63" i="92"/>
  <c r="H8" i="94"/>
  <c r="E8" i="94"/>
  <c r="E14" i="94"/>
  <c r="H38" i="94"/>
  <c r="E30" i="94"/>
  <c r="E11" i="94"/>
  <c r="E17" i="94"/>
  <c r="H11" i="94"/>
  <c r="H14" i="94"/>
  <c r="H43" i="93"/>
  <c r="H45" i="93"/>
  <c r="H6" i="93"/>
  <c r="D43" i="93"/>
  <c r="D45" i="93" s="1"/>
  <c r="H69" i="92"/>
  <c r="C53" i="92"/>
  <c r="H68" i="92"/>
  <c r="F53" i="92"/>
  <c r="H53" i="92" s="1"/>
  <c r="E7" i="92"/>
  <c r="H24" i="92"/>
  <c r="H36" i="92" l="1"/>
  <c r="E68" i="92"/>
  <c r="E36" i="92"/>
  <c r="E45" i="93"/>
  <c r="E43" i="93"/>
  <c r="E69" i="92"/>
  <c r="E53" i="92"/>
  <c r="B1" i="80" l="1"/>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F8" i="80"/>
  <c r="E8" i="80"/>
  <c r="D8" i="80"/>
  <c r="C8" i="80"/>
  <c r="G21" i="80" l="1"/>
  <c r="G39" i="80" s="1"/>
  <c r="G6" i="7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C20" i="77"/>
  <c r="C19" i="77"/>
  <c r="D21" i="77" l="1"/>
  <c r="D19" i="77"/>
  <c r="D20" i="77"/>
  <c r="C30" i="79"/>
  <c r="C26" i="79"/>
  <c r="C8" i="79"/>
  <c r="H14" i="74" l="1"/>
  <c r="E8" i="37" l="1"/>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I7" i="37"/>
  <c r="H7" i="37"/>
  <c r="H21" i="37" s="1"/>
  <c r="G7" i="37"/>
  <c r="G21" i="37" s="1"/>
  <c r="F7" i="37"/>
  <c r="F21" i="37" s="1"/>
  <c r="C7" i="37"/>
  <c r="N14" i="37" l="1"/>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<sst xmlns="http://schemas.openxmlformats.org/spreadsheetml/2006/main" count="2032" uniqueCount="990">
  <si>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</si>
  <si>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</si>
  <si>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</si>
  <si>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</si>
  <si>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</si>
  <si>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</si>
  <si>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</si>
  <si>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</si>
  <si>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</si>
  <si>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</si>
  <si>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</si>
  <si>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</si>
  <si>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</si>
  <si>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</si>
  <si>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</si>
  <si>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</si>
  <si>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</si>
  <si>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</si>
  <si>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</si>
  <si>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</si>
  <si>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</si>
  <si>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</si>
  <si>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</si>
  <si>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</si>
  <si>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</si>
  <si>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</si>
  <si>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</si>
  <si>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</si>
  <si>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</si>
  <si>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</si>
  <si>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</si>
  <si>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</si>
  <si>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</si>
  <si>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</si>
  <si>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</si>
  <si>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</si>
  <si>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</si>
  <si>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</si>
  <si>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</si>
  <si>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</si>
  <si>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</si>
  <si>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</si>
  <si>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</si>
  <si>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</si>
  <si>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</si>
  <si>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</si>
  <si>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</si>
  <si>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</si>
  <si>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</si>
  <si>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</si>
  <si>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</si>
  <si>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</si>
  <si>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</si>
  <si>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</si>
  <si>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</si>
  <si>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</si>
  <si>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</si>
  <si>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</si>
  <si>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</si>
  <si>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</si>
  <si>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</si>
  <si>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</si>
  <si>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</si>
  <si>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</si>
  <si>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</si>
  <si>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</si>
  <si>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</si>
  <si>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</si>
  <si>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</si>
  <si>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</si>
  <si>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</si>
  <si>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</si>
  <si>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</si>
  <si>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</si>
  <si>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</si>
  <si>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</si>
  <si>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</si>
  <si>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</si>
  <si>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</si>
  <si>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</si>
  <si>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</si>
  <si>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</si>
  <si>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</si>
  <si>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</si>
  <si>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</si>
  <si>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</si>
  <si>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</si>
  <si>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</si>
  <si>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</si>
  <si>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</si>
  <si>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</si>
  <si>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</si>
  <si>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</si>
  <si>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</si>
  <si>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</si>
  <si>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</si>
  <si>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</si>
  <si>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</si>
  <si>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</si>
  <si>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</si>
  <si>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</si>
  <si>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</si>
  <si>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</si>
  <si>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</si>
  <si>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</si>
  <si>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</si>
  <si>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</si>
  <si>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</si>
  <si>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</si>
  <si>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</si>
  <si>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</si>
  <si>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</si>
  <si>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</si>
  <si>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</si>
  <si>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</si>
  <si>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</si>
  <si>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</si>
  <si>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</si>
  <si>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</si>
  <si>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</si>
  <si>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</si>
  <si>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</si>
  <si>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</si>
  <si>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</si>
  <si>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</si>
  <si>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</si>
  <si>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</si>
  <si>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</si>
  <si>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</si>
  <si>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</si>
  <si>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</si>
  <si>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</si>
  <si>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</si>
  <si>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</si>
  <si>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</si>
  <si>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</si>
  <si>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</si>
  <si>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</si>
  <si>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</si>
  <si>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</si>
  <si>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</si>
  <si>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</si>
  <si>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</si>
  <si>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</si>
  <si>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</si>
  <si>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</si>
  <si>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</si>
  <si>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</si>
  <si>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</si>
  <si>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</si>
  <si>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</si>
  <si>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</si>
  <si>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</si>
  <si>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</si>
  <si>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</si>
  <si>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</si>
  <si>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</si>
  <si>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</si>
  <si>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</si>
  <si>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</si>
  <si>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</si>
  <si>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</si>
  <si>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</si>
  <si>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</si>
  <si>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</si>
  <si>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</si>
  <si>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</si>
  <si>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</si>
  <si>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</si>
  <si>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</si>
  <si>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</si>
  <si>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</si>
  <si>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</si>
  <si>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</si>
  <si>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</si>
  <si>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</si>
  <si>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</si>
  <si>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</si>
  <si>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</si>
  <si>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</si>
  <si>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</si>
  <si>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</si>
  <si>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</si>
  <si>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</si>
  <si>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</si>
  <si>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</si>
  <si>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</si>
  <si>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</si>
  <si>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</si>
  <si>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</si>
  <si>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</si>
  <si>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</si>
  <si>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</si>
  <si>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</si>
  <si>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</si>
  <si>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</si>
  <si>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</si>
  <si>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</si>
  <si>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</si>
  <si>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</si>
  <si>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</si>
  <si>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</si>
  <si>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</si>
  <si>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</si>
  <si>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</si>
  <si>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</si>
  <si>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</si>
  <si>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</si>
  <si>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</si>
  <si>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</si>
  <si>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</si>
  <si>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</si>
  <si>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</si>
  <si>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</si>
  <si>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</si>
  <si>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</si>
  <si>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</si>
  <si>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</si>
  <si>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</si>
  <si>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</si>
  <si>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</si>
  <si>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</si>
  <si>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</si>
  <si>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</si>
  <si>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</si>
  <si>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</si>
  <si>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</si>
  <si>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</si>
  <si>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</si>
  <si>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</si>
  <si>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</si>
  <si>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</si>
  <si>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</si>
  <si>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</si>
  <si>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</si>
  <si>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</si>
  <si>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</si>
  <si>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</si>
  <si>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</si>
  <si>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</si>
  <si>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</si>
  <si>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</si>
  <si>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</si>
  <si>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</si>
  <si>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</si>
  <si>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</si>
  <si>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</si>
  <si>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</si>
  <si>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</si>
  <si>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</si>
  <si>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</si>
  <si>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</si>
  <si>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</si>
  <si>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</si>
  <si>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</si>
  <si>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</si>
  <si>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</si>
  <si>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</si>
  <si>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</si>
  <si>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</si>
  <si>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</si>
  <si>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</si>
  <si>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</si>
  <si>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</si>
  <si>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</si>
  <si>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</si>
  <si>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</si>
  <si>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</si>
  <si>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</si>
  <si>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</si>
  <si>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</si>
  <si>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</si>
  <si>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</si>
  <si>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</si>
  <si>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</si>
  <si>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</si>
  <si>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</si>
  <si>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</si>
  <si>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</si>
  <si>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</si>
  <si>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</si>
  <si>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</si>
  <si>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</si>
  <si>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</si>
  <si>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</si>
  <si>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</si>
  <si>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</si>
  <si>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</si>
  <si>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</si>
  <si>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</si>
  <si>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</si>
  <si>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</si>
  <si>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</si>
  <si>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</si>
  <si>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</si>
  <si>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</si>
  <si>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</si>
  <si>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</si>
  <si>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</si>
  <si>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</si>
  <si>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</si>
  <si>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</si>
  <si>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</si>
  <si>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</si>
  <si>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</si>
  <si>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</si>
  <si>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</si>
  <si>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</si>
  <si>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</si>
  <si>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</si>
  <si>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</si>
  <si>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</si>
  <si>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</si>
  <si>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</si>
  <si>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</si>
  <si>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</si>
  <si>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</si>
  <si>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</si>
  <si>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</si>
  <si>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</si>
  <si>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</si>
  <si>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</si>
  <si>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</si>
  <si>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</si>
  <si>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</si>
  <si>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</si>
  <si>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</si>
  <si>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</si>
  <si>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</si>
  <si>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</si>
  <si>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</si>
  <si>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</si>
  <si>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</si>
  <si>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</si>
  <si>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</si>
  <si>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</si>
  <si>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</si>
  <si>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</si>
  <si>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</si>
  <si>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</si>
  <si>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</si>
  <si>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</si>
  <si>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</si>
  <si>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</si>
  <si>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</si>
  <si>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</si>
  <si>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</si>
  <si>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</si>
  <si>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</si>
  <si>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</si>
  <si>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</si>
  <si>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</si>
  <si>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</si>
  <si>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</si>
  <si>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</si>
  <si>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</si>
  <si>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</si>
  <si>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</si>
  <si>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</si>
  <si>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</si>
  <si>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</si>
  <si>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</si>
  <si>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</si>
  <si>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</si>
  <si>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</si>
  <si>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</si>
  <si>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</si>
  <si>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</si>
  <si>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</si>
  <si>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</si>
  <si>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</si>
  <si>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</si>
  <si>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</si>
  <si>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</si>
  <si>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</si>
  <si>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</si>
  <si>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</si>
  <si>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</si>
  <si>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</si>
  <si>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</si>
  <si>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</si>
  <si>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</si>
  <si>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</si>
  <si>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</si>
  <si>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</si>
  <si>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</si>
  <si>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</si>
  <si>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</si>
  <si>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</si>
  <si>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</si>
  <si>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</si>
  <si>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</si>
  <si>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</si>
  <si>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</si>
  <si>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</si>
  <si>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</si>
  <si>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</si>
  <si>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</si>
  <si>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</si>
  <si>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</si>
  <si>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</si>
  <si>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</si>
  <si>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</si>
  <si>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</si>
  <si>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</si>
  <si>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</si>
  <si>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</si>
  <si>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</si>
  <si>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</si>
  <si>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</si>
  <si>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</si>
  <si>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</si>
  <si>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</si>
  <si>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</si>
  <si>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</si>
  <si>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</si>
  <si>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</si>
  <si>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</si>
  <si>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</si>
  <si>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</si>
  <si>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</si>
  <si>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</si>
  <si>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</si>
  <si>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</si>
  <si>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</si>
  <si>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</si>
  <si>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</si>
  <si>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</si>
  <si>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</si>
  <si>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</si>
  <si>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</si>
  <si>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</si>
  <si>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</si>
  <si>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</si>
  <si>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</si>
  <si>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</si>
  <si>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</si>
  <si>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</si>
  <si>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</si>
  <si>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</si>
  <si>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</si>
  <si>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</si>
  <si>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</si>
  <si>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</si>
  <si>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</si>
  <si>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</si>
  <si>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</si>
  <si>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</si>
  <si>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</si>
  <si>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</si>
  <si>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</si>
  <si>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</si>
  <si>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</si>
  <si>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</si>
  <si>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</si>
  <si>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</si>
  <si>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</si>
  <si>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</si>
  <si>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</si>
  <si>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</si>
  <si>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</si>
  <si>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</si>
  <si>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</si>
  <si>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</si>
  <si>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</si>
  <si>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</si>
  <si>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</si>
  <si>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</si>
  <si>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</si>
  <si>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</si>
  <si>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</si>
  <si>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</si>
  <si>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</si>
  <si>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</si>
  <si>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</si>
  <si>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</si>
  <si>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</si>
  <si>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</si>
  <si>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</si>
  <si>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</si>
  <si>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</si>
  <si>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</si>
  <si>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</si>
  <si>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</si>
  <si>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</si>
  <si>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</si>
  <si>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</si>
  <si>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</si>
  <si>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</si>
  <si>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</si>
  <si>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</si>
  <si>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</si>
  <si>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</si>
  <si>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</si>
  <si>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</si>
  <si>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</si>
  <si>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</si>
  <si>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</si>
  <si>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</si>
  <si>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</si>
  <si>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</si>
  <si>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</si>
  <si>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</si>
  <si>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</si>
  <si>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</si>
  <si>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</si>
  <si>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</si>
  <si>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</si>
  <si>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</si>
  <si>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</si>
  <si>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</si>
  <si>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</si>
  <si>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</si>
  <si>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</si>
  <si>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</si>
  <si>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</si>
  <si>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</si>
  <si>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</si>
  <si>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</si>
  <si>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</si>
  <si>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</si>
  <si>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</si>
  <si>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</si>
  <si>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</si>
  <si>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</si>
  <si>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</si>
  <si>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</si>
  <si>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</si>
  <si>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</si>
  <si>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</si>
  <si>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</si>
  <si>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</si>
  <si>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</si>
  <si>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</si>
  <si>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</si>
  <si>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</si>
  <si>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</si>
  <si>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</si>
  <si>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</si>
  <si>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</si>
  <si>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</si>
  <si>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</si>
  <si>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</si>
  <si>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</si>
  <si>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</si>
  <si>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</si>
  <si>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</si>
  <si>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</si>
  <si>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</si>
  <si>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</si>
  <si>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</si>
  <si>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</si>
  <si>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</si>
  <si>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</si>
  <si>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</si>
  <si>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</si>
  <si>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</si>
  <si>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</si>
  <si>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</si>
  <si>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</si>
  <si>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</si>
  <si>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</si>
  <si>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</si>
  <si>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</si>
  <si>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</si>
  <si>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</si>
  <si>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</si>
  <si>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</si>
  <si>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</si>
  <si>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</si>
  <si>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</si>
  <si>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</si>
  <si>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</si>
  <si>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</si>
  <si>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</si>
  <si>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</si>
  <si>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</si>
  <si>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</si>
  <si>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</si>
  <si>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</si>
  <si>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</si>
  <si>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</si>
  <si>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</si>
  <si>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</si>
  <si>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</si>
  <si>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</si>
  <si>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</si>
  <si>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</si>
  <si>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</si>
  <si>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</si>
  <si>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</si>
  <si>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</si>
  <si>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</si>
  <si>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</si>
  <si>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</si>
  <si>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</si>
  <si>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</si>
  <si>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</si>
  <si>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</si>
  <si>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</si>
  <si>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</si>
  <si>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</si>
  <si>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</si>
  <si>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</si>
  <si>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</si>
  <si>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</si>
  <si>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</si>
  <si>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</si>
  <si>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</si>
  <si>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</si>
  <si>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</si>
  <si>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</si>
  <si>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</si>
  <si>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</si>
  <si>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</si>
  <si>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</si>
  <si>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</si>
  <si>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</si>
  <si>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</si>
  <si>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</si>
  <si>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</si>
  <si>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</si>
  <si>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</si>
  <si>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</si>
  <si>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</si>
  <si>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</si>
  <si>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</si>
  <si>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</si>
  <si>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</si>
  <si>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</si>
  <si>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</si>
  <si>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</si>
  <si>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</si>
  <si>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</si>
  <si>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</si>
  <si>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</si>
  <si>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</si>
  <si>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</si>
  <si>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</si>
  <si>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</si>
  <si>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</si>
  <si>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</si>
  <si>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</si>
  <si>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</si>
  <si>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</si>
  <si>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</si>
  <si>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</si>
  <si>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</si>
  <si>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</si>
  <si>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</si>
  <si>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</si>
  <si>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</si>
  <si>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</si>
  <si>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</si>
  <si>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</si>
  <si>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</si>
  <si>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</si>
  <si>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</si>
  <si>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</si>
  <si>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</si>
  <si>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</si>
  <si>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</si>
  <si>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</si>
  <si>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</si>
  <si>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</si>
  <si>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</si>
  <si>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</si>
  <si>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</si>
  <si>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</si>
  <si>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</si>
  <si>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</si>
  <si>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</si>
  <si>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</si>
  <si>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</si>
  <si>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</si>
  <si>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</si>
  <si>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</si>
  <si>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</si>
  <si>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</si>
  <si>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</si>
  <si>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</si>
  <si>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</si>
  <si>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</si>
  <si>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</si>
  <si>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</si>
  <si>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</si>
  <si>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</si>
  <si>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</si>
  <si>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</si>
  <si>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</si>
  <si>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</si>
  <si>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</si>
  <si>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</si>
  <si>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</si>
  <si>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</si>
  <si>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</si>
  <si>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</si>
  <si>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</si>
  <si>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</si>
  <si>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</si>
  <si>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</si>
  <si>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</si>
  <si>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</si>
  <si>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</si>
  <si>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</si>
  <si>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</si>
  <si>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</si>
  <si>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</si>
  <si>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</si>
  <si>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</si>
  <si>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</si>
  <si>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</si>
  <si>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</si>
  <si>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</si>
  <si>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</si>
  <si>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</si>
  <si>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</si>
  <si>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</si>
  <si>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</si>
  <si>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</si>
  <si>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</si>
  <si>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</si>
  <si>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</si>
  <si>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</si>
  <si>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</si>
  <si>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</si>
  <si>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</si>
  <si>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</si>
  <si>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</si>
  <si>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</si>
  <si>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</si>
  <si>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</si>
  <si>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</si>
  <si>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</si>
  <si>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</si>
  <si>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</si>
  <si>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</si>
  <si>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</si>
  <si>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</si>
  <si>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</si>
  <si>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</si>
  <si>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</si>
  <si>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</si>
  <si>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</si>
  <si>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</si>
  <si>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</si>
  <si>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</si>
  <si>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</si>
  <si>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</si>
  <si>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</si>
  <si>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</si>
  <si>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</si>
  <si>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</si>
  <si>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</si>
  <si>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</si>
  <si>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</si>
  <si>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</si>
  <si>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</si>
  <si>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</si>
  <si>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</si>
  <si>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</si>
  <si>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</si>
  <si>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</si>
  <si>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</si>
  <si>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</si>
  <si>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</si>
  <si>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</si>
  <si>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</si>
  <si>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</si>
  <si>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</si>
  <si>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</si>
  <si>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</si>
  <si>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</si>
  <si>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</si>
  <si>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</si>
  <si>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</si>
  <si>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</si>
  <si>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</si>
  <si>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</si>
  <si>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</si>
  <si>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</si>
  <si>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</si>
  <si>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</si>
  <si>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</si>
  <si>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</si>
  <si>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</si>
  <si>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</si>
  <si>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</si>
  <si>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</si>
  <si>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</si>
  <si>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</si>
  <si>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</si>
  <si>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</si>
  <si>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</si>
  <si>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</si>
  <si>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</si>
  <si>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</si>
  <si>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</si>
  <si>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</si>
  <si>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</si>
  <si>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</si>
  <si>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</si>
  <si>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</si>
  <si>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</si>
  <si>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</si>
  <si>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</si>
  <si>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</si>
  <si>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</si>
  <si>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</si>
  <si>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</si>
  <si>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</si>
  <si>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</si>
  <si>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</si>
  <si>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</si>
  <si>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</si>
  <si>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</si>
  <si>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</si>
  <si>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</si>
  <si>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</si>
  <si>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</si>
  <si>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</si>
  <si>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</si>
  <si>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</si>
  <si>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</si>
  <si>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</si>
  <si>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</si>
  <si>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</si>
  <si>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</si>
  <si>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</si>
  <si>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</si>
  <si>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</si>
  <si>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</si>
  <si>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</si>
  <si>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</si>
  <si>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</si>
  <si>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</si>
  <si>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</si>
  <si>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</si>
  <si>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</si>
  <si>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</si>
  <si>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</si>
  <si>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</si>
  <si>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</si>
  <si>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</si>
  <si>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</si>
  <si>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</si>
  <si>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</si>
  <si>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</si>
  <si>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</si>
  <si>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</si>
  <si>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</si>
  <si>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</si>
  <si>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</si>
  <si>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</si>
  <si>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</si>
  <si>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</si>
  <si>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</si>
  <si>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</si>
  <si>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</si>
  <si>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</si>
  <si>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</si>
  <si>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</si>
  <si>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</si>
  <si>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</si>
  <si>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</si>
  <si>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</si>
  <si>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</si>
  <si>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</si>
  <si>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</si>
  <si>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</si>
  <si>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</si>
  <si>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</si>
  <si>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</si>
  <si>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</si>
  <si>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</si>
  <si>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</si>
  <si>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</si>
  <si>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</si>
  <si>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</si>
  <si>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</si>
  <si>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</si>
  <si>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</si>
  <si>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</si>
  <si>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</si>
  <si>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</si>
  <si>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</si>
  <si>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</si>
  <si>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</si>
  <si>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</si>
  <si>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</si>
  <si>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</si>
  <si>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</si>
  <si>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</si>
  <si>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</si>
  <si>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</si>
  <si>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</si>
  <si>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</si>
  <si>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</si>
  <si>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</si>
  <si>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</si>
  <si>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</si>
  <si>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</si>
  <si>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</si>
  <si>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</si>
  <si>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</si>
  <si>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</si>
  <si>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</si>
  <si>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</si>
  <si>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</si>
  <si>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</si>
  <si>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</si>
  <si>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</si>
  <si>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</si>
  <si>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</si>
  <si>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</si>
  <si>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</si>
  <si>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</si>
  <si>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</si>
  <si>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</si>
  <si>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</si>
  <si>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</si>
  <si>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</si>
  <si>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</si>
  <si>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</si>
  <si>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</si>
  <si>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</si>
  <si>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</si>
  <si>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</si>
  <si>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</si>
  <si>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</si>
  <si>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</si>
  <si>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</si>
  <si>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</si>
  <si>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</si>
  <si>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</si>
  <si>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</si>
  <si>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</si>
  <si>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</si>
  <si>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</si>
  <si>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</si>
  <si>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</si>
  <si>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</si>
  <si>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</si>
  <si>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</si>
  <si>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</si>
  <si>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</si>
  <si>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</si>
  <si>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</si>
  <si>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</si>
  <si>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</si>
  <si>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</si>
  <si>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</si>
  <si>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</si>
  <si>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</si>
  <si>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</si>
  <si>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</si>
  <si>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</si>
  <si>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</si>
  <si>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</si>
  <si>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</si>
  <si>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 პაშა ბანკი საქართველო"</t>
  </si>
  <si>
    <t>როვშან ალაჰვერდიევი</t>
  </si>
  <si>
    <t>რამილ იმამოვ</t>
  </si>
  <si>
    <t>www.pashabank.ge</t>
  </si>
  <si>
    <t>შაჰინ მამმადოვი</t>
  </si>
  <si>
    <t>არადამოუკიდებელ წევრი</t>
  </si>
  <si>
    <t>გიორგი ღლონტი</t>
  </si>
  <si>
    <t>დამოუკიდებელი წევრი</t>
  </si>
  <si>
    <t>ებრუ ოღან კნოტნერუს</t>
  </si>
  <si>
    <t>კამალა ნურიევა</t>
  </si>
  <si>
    <t>როვშან ალლაჰვერდიევ</t>
  </si>
  <si>
    <t>არადამოუკიდებელი თავმჯდომარე</t>
  </si>
  <si>
    <t>პარვინ მამმადოვ</t>
  </si>
  <si>
    <t>ფინანსური დირექტორი</t>
  </si>
  <si>
    <t>ლევან ალადაშვილი</t>
  </si>
  <si>
    <t>რისკების დირექტორი</t>
  </si>
  <si>
    <t>ანზორ მანწკავა</t>
  </si>
  <si>
    <t>საცალო მიმართულების ბანკინგის დირექტორი</t>
  </si>
  <si>
    <t xml:space="preserve">ღსს "პაშა ბანკი" </t>
  </si>
  <si>
    <t>შპს პაშა ჰოლდინგ</t>
  </si>
  <si>
    <t xml:space="preserve">არიფ პაშაევი </t>
  </si>
  <si>
    <t xml:space="preserve">არზუ ალიევა </t>
  </si>
  <si>
    <t xml:space="preserve">ლეილა ალიევა </t>
  </si>
  <si>
    <t>მირ ჯამალ პაშაევი</t>
  </si>
  <si>
    <t xml:space="preserve"> ცხრილი 9 (Capital), N38</t>
  </si>
  <si>
    <t xml:space="preserve"> ცხრილი 9 (Capital), N2</t>
  </si>
  <si>
    <t xml:space="preserve"> ცხრილი 9 (Capital), N6</t>
  </si>
  <si>
    <t>დირექტორთა საბჭოს თავჯდომარე/გენერალური დირექტორი</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</si>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</sst>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_);_(* \(#,##0.000\);_(* &quot;-&quot;??_);_(@_)"/>
    <numFmt numFmtId="195" formatCode="_-* #,##0_-;\-* #,##0_-;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9"/>
      <color rgb="FFFF0000"/>
      <name val="Sylfaen"/>
      <family val="1"/>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8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3189">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8" fontId="40"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8" fontId="40"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9" fontId="40"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0" fontId="38" fillId="64" borderId="37" applyNumberFormat="0" applyAlignment="0" applyProtection="0"/>
    <xf numFmtId="0" fontId="41" fillId="65" borderId="38" applyNumberFormat="0" applyAlignment="0" applyProtection="0"/>
    <xf numFmtId="0" fontId="42" fillId="10" borderId="33"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0" fontId="41"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0" fontId="42" fillId="10" borderId="33"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0" fontId="41"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0" applyNumberFormat="0" applyFill="0" applyAlignment="0" applyProtection="0"/>
    <xf numFmtId="169" fontId="55" fillId="0" borderId="40" applyNumberFormat="0" applyFill="0" applyAlignment="0" applyProtection="0"/>
    <xf numFmtId="0"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169" fontId="56" fillId="0" borderId="41" applyNumberFormat="0" applyFill="0" applyAlignment="0" applyProtection="0"/>
    <xf numFmtId="0"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0" fontId="56" fillId="0" borderId="41" applyNumberFormat="0" applyFill="0" applyAlignment="0" applyProtection="0"/>
    <xf numFmtId="0" fontId="57" fillId="0" borderId="42" applyNumberFormat="0" applyFill="0" applyAlignment="0" applyProtection="0"/>
    <xf numFmtId="169"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8" fontId="68"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8" fontId="68"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9" fontId="68"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0" fontId="66" fillId="43" borderId="37"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3"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0" fontId="69" fillId="0" borderId="43"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0" fontId="69"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4"/>
    <xf numFmtId="169" fontId="26" fillId="0" borderId="44"/>
    <xf numFmtId="168" fontId="26"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168" fontId="2" fillId="0" borderId="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7" fillId="74" borderId="45" applyNumberFormat="0" applyFont="0" applyAlignment="0" applyProtection="0"/>
    <xf numFmtId="168" fontId="2" fillId="0" borderId="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169" fontId="2" fillId="0" borderId="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 fillId="0" borderId="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8" fontId="85"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8" fontId="85"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9" fontId="85"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0" fontId="83" fillId="64" borderId="46"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9"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25" fillId="0" borderId="48"/>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2" applyNumberFormat="0" applyFill="0" applyAlignment="0" applyProtection="0"/>
    <xf numFmtId="168" fontId="94" fillId="0" borderId="102" applyNumberFormat="0" applyFill="0" applyAlignment="0" applyProtection="0"/>
    <xf numFmtId="169" fontId="94" fillId="0" borderId="102" applyNumberFormat="0" applyFill="0" applyAlignment="0" applyProtection="0"/>
    <xf numFmtId="168" fontId="94" fillId="0" borderId="102" applyNumberFormat="0" applyFill="0" applyAlignment="0" applyProtection="0"/>
    <xf numFmtId="168" fontId="94" fillId="0" borderId="102" applyNumberFormat="0" applyFill="0" applyAlignment="0" applyProtection="0"/>
    <xf numFmtId="169" fontId="94" fillId="0" borderId="102" applyNumberFormat="0" applyFill="0" applyAlignment="0" applyProtection="0"/>
    <xf numFmtId="168" fontId="94" fillId="0" borderId="102" applyNumberFormat="0" applyFill="0" applyAlignment="0" applyProtection="0"/>
    <xf numFmtId="168" fontId="94" fillId="0" borderId="102" applyNumberFormat="0" applyFill="0" applyAlignment="0" applyProtection="0"/>
    <xf numFmtId="169" fontId="94" fillId="0" borderId="102" applyNumberFormat="0" applyFill="0" applyAlignment="0" applyProtection="0"/>
    <xf numFmtId="168" fontId="94" fillId="0" borderId="102" applyNumberFormat="0" applyFill="0" applyAlignment="0" applyProtection="0"/>
    <xf numFmtId="168" fontId="94" fillId="0" borderId="102" applyNumberFormat="0" applyFill="0" applyAlignment="0" applyProtection="0"/>
    <xf numFmtId="169" fontId="94" fillId="0" borderId="102" applyNumberFormat="0" applyFill="0" applyAlignment="0" applyProtection="0"/>
    <xf numFmtId="168" fontId="94"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169" fontId="94"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168" fontId="94"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168" fontId="94"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0" fontId="47" fillId="0" borderId="102" applyNumberFormat="0" applyFill="0" applyAlignment="0" applyProtection="0"/>
    <xf numFmtId="188" fontId="2" fillId="70" borderId="96" applyFont="0">
      <alignment horizontal="right" vertical="center"/>
    </xf>
    <xf numFmtId="3" fontId="2" fillId="70" borderId="96" applyFont="0">
      <alignment horizontal="right" vertical="center"/>
    </xf>
    <xf numFmtId="0" fontId="83" fillId="64" borderId="101" applyNumberFormat="0" applyAlignment="0" applyProtection="0"/>
    <xf numFmtId="168" fontId="85" fillId="64" borderId="101" applyNumberFormat="0" applyAlignment="0" applyProtection="0"/>
    <xf numFmtId="169" fontId="85" fillId="64" borderId="101" applyNumberFormat="0" applyAlignment="0" applyProtection="0"/>
    <xf numFmtId="168" fontId="85" fillId="64" borderId="101" applyNumberFormat="0" applyAlignment="0" applyProtection="0"/>
    <xf numFmtId="168" fontId="85" fillId="64" borderId="101" applyNumberFormat="0" applyAlignment="0" applyProtection="0"/>
    <xf numFmtId="169" fontId="85" fillId="64" borderId="101" applyNumberFormat="0" applyAlignment="0" applyProtection="0"/>
    <xf numFmtId="168" fontId="85" fillId="64" borderId="101" applyNumberFormat="0" applyAlignment="0" applyProtection="0"/>
    <xf numFmtId="168" fontId="85" fillId="64" borderId="101" applyNumberFormat="0" applyAlignment="0" applyProtection="0"/>
    <xf numFmtId="169" fontId="85" fillId="64" borderId="101" applyNumberFormat="0" applyAlignment="0" applyProtection="0"/>
    <xf numFmtId="168" fontId="85" fillId="64" borderId="101" applyNumberFormat="0" applyAlignment="0" applyProtection="0"/>
    <xf numFmtId="168" fontId="85" fillId="64" borderId="101" applyNumberFormat="0" applyAlignment="0" applyProtection="0"/>
    <xf numFmtId="169" fontId="85" fillId="64" borderId="101" applyNumberFormat="0" applyAlignment="0" applyProtection="0"/>
    <xf numFmtId="168" fontId="85"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169" fontId="85"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168" fontId="85"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168" fontId="85"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0" fontId="83" fillId="64" borderId="101" applyNumberFormat="0" applyAlignment="0" applyProtection="0"/>
    <xf numFmtId="3" fontId="2" fillId="75" borderId="96" applyFont="0">
      <alignment horizontal="right" vertical="center"/>
      <protection locked="0"/>
    </xf>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 fillId="74" borderId="100" applyNumberFormat="0" applyFont="0" applyAlignment="0" applyProtection="0"/>
    <xf numFmtId="0" fontId="27"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0" fontId="27" fillId="74" borderId="100" applyNumberFormat="0" applyFont="0" applyAlignment="0" applyProtection="0"/>
    <xf numFmtId="3" fontId="2" fillId="72" borderId="96" applyFont="0">
      <alignment horizontal="right" vertical="center"/>
      <protection locked="0"/>
    </xf>
    <xf numFmtId="0" fontId="66" fillId="43" borderId="99" applyNumberFormat="0" applyAlignment="0" applyProtection="0"/>
    <xf numFmtId="168" fontId="68" fillId="43" borderId="99" applyNumberFormat="0" applyAlignment="0" applyProtection="0"/>
    <xf numFmtId="169" fontId="68" fillId="43" borderId="99" applyNumberFormat="0" applyAlignment="0" applyProtection="0"/>
    <xf numFmtId="168" fontId="68" fillId="43" borderId="99" applyNumberFormat="0" applyAlignment="0" applyProtection="0"/>
    <xf numFmtId="168" fontId="68" fillId="43" borderId="99" applyNumberFormat="0" applyAlignment="0" applyProtection="0"/>
    <xf numFmtId="169" fontId="68" fillId="43" borderId="99" applyNumberFormat="0" applyAlignment="0" applyProtection="0"/>
    <xf numFmtId="168" fontId="68" fillId="43" borderId="99" applyNumberFormat="0" applyAlignment="0" applyProtection="0"/>
    <xf numFmtId="168" fontId="68" fillId="43" borderId="99" applyNumberFormat="0" applyAlignment="0" applyProtection="0"/>
    <xf numFmtId="169" fontId="68" fillId="43" borderId="99" applyNumberFormat="0" applyAlignment="0" applyProtection="0"/>
    <xf numFmtId="168" fontId="68" fillId="43" borderId="99" applyNumberFormat="0" applyAlignment="0" applyProtection="0"/>
    <xf numFmtId="168" fontId="68" fillId="43" borderId="99" applyNumberFormat="0" applyAlignment="0" applyProtection="0"/>
    <xf numFmtId="169" fontId="68" fillId="43" borderId="99" applyNumberFormat="0" applyAlignment="0" applyProtection="0"/>
    <xf numFmtId="168" fontId="68"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169" fontId="68"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168" fontId="68"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168" fontId="68"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66" fillId="43" borderId="99" applyNumberFormat="0" applyAlignment="0" applyProtection="0"/>
    <xf numFmtId="0" fontId="2" fillId="71" borderId="97" applyNumberFormat="0" applyFont="0" applyBorder="0" applyProtection="0">
      <alignment horizontal="left" vertical="center"/>
    </xf>
    <xf numFmtId="9" fontId="2" fillId="71" borderId="96" applyFont="0" applyProtection="0">
      <alignment horizontal="right" vertical="center"/>
    </xf>
    <xf numFmtId="3" fontId="2" fillId="71" borderId="96" applyFont="0" applyProtection="0">
      <alignment horizontal="right" vertical="center"/>
    </xf>
    <xf numFmtId="0" fontId="62" fillId="70" borderId="97" applyFont="0" applyBorder="0">
      <alignment horizontal="center" wrapText="1"/>
    </xf>
    <xf numFmtId="168" fontId="54" fillId="0" borderId="94">
      <alignment horizontal="left" vertical="center"/>
    </xf>
    <xf numFmtId="0" fontId="54" fillId="0" borderId="94">
      <alignment horizontal="left" vertical="center"/>
    </xf>
    <xf numFmtId="0" fontId="54" fillId="0" borderId="94">
      <alignment horizontal="left" vertical="center"/>
    </xf>
    <xf numFmtId="0" fontId="2" fillId="69" borderId="96" applyNumberFormat="0" applyFont="0" applyBorder="0" applyProtection="0">
      <alignment horizontal="center" vertical="center"/>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6" fillId="0" borderId="96" applyNumberFormat="0" applyAlignment="0">
      <alignment horizontal="right"/>
      <protection locked="0"/>
    </xf>
    <xf numFmtId="0" fontId="38" fillId="64" borderId="99" applyNumberFormat="0" applyAlignment="0" applyProtection="0"/>
    <xf numFmtId="168" fontId="40" fillId="64" borderId="99" applyNumberFormat="0" applyAlignment="0" applyProtection="0"/>
    <xf numFmtId="169" fontId="40" fillId="64" borderId="99" applyNumberFormat="0" applyAlignment="0" applyProtection="0"/>
    <xf numFmtId="168" fontId="40" fillId="64" borderId="99" applyNumberFormat="0" applyAlignment="0" applyProtection="0"/>
    <xf numFmtId="168" fontId="40" fillId="64" borderId="99" applyNumberFormat="0" applyAlignment="0" applyProtection="0"/>
    <xf numFmtId="169" fontId="40" fillId="64" borderId="99" applyNumberFormat="0" applyAlignment="0" applyProtection="0"/>
    <xf numFmtId="168" fontId="40" fillId="64" borderId="99" applyNumberFormat="0" applyAlignment="0" applyProtection="0"/>
    <xf numFmtId="168" fontId="40" fillId="64" borderId="99" applyNumberFormat="0" applyAlignment="0" applyProtection="0"/>
    <xf numFmtId="169" fontId="40" fillId="64" borderId="99" applyNumberFormat="0" applyAlignment="0" applyProtection="0"/>
    <xf numFmtId="168" fontId="40" fillId="64" borderId="99" applyNumberFormat="0" applyAlignment="0" applyProtection="0"/>
    <xf numFmtId="168" fontId="40" fillId="64" borderId="99" applyNumberFormat="0" applyAlignment="0" applyProtection="0"/>
    <xf numFmtId="169" fontId="40" fillId="64" borderId="99" applyNumberFormat="0" applyAlignment="0" applyProtection="0"/>
    <xf numFmtId="168" fontId="40"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169" fontId="40"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168" fontId="40"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168" fontId="40"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38" fillId="64" borderId="99"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168" fontId="40"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168" fontId="40"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169" fontId="40"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0" fontId="38" fillId="64" borderId="154" applyNumberFormat="0" applyAlignment="0" applyProtection="0"/>
    <xf numFmtId="168" fontId="40" fillId="64" borderId="154" applyNumberFormat="0" applyAlignment="0" applyProtection="0"/>
    <xf numFmtId="169" fontId="40" fillId="64" borderId="154" applyNumberFormat="0" applyAlignment="0" applyProtection="0"/>
    <xf numFmtId="168" fontId="40" fillId="64" borderId="154" applyNumberFormat="0" applyAlignment="0" applyProtection="0"/>
    <xf numFmtId="168" fontId="40" fillId="64" borderId="154" applyNumberFormat="0" applyAlignment="0" applyProtection="0"/>
    <xf numFmtId="169" fontId="40" fillId="64" borderId="154" applyNumberFormat="0" applyAlignment="0" applyProtection="0"/>
    <xf numFmtId="168" fontId="40" fillId="64" borderId="154" applyNumberFormat="0" applyAlignment="0" applyProtection="0"/>
    <xf numFmtId="168" fontId="40" fillId="64" borderId="154" applyNumberFormat="0" applyAlignment="0" applyProtection="0"/>
    <xf numFmtId="169" fontId="40" fillId="64" borderId="154" applyNumberFormat="0" applyAlignment="0" applyProtection="0"/>
    <xf numFmtId="168" fontId="40" fillId="64" borderId="154" applyNumberFormat="0" applyAlignment="0" applyProtection="0"/>
    <xf numFmtId="168" fontId="40" fillId="64" borderId="154" applyNumberFormat="0" applyAlignment="0" applyProtection="0"/>
    <xf numFmtId="169" fontId="40" fillId="64" borderId="154" applyNumberFormat="0" applyAlignment="0" applyProtection="0"/>
    <xf numFmtId="168" fontId="40" fillId="64" borderId="154" applyNumberFormat="0" applyAlignment="0" applyProtection="0"/>
    <xf numFmtId="0" fontId="38" fillId="64" borderId="154" applyNumberFormat="0" applyAlignment="0" applyProtection="0"/>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2" fillId="69" borderId="139" applyNumberFormat="0" applyFont="0" applyBorder="0" applyProtection="0">
      <alignment horizontal="center" vertical="center"/>
    </xf>
    <xf numFmtId="0" fontId="54" fillId="0" borderId="144">
      <alignment horizontal="left" vertical="center"/>
    </xf>
    <xf numFmtId="0" fontId="54" fillId="0" borderId="144">
      <alignment horizontal="left" vertical="center"/>
    </xf>
    <xf numFmtId="168" fontId="54" fillId="0" borderId="144">
      <alignment horizontal="left" vertical="center"/>
    </xf>
    <xf numFmtId="0" fontId="62" fillId="70" borderId="142" applyFont="0" applyBorder="0">
      <alignment horizontal="center" wrapText="1"/>
    </xf>
    <xf numFmtId="3" fontId="2" fillId="71" borderId="139" applyFont="0" applyProtection="0">
      <alignment horizontal="right" vertical="center"/>
    </xf>
    <xf numFmtId="9" fontId="2" fillId="71" borderId="139" applyFont="0" applyProtection="0">
      <alignment horizontal="right" vertical="center"/>
    </xf>
    <xf numFmtId="0" fontId="2" fillId="71" borderId="142" applyNumberFormat="0" applyFont="0" applyBorder="0" applyProtection="0">
      <alignment horizontal="left" vertical="center"/>
    </xf>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168" fontId="68"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168" fontId="68"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169" fontId="68"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0" fontId="66" fillId="43" borderId="154" applyNumberFormat="0" applyAlignment="0" applyProtection="0"/>
    <xf numFmtId="168" fontId="68" fillId="43" borderId="154" applyNumberFormat="0" applyAlignment="0" applyProtection="0"/>
    <xf numFmtId="169" fontId="68" fillId="43" borderId="154" applyNumberFormat="0" applyAlignment="0" applyProtection="0"/>
    <xf numFmtId="168" fontId="68" fillId="43" borderId="154" applyNumberFormat="0" applyAlignment="0" applyProtection="0"/>
    <xf numFmtId="168" fontId="68" fillId="43" borderId="154" applyNumberFormat="0" applyAlignment="0" applyProtection="0"/>
    <xf numFmtId="169" fontId="68" fillId="43" borderId="154" applyNumberFormat="0" applyAlignment="0" applyProtection="0"/>
    <xf numFmtId="168" fontId="68" fillId="43" borderId="154" applyNumberFormat="0" applyAlignment="0" applyProtection="0"/>
    <xf numFmtId="168" fontId="68" fillId="43" borderId="154" applyNumberFormat="0" applyAlignment="0" applyProtection="0"/>
    <xf numFmtId="169" fontId="68" fillId="43" borderId="154" applyNumberFormat="0" applyAlignment="0" applyProtection="0"/>
    <xf numFmtId="168" fontId="68" fillId="43" borderId="154" applyNumberFormat="0" applyAlignment="0" applyProtection="0"/>
    <xf numFmtId="168" fontId="68" fillId="43" borderId="154" applyNumberFormat="0" applyAlignment="0" applyProtection="0"/>
    <xf numFmtId="169" fontId="68" fillId="43" borderId="154" applyNumberFormat="0" applyAlignment="0" applyProtection="0"/>
    <xf numFmtId="168" fontId="68" fillId="43" borderId="154" applyNumberFormat="0" applyAlignment="0" applyProtection="0"/>
    <xf numFmtId="0" fontId="66" fillId="43" borderId="154" applyNumberFormat="0" applyAlignment="0" applyProtection="0"/>
    <xf numFmtId="3" fontId="2" fillId="72" borderId="139" applyFont="0">
      <alignment horizontal="right" vertical="center"/>
      <protection locked="0"/>
    </xf>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7" fillId="74" borderId="155" applyNumberFormat="0" applyFont="0" applyAlignment="0" applyProtection="0"/>
    <xf numFmtId="0" fontId="2"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7"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3" fontId="2" fillId="75" borderId="139" applyFont="0">
      <alignment horizontal="right" vertical="center"/>
      <protection locked="0"/>
    </xf>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168" fontId="85"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168" fontId="85"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169" fontId="85"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0" fontId="83" fillId="64" borderId="156" applyNumberFormat="0" applyAlignment="0" applyProtection="0"/>
    <xf numFmtId="168" fontId="85" fillId="64" borderId="156" applyNumberFormat="0" applyAlignment="0" applyProtection="0"/>
    <xf numFmtId="169" fontId="85" fillId="64" borderId="156" applyNumberFormat="0" applyAlignment="0" applyProtection="0"/>
    <xf numFmtId="168" fontId="85" fillId="64" borderId="156" applyNumberFormat="0" applyAlignment="0" applyProtection="0"/>
    <xf numFmtId="168" fontId="85" fillId="64" borderId="156" applyNumberFormat="0" applyAlignment="0" applyProtection="0"/>
    <xf numFmtId="169" fontId="85" fillId="64" borderId="156" applyNumberFormat="0" applyAlignment="0" applyProtection="0"/>
    <xf numFmtId="168" fontId="85" fillId="64" borderId="156" applyNumberFormat="0" applyAlignment="0" applyProtection="0"/>
    <xf numFmtId="168" fontId="85" fillId="64" borderId="156" applyNumberFormat="0" applyAlignment="0" applyProtection="0"/>
    <xf numFmtId="169" fontId="85" fillId="64" borderId="156" applyNumberFormat="0" applyAlignment="0" applyProtection="0"/>
    <xf numFmtId="168" fontId="85" fillId="64" borderId="156" applyNumberFormat="0" applyAlignment="0" applyProtection="0"/>
    <xf numFmtId="168" fontId="85" fillId="64" borderId="156" applyNumberFormat="0" applyAlignment="0" applyProtection="0"/>
    <xf numFmtId="169" fontId="85" fillId="64" borderId="156" applyNumberFormat="0" applyAlignment="0" applyProtection="0"/>
    <xf numFmtId="168" fontId="85" fillId="64" borderId="156" applyNumberFormat="0" applyAlignment="0" applyProtection="0"/>
    <xf numFmtId="0" fontId="83" fillId="64" borderId="156" applyNumberFormat="0" applyAlignment="0" applyProtection="0"/>
    <xf numFmtId="3" fontId="2" fillId="70" borderId="139" applyFont="0">
      <alignment horizontal="right" vertical="center"/>
    </xf>
    <xf numFmtId="188" fontId="2" fillId="70" borderId="139" applyFont="0">
      <alignment horizontal="right" vertical="center"/>
    </xf>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168" fontId="94"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168" fontId="94"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169" fontId="94"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0" fontId="47" fillId="0" borderId="157" applyNumberFormat="0" applyFill="0" applyAlignment="0" applyProtection="0"/>
    <xf numFmtId="168" fontId="94" fillId="0" borderId="157" applyNumberFormat="0" applyFill="0" applyAlignment="0" applyProtection="0"/>
    <xf numFmtId="169" fontId="94" fillId="0" borderId="157" applyNumberFormat="0" applyFill="0" applyAlignment="0" applyProtection="0"/>
    <xf numFmtId="168" fontId="94" fillId="0" borderId="157" applyNumberFormat="0" applyFill="0" applyAlignment="0" applyProtection="0"/>
    <xf numFmtId="168" fontId="94" fillId="0" borderId="157" applyNumberFormat="0" applyFill="0" applyAlignment="0" applyProtection="0"/>
    <xf numFmtId="169" fontId="94" fillId="0" borderId="157" applyNumberFormat="0" applyFill="0" applyAlignment="0" applyProtection="0"/>
    <xf numFmtId="168" fontId="94" fillId="0" borderId="157" applyNumberFormat="0" applyFill="0" applyAlignment="0" applyProtection="0"/>
    <xf numFmtId="168" fontId="94" fillId="0" borderId="157" applyNumberFormat="0" applyFill="0" applyAlignment="0" applyProtection="0"/>
    <xf numFmtId="169" fontId="94" fillId="0" borderId="157" applyNumberFormat="0" applyFill="0" applyAlignment="0" applyProtection="0"/>
    <xf numFmtId="168" fontId="94" fillId="0" borderId="157" applyNumberFormat="0" applyFill="0" applyAlignment="0" applyProtection="0"/>
    <xf numFmtId="168" fontId="94" fillId="0" borderId="157" applyNumberFormat="0" applyFill="0" applyAlignment="0" applyProtection="0"/>
    <xf numFmtId="169" fontId="94" fillId="0" borderId="157" applyNumberFormat="0" applyFill="0" applyAlignment="0" applyProtection="0"/>
    <xf numFmtId="168" fontId="94" fillId="0" borderId="157" applyNumberFormat="0" applyFill="0" applyAlignment="0" applyProtection="0"/>
    <xf numFmtId="0" fontId="47" fillId="0" borderId="157" applyNumberFormat="0" applyFill="0" applyAlignment="0" applyProtection="0"/>
    <xf numFmtId="0" fontId="47" fillId="0" borderId="162" applyNumberFormat="0" applyFill="0" applyAlignment="0" applyProtection="0"/>
    <xf numFmtId="168" fontId="94" fillId="0" borderId="162" applyNumberFormat="0" applyFill="0" applyAlignment="0" applyProtection="0"/>
    <xf numFmtId="169" fontId="94" fillId="0" borderId="162" applyNumberFormat="0" applyFill="0" applyAlignment="0" applyProtection="0"/>
    <xf numFmtId="168" fontId="94" fillId="0" borderId="162" applyNumberFormat="0" applyFill="0" applyAlignment="0" applyProtection="0"/>
    <xf numFmtId="168" fontId="94" fillId="0" borderId="162" applyNumberFormat="0" applyFill="0" applyAlignment="0" applyProtection="0"/>
    <xf numFmtId="169" fontId="94" fillId="0" borderId="162" applyNumberFormat="0" applyFill="0" applyAlignment="0" applyProtection="0"/>
    <xf numFmtId="168" fontId="94" fillId="0" borderId="162" applyNumberFormat="0" applyFill="0" applyAlignment="0" applyProtection="0"/>
    <xf numFmtId="168" fontId="94" fillId="0" borderId="162" applyNumberFormat="0" applyFill="0" applyAlignment="0" applyProtection="0"/>
    <xf numFmtId="169" fontId="94" fillId="0" borderId="162" applyNumberFormat="0" applyFill="0" applyAlignment="0" applyProtection="0"/>
    <xf numFmtId="168" fontId="94" fillId="0" borderId="162" applyNumberFormat="0" applyFill="0" applyAlignment="0" applyProtection="0"/>
    <xf numFmtId="168" fontId="94" fillId="0" borderId="162" applyNumberFormat="0" applyFill="0" applyAlignment="0" applyProtection="0"/>
    <xf numFmtId="169" fontId="94" fillId="0" borderId="162" applyNumberFormat="0" applyFill="0" applyAlignment="0" applyProtection="0"/>
    <xf numFmtId="168" fontId="94"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169" fontId="94"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168" fontId="94"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168" fontId="94"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0" fontId="47" fillId="0" borderId="162" applyNumberFormat="0" applyFill="0" applyAlignment="0" applyProtection="0"/>
    <xf numFmtId="188" fontId="2" fillId="70" borderId="139" applyFont="0">
      <alignment horizontal="right" vertical="center"/>
    </xf>
    <xf numFmtId="3" fontId="2" fillId="70" borderId="139" applyFont="0">
      <alignment horizontal="right" vertical="center"/>
    </xf>
    <xf numFmtId="0" fontId="83" fillId="64" borderId="161" applyNumberFormat="0" applyAlignment="0" applyProtection="0"/>
    <xf numFmtId="168" fontId="85" fillId="64" borderId="161" applyNumberFormat="0" applyAlignment="0" applyProtection="0"/>
    <xf numFmtId="169" fontId="85" fillId="64" borderId="161" applyNumberFormat="0" applyAlignment="0" applyProtection="0"/>
    <xf numFmtId="168" fontId="85" fillId="64" borderId="161" applyNumberFormat="0" applyAlignment="0" applyProtection="0"/>
    <xf numFmtId="168" fontId="85" fillId="64" borderId="161" applyNumberFormat="0" applyAlignment="0" applyProtection="0"/>
    <xf numFmtId="169" fontId="85" fillId="64" borderId="161" applyNumberFormat="0" applyAlignment="0" applyProtection="0"/>
    <xf numFmtId="168" fontId="85" fillId="64" borderId="161" applyNumberFormat="0" applyAlignment="0" applyProtection="0"/>
    <xf numFmtId="168" fontId="85" fillId="64" borderId="161" applyNumberFormat="0" applyAlignment="0" applyProtection="0"/>
    <xf numFmtId="169" fontId="85" fillId="64" borderId="161" applyNumberFormat="0" applyAlignment="0" applyProtection="0"/>
    <xf numFmtId="168" fontId="85" fillId="64" borderId="161" applyNumberFormat="0" applyAlignment="0" applyProtection="0"/>
    <xf numFmtId="168" fontId="85" fillId="64" borderId="161" applyNumberFormat="0" applyAlignment="0" applyProtection="0"/>
    <xf numFmtId="169" fontId="85" fillId="64" borderId="161" applyNumberFormat="0" applyAlignment="0" applyProtection="0"/>
    <xf numFmtId="168" fontId="85"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169" fontId="85"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168" fontId="85"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168" fontId="85"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0" fontId="83" fillId="64" borderId="161" applyNumberFormat="0" applyAlignment="0" applyProtection="0"/>
    <xf numFmtId="3" fontId="2" fillId="75" borderId="139" applyFont="0">
      <alignment horizontal="right" vertical="center"/>
      <protection locked="0"/>
    </xf>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 fillId="74" borderId="160" applyNumberFormat="0" applyFont="0" applyAlignment="0" applyProtection="0"/>
    <xf numFmtId="0" fontId="27" fillId="74" borderId="160" applyNumberFormat="0" applyFont="0" applyAlignment="0" applyProtection="0"/>
    <xf numFmtId="0" fontId="2" fillId="74" borderId="160" applyNumberFormat="0" applyFont="0" applyAlignment="0" applyProtection="0"/>
    <xf numFmtId="0" fontId="2"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0" fontId="27" fillId="74" borderId="160" applyNumberFormat="0" applyFont="0" applyAlignment="0" applyProtection="0"/>
    <xf numFmtId="3" fontId="2" fillId="72" borderId="139" applyFont="0">
      <alignment horizontal="right" vertical="center"/>
      <protection locked="0"/>
    </xf>
    <xf numFmtId="0" fontId="66" fillId="43" borderId="159" applyNumberFormat="0" applyAlignment="0" applyProtection="0"/>
    <xf numFmtId="168" fontId="68" fillId="43" borderId="159" applyNumberFormat="0" applyAlignment="0" applyProtection="0"/>
    <xf numFmtId="169" fontId="68" fillId="43" borderId="159" applyNumberFormat="0" applyAlignment="0" applyProtection="0"/>
    <xf numFmtId="168" fontId="68" fillId="43" borderId="159" applyNumberFormat="0" applyAlignment="0" applyProtection="0"/>
    <xf numFmtId="168" fontId="68" fillId="43" borderId="159" applyNumberFormat="0" applyAlignment="0" applyProtection="0"/>
    <xf numFmtId="169" fontId="68" fillId="43" borderId="159" applyNumberFormat="0" applyAlignment="0" applyProtection="0"/>
    <xf numFmtId="168" fontId="68" fillId="43" borderId="159" applyNumberFormat="0" applyAlignment="0" applyProtection="0"/>
    <xf numFmtId="168" fontId="68" fillId="43" borderId="159" applyNumberFormat="0" applyAlignment="0" applyProtection="0"/>
    <xf numFmtId="169" fontId="68" fillId="43" borderId="159" applyNumberFormat="0" applyAlignment="0" applyProtection="0"/>
    <xf numFmtId="168" fontId="68" fillId="43" borderId="159" applyNumberFormat="0" applyAlignment="0" applyProtection="0"/>
    <xf numFmtId="168" fontId="68" fillId="43" borderId="159" applyNumberFormat="0" applyAlignment="0" applyProtection="0"/>
    <xf numFmtId="169" fontId="68" fillId="43" borderId="159" applyNumberFormat="0" applyAlignment="0" applyProtection="0"/>
    <xf numFmtId="168" fontId="68"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169" fontId="68"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168" fontId="68"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168" fontId="68"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66" fillId="43" borderId="159" applyNumberFormat="0" applyAlignment="0" applyProtection="0"/>
    <xf numFmtId="0" fontId="2" fillId="71" borderId="142" applyNumberFormat="0" applyFont="0" applyBorder="0" applyProtection="0">
      <alignment horizontal="left" vertical="center"/>
    </xf>
    <xf numFmtId="9" fontId="2" fillId="71" borderId="139" applyFont="0" applyProtection="0">
      <alignment horizontal="right" vertical="center"/>
    </xf>
    <xf numFmtId="3" fontId="2" fillId="71" borderId="139" applyFont="0" applyProtection="0">
      <alignment horizontal="right" vertical="center"/>
    </xf>
    <xf numFmtId="0" fontId="62" fillId="70" borderId="142" applyFont="0" applyBorder="0">
      <alignment horizontal="center" wrapText="1"/>
    </xf>
    <xf numFmtId="168" fontId="54" fillId="0" borderId="158">
      <alignment horizontal="left" vertical="center"/>
    </xf>
    <xf numFmtId="0" fontId="54" fillId="0" borderId="158">
      <alignment horizontal="left" vertical="center"/>
    </xf>
    <xf numFmtId="0" fontId="54" fillId="0" borderId="158">
      <alignment horizontal="left" vertical="center"/>
    </xf>
    <xf numFmtId="0" fontId="2" fillId="69" borderId="139" applyNumberFormat="0" applyFont="0" applyBorder="0" applyProtection="0">
      <alignment horizontal="center" vertical="center"/>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6" fillId="0" borderId="139" applyNumberFormat="0" applyAlignment="0">
      <alignment horizontal="right"/>
      <protection locked="0"/>
    </xf>
    <xf numFmtId="0" fontId="38" fillId="64" borderId="159" applyNumberFormat="0" applyAlignment="0" applyProtection="0"/>
    <xf numFmtId="168" fontId="40" fillId="64" borderId="159" applyNumberFormat="0" applyAlignment="0" applyProtection="0"/>
    <xf numFmtId="169" fontId="40" fillId="64" borderId="159" applyNumberFormat="0" applyAlignment="0" applyProtection="0"/>
    <xf numFmtId="168" fontId="40" fillId="64" borderId="159" applyNumberFormat="0" applyAlignment="0" applyProtection="0"/>
    <xf numFmtId="168" fontId="40" fillId="64" borderId="159" applyNumberFormat="0" applyAlignment="0" applyProtection="0"/>
    <xf numFmtId="169" fontId="40" fillId="64" borderId="159" applyNumberFormat="0" applyAlignment="0" applyProtection="0"/>
    <xf numFmtId="168" fontId="40" fillId="64" borderId="159" applyNumberFormat="0" applyAlignment="0" applyProtection="0"/>
    <xf numFmtId="168" fontId="40" fillId="64" borderId="159" applyNumberFormat="0" applyAlignment="0" applyProtection="0"/>
    <xf numFmtId="169" fontId="40" fillId="64" borderId="159" applyNumberFormat="0" applyAlignment="0" applyProtection="0"/>
    <xf numFmtId="168" fontId="40" fillId="64" borderId="159" applyNumberFormat="0" applyAlignment="0" applyProtection="0"/>
    <xf numFmtId="168" fontId="40" fillId="64" borderId="159" applyNumberFormat="0" applyAlignment="0" applyProtection="0"/>
    <xf numFmtId="169" fontId="40" fillId="64" borderId="159" applyNumberFormat="0" applyAlignment="0" applyProtection="0"/>
    <xf numFmtId="168" fontId="40"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169" fontId="40"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168" fontId="40"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168" fontId="40"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38" fillId="64" borderId="159" applyNumberFormat="0" applyAlignment="0" applyProtection="0"/>
    <xf numFmtId="0" fontId="2" fillId="0" borderId="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 fillId="74" borderId="179" applyNumberFormat="0" applyFont="0" applyAlignment="0" applyProtection="0"/>
    <xf numFmtId="0" fontId="27" fillId="74" borderId="179" applyNumberFormat="0" applyFont="0" applyAlignment="0" applyProtection="0"/>
    <xf numFmtId="0" fontId="2" fillId="74" borderId="179" applyNumberFormat="0" applyFont="0" applyAlignment="0" applyProtection="0"/>
    <xf numFmtId="0" fontId="2"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27" fillId="74" borderId="179" applyNumberFormat="0" applyFon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8" fontId="40"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8" fontId="40"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9" fontId="40"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0" fontId="38" fillId="64" borderId="173" applyNumberFormat="0" applyAlignment="0" applyProtection="0"/>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36" fillId="0" borderId="163" applyNumberFormat="0" applyAlignment="0">
      <alignment horizontal="right"/>
      <protection locked="0"/>
    </xf>
    <xf numFmtId="0" fontId="2" fillId="69" borderId="163" applyNumberFormat="0" applyFont="0" applyBorder="0" applyProtection="0">
      <alignment horizontal="center" vertical="center"/>
    </xf>
    <xf numFmtId="0" fontId="54" fillId="0" borderId="165">
      <alignment horizontal="left" vertical="center"/>
    </xf>
    <xf numFmtId="0" fontId="54" fillId="0" borderId="165">
      <alignment horizontal="left" vertical="center"/>
    </xf>
    <xf numFmtId="168" fontId="54" fillId="0" borderId="165">
      <alignment horizontal="left" vertical="center"/>
    </xf>
    <xf numFmtId="0" fontId="62" fillId="70" borderId="164" applyFont="0" applyBorder="0">
      <alignment horizontal="center" wrapText="1"/>
    </xf>
    <xf numFmtId="3" fontId="2" fillId="71" borderId="163" applyFont="0" applyProtection="0">
      <alignment horizontal="right" vertical="center"/>
    </xf>
    <xf numFmtId="9" fontId="2" fillId="71" borderId="163" applyFont="0" applyProtection="0">
      <alignment horizontal="right" vertical="center"/>
    </xf>
    <xf numFmtId="0" fontId="2" fillId="71" borderId="164" applyNumberFormat="0" applyFont="0" applyBorder="0" applyProtection="0">
      <alignment horizontal="left" vertical="center"/>
    </xf>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168" fontId="68"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168" fontId="68"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169" fontId="68"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0" fontId="66" fillId="43" borderId="173" applyNumberFormat="0" applyAlignment="0" applyProtection="0"/>
    <xf numFmtId="3" fontId="2" fillId="72" borderId="163" applyFont="0">
      <alignment horizontal="right" vertical="center"/>
      <protection locked="0"/>
    </xf>
    <xf numFmtId="0" fontId="66" fillId="43" borderId="178" applyNumberFormat="0" applyAlignment="0" applyProtection="0"/>
    <xf numFmtId="168" fontId="68" fillId="43" borderId="178" applyNumberFormat="0" applyAlignment="0" applyProtection="0"/>
    <xf numFmtId="169" fontId="68" fillId="43" borderId="178" applyNumberFormat="0" applyAlignment="0" applyProtection="0"/>
    <xf numFmtId="168" fontId="68" fillId="43" borderId="178" applyNumberFormat="0" applyAlignment="0" applyProtection="0"/>
    <xf numFmtId="168" fontId="68" fillId="43" borderId="178" applyNumberFormat="0" applyAlignment="0" applyProtection="0"/>
    <xf numFmtId="169" fontId="68" fillId="43" borderId="178" applyNumberFormat="0" applyAlignment="0" applyProtection="0"/>
    <xf numFmtId="168" fontId="68" fillId="43" borderId="178" applyNumberFormat="0" applyAlignment="0" applyProtection="0"/>
    <xf numFmtId="168" fontId="68" fillId="43" borderId="178" applyNumberFormat="0" applyAlignment="0" applyProtection="0"/>
    <xf numFmtId="169" fontId="68" fillId="43" borderId="178" applyNumberFormat="0" applyAlignment="0" applyProtection="0"/>
    <xf numFmtId="168" fontId="68" fillId="43" borderId="178" applyNumberFormat="0" applyAlignment="0" applyProtection="0"/>
    <xf numFmtId="168" fontId="68" fillId="43" borderId="178" applyNumberFormat="0" applyAlignment="0" applyProtection="0"/>
    <xf numFmtId="169" fontId="68" fillId="43" borderId="178" applyNumberFormat="0" applyAlignment="0" applyProtection="0"/>
    <xf numFmtId="168" fontId="68"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169" fontId="68"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168" fontId="68"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168" fontId="68"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0" fontId="66" fillId="43" borderId="178" applyNumberFormat="0" applyAlignment="0" applyProtection="0"/>
    <xf numFmtId="168" fontId="54" fillId="0" borderId="177">
      <alignment horizontal="left" vertical="center"/>
    </xf>
    <xf numFmtId="0" fontId="54" fillId="0" borderId="177">
      <alignment horizontal="left" vertical="center"/>
    </xf>
    <xf numFmtId="0" fontId="54" fillId="0" borderId="177">
      <alignment horizontal="left" vertical="center"/>
    </xf>
    <xf numFmtId="0" fontId="38" fillId="64" borderId="178" applyNumberFormat="0" applyAlignment="0" applyProtection="0"/>
    <xf numFmtId="168" fontId="40" fillId="64" borderId="178" applyNumberFormat="0" applyAlignment="0" applyProtection="0"/>
    <xf numFmtId="169" fontId="40" fillId="64" borderId="178" applyNumberFormat="0" applyAlignment="0" applyProtection="0"/>
    <xf numFmtId="168" fontId="40" fillId="64" borderId="178" applyNumberFormat="0" applyAlignment="0" applyProtection="0"/>
    <xf numFmtId="168" fontId="40" fillId="64" borderId="178" applyNumberFormat="0" applyAlignment="0" applyProtection="0"/>
    <xf numFmtId="169" fontId="40" fillId="64" borderId="178" applyNumberFormat="0" applyAlignment="0" applyProtection="0"/>
    <xf numFmtId="168" fontId="40" fillId="64" borderId="178" applyNumberFormat="0" applyAlignment="0" applyProtection="0"/>
    <xf numFmtId="168" fontId="40" fillId="64" borderId="178" applyNumberFormat="0" applyAlignment="0" applyProtection="0"/>
    <xf numFmtId="169" fontId="40" fillId="64" borderId="178" applyNumberFormat="0" applyAlignment="0" applyProtection="0"/>
    <xf numFmtId="168" fontId="40" fillId="64" borderId="178" applyNumberFormat="0" applyAlignment="0" applyProtection="0"/>
    <xf numFmtId="168" fontId="40" fillId="64" borderId="178" applyNumberFormat="0" applyAlignment="0" applyProtection="0"/>
    <xf numFmtId="169" fontId="40" fillId="64" borderId="178" applyNumberFormat="0" applyAlignment="0" applyProtection="0"/>
    <xf numFmtId="168" fontId="40"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169" fontId="40"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168" fontId="40"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168" fontId="40"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38" fillId="64" borderId="178" applyNumberForma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3" fontId="2" fillId="75" borderId="163" applyFont="0">
      <alignment horizontal="right" vertical="center"/>
      <protection locked="0"/>
    </xf>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168" fontId="85"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168" fontId="85"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169" fontId="85"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0" fontId="83" fillId="64" borderId="175" applyNumberFormat="0" applyAlignment="0" applyProtection="0"/>
    <xf numFmtId="3" fontId="2" fillId="70" borderId="163" applyFont="0">
      <alignment horizontal="right" vertical="center"/>
    </xf>
    <xf numFmtId="188" fontId="2" fillId="70" borderId="163" applyFont="0">
      <alignment horizontal="right" vertical="center"/>
    </xf>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68" fontId="94"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68" fontId="94"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69" fontId="94"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0" fontId="47" fillId="0" borderId="176" applyNumberFormat="0" applyFill="0" applyAlignment="0" applyProtection="0"/>
    <xf numFmtId="0" fontId="2" fillId="74" borderId="179" applyNumberFormat="0" applyFont="0" applyAlignment="0" applyProtection="0"/>
    <xf numFmtId="0" fontId="2" fillId="74" borderId="179" applyNumberFormat="0" applyFon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168" fontId="85"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168" fontId="85"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169" fontId="85"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0" fontId="83" fillId="64" borderId="180" applyNumberFormat="0" applyAlignment="0" applyProtection="0"/>
    <xf numFmtId="168" fontId="85" fillId="64" borderId="180" applyNumberFormat="0" applyAlignment="0" applyProtection="0"/>
    <xf numFmtId="169" fontId="85" fillId="64" borderId="180" applyNumberFormat="0" applyAlignment="0" applyProtection="0"/>
    <xf numFmtId="168" fontId="85" fillId="64" borderId="180" applyNumberFormat="0" applyAlignment="0" applyProtection="0"/>
    <xf numFmtId="168" fontId="85" fillId="64" borderId="180" applyNumberFormat="0" applyAlignment="0" applyProtection="0"/>
    <xf numFmtId="169" fontId="85" fillId="64" borderId="180" applyNumberFormat="0" applyAlignment="0" applyProtection="0"/>
    <xf numFmtId="168" fontId="85" fillId="64" borderId="180" applyNumberFormat="0" applyAlignment="0" applyProtection="0"/>
    <xf numFmtId="168" fontId="85" fillId="64" borderId="180" applyNumberFormat="0" applyAlignment="0" applyProtection="0"/>
    <xf numFmtId="169" fontId="85" fillId="64" borderId="180" applyNumberFormat="0" applyAlignment="0" applyProtection="0"/>
    <xf numFmtId="168" fontId="85" fillId="64" borderId="180" applyNumberFormat="0" applyAlignment="0" applyProtection="0"/>
    <xf numFmtId="168" fontId="85" fillId="64" borderId="180" applyNumberFormat="0" applyAlignment="0" applyProtection="0"/>
    <xf numFmtId="169" fontId="85" fillId="64" borderId="180" applyNumberFormat="0" applyAlignment="0" applyProtection="0"/>
    <xf numFmtId="168" fontId="85" fillId="64" borderId="180" applyNumberFormat="0" applyAlignment="0" applyProtection="0"/>
    <xf numFmtId="0" fontId="83" fillId="64" borderId="180" applyNumberFormat="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168" fontId="94"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168" fontId="94"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169" fontId="94"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0" fontId="47" fillId="0" borderId="181" applyNumberFormat="0" applyFill="0" applyAlignment="0" applyProtection="0"/>
    <xf numFmtId="168" fontId="94" fillId="0" borderId="181" applyNumberFormat="0" applyFill="0" applyAlignment="0" applyProtection="0"/>
    <xf numFmtId="169" fontId="94" fillId="0" borderId="181" applyNumberFormat="0" applyFill="0" applyAlignment="0" applyProtection="0"/>
    <xf numFmtId="168" fontId="94" fillId="0" borderId="181" applyNumberFormat="0" applyFill="0" applyAlignment="0" applyProtection="0"/>
    <xf numFmtId="168" fontId="94" fillId="0" borderId="181" applyNumberFormat="0" applyFill="0" applyAlignment="0" applyProtection="0"/>
    <xf numFmtId="169" fontId="94" fillId="0" borderId="181" applyNumberFormat="0" applyFill="0" applyAlignment="0" applyProtection="0"/>
    <xf numFmtId="168" fontId="94" fillId="0" borderId="181" applyNumberFormat="0" applyFill="0" applyAlignment="0" applyProtection="0"/>
    <xf numFmtId="168" fontId="94" fillId="0" borderId="181" applyNumberFormat="0" applyFill="0" applyAlignment="0" applyProtection="0"/>
    <xf numFmtId="169" fontId="94" fillId="0" borderId="181" applyNumberFormat="0" applyFill="0" applyAlignment="0" applyProtection="0"/>
    <xf numFmtId="168" fontId="94" fillId="0" borderId="181" applyNumberFormat="0" applyFill="0" applyAlignment="0" applyProtection="0"/>
    <xf numFmtId="168" fontId="94" fillId="0" borderId="181" applyNumberFormat="0" applyFill="0" applyAlignment="0" applyProtection="0"/>
    <xf numFmtId="169" fontId="94" fillId="0" borderId="181" applyNumberFormat="0" applyFill="0" applyAlignment="0" applyProtection="0"/>
    <xf numFmtId="168" fontId="94" fillId="0" borderId="181" applyNumberFormat="0" applyFill="0" applyAlignment="0" applyProtection="0"/>
    <xf numFmtId="0" fontId="47" fillId="0" borderId="181" applyNumberFormat="0" applyFill="0" applyAlignment="0" applyProtection="0"/>
  </cellStyleXfs>
  <cellXfs count="900">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3" xfId="0" applyFont="1" applyBorder="1"/>
    <xf numFmtId="0" fontId="20" fillId="0" borderId="22" xfId="0" applyFont="1" applyBorder="1" applyAlignment="1">
      <alignment horizontal="center" vertical="center" wrapText="1"/>
    </xf>
    <xf numFmtId="0" fontId="4" fillId="0" borderId="54"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0" fontId="4" fillId="0" borderId="60"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4" fontId="10" fillId="36" borderId="24"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5"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3" xfId="0" applyNumberFormat="1" applyFont="1" applyBorder="1" applyAlignment="1">
      <alignment horizontal="right" vertical="center"/>
    </xf>
    <xf numFmtId="49" fontId="106" fillId="0" borderId="76" xfId="0" applyNumberFormat="1" applyFont="1" applyBorder="1" applyAlignment="1">
      <alignment horizontal="right" vertical="center"/>
    </xf>
    <xf numFmtId="49" fontId="106" fillId="0" borderId="81" xfId="0" applyNumberFormat="1" applyFont="1" applyBorder="1" applyAlignment="1">
      <alignment horizontal="right" vertical="center"/>
    </xf>
    <xf numFmtId="0" fontId="106" fillId="0" borderId="0" xfId="0" applyFont="1" applyAlignment="1">
      <alignment horizontal="left"/>
    </xf>
    <xf numFmtId="0" fontId="106" fillId="0" borderId="81"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7" fillId="36"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6"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6" borderId="20" xfId="2" applyNumberFormat="1" applyFont="1" applyFill="1" applyBorder="1" applyAlignment="1" applyProtection="1">
      <alignment vertical="top" wrapText="1"/>
      <protection locked="0"/>
    </xf>
    <xf numFmtId="193" fontId="7" fillId="36" borderId="24" xfId="2" applyNumberFormat="1" applyFont="1" applyFill="1" applyBorder="1" applyAlignment="1" applyProtection="1">
      <alignment vertical="top" wrapText="1"/>
    </xf>
    <xf numFmtId="193" fontId="4" fillId="0" borderId="3" xfId="0" applyNumberFormat="1" applyFont="1" applyBorder="1"/>
    <xf numFmtId="193" fontId="4" fillId="36" borderId="23" xfId="0" applyNumberFormat="1" applyFont="1" applyFill="1" applyBorder="1"/>
    <xf numFmtId="193" fontId="4" fillId="0" borderId="19" xfId="0" applyNumberFormat="1" applyFont="1" applyBorder="1"/>
    <xf numFmtId="193" fontId="4" fillId="0" borderId="20" xfId="0" applyNumberFormat="1" applyFont="1" applyBorder="1"/>
    <xf numFmtId="193" fontId="4" fillId="36" borderId="50"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1"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193" fontId="4" fillId="0" borderId="8" xfId="0" applyNumberFormat="1" applyFont="1" applyBorder="1"/>
    <xf numFmtId="0" fontId="4" fillId="0" borderId="26" xfId="0" applyFont="1" applyBorder="1" applyAlignment="1">
      <alignment wrapText="1"/>
    </xf>
    <xf numFmtId="193" fontId="4" fillId="0" borderId="21" xfId="0" applyNumberFormat="1" applyFont="1" applyBorder="1"/>
    <xf numFmtId="193" fontId="4" fillId="0" borderId="21" xfId="0" applyNumberFormat="1" applyFont="1" applyBorder="1" applyAlignment="1">
      <alignment wrapText="1"/>
    </xf>
    <xf numFmtId="0" fontId="4"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0" fontId="4" fillId="36" borderId="24" xfId="0" applyFont="1" applyFill="1" applyBorder="1"/>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7" borderId="0" xfId="20"/>
    <xf numFmtId="169" fontId="26" fillId="37" borderId="89" xfId="20" applyBorder="1"/>
    <xf numFmtId="0" fontId="4" fillId="0" borderId="7" xfId="0" applyFont="1" applyBorder="1" applyAlignment="1">
      <alignment vertical="center"/>
    </xf>
    <xf numFmtId="0" fontId="4" fillId="0" borderId="96" xfId="0" applyFont="1" applyBorder="1" applyAlignment="1">
      <alignment vertical="center"/>
    </xf>
    <xf numFmtId="0" fontId="6" fillId="0" borderId="96"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16" xfId="0" applyFont="1" applyBorder="1" applyAlignment="1">
      <alignment horizontal="center" vertical="center"/>
    </xf>
    <xf numFmtId="0" fontId="4" fillId="0" borderId="18" xfId="0" applyFont="1" applyBorder="1" applyAlignment="1">
      <alignment vertical="center"/>
    </xf>
    <xf numFmtId="0" fontId="4" fillId="0" borderId="104" xfId="0" applyFont="1" applyBorder="1" applyAlignment="1">
      <alignment horizontal="center" vertical="center"/>
    </xf>
    <xf numFmtId="0" fontId="4" fillId="0" borderId="105" xfId="0" applyFont="1" applyBorder="1" applyAlignment="1">
      <alignment vertical="center"/>
    </xf>
    <xf numFmtId="0" fontId="4" fillId="0" borderId="106" xfId="0" applyFont="1" applyBorder="1" applyAlignment="1">
      <alignment horizontal="center" vertical="center"/>
    </xf>
    <xf numFmtId="169" fontId="26" fillId="37" borderId="29" xfId="20" applyBorder="1"/>
    <xf numFmtId="169" fontId="26" fillId="37" borderId="107" xfId="20" applyBorder="1"/>
    <xf numFmtId="169" fontId="26" fillId="37" borderId="98" xfId="20" applyBorder="1"/>
    <xf numFmtId="169" fontId="26" fillId="37" borderId="54" xfId="20" applyBorder="1"/>
    <xf numFmtId="0" fontId="4" fillId="3" borderId="60" xfId="0" applyFont="1" applyFill="1" applyBorder="1" applyAlignment="1">
      <alignment horizontal="center" vertical="center"/>
    </xf>
    <xf numFmtId="0" fontId="4" fillId="3" borderId="0" xfId="0" applyFont="1" applyFill="1" applyAlignment="1">
      <alignment vertical="center"/>
    </xf>
    <xf numFmtId="0" fontId="4" fillId="0" borderId="66" xfId="0" applyFont="1" applyBorder="1" applyAlignment="1">
      <alignment horizontal="center" vertical="center"/>
    </xf>
    <xf numFmtId="0" fontId="4" fillId="3" borderId="94" xfId="0" applyFont="1" applyFill="1" applyBorder="1" applyAlignment="1">
      <alignment vertical="center"/>
    </xf>
    <xf numFmtId="0" fontId="14" fillId="3" borderId="108" xfId="0" applyFont="1" applyFill="1" applyBorder="1" applyAlignment="1">
      <alignment horizontal="left"/>
    </xf>
    <xf numFmtId="0" fontId="14" fillId="3" borderId="109" xfId="0" applyFont="1" applyFill="1" applyBorder="1" applyAlignment="1">
      <alignment horizontal="left"/>
    </xf>
    <xf numFmtId="0" fontId="4" fillId="0" borderId="96" xfId="0" applyFont="1" applyBorder="1" applyAlignment="1">
      <alignment horizontal="center" vertical="center" wrapText="1"/>
    </xf>
    <xf numFmtId="0" fontId="106" fillId="0" borderId="83" xfId="0" applyFont="1" applyBorder="1" applyAlignment="1">
      <alignment horizontal="right" vertical="center"/>
    </xf>
    <xf numFmtId="0" fontId="4" fillId="0" borderId="110" xfId="0" applyFont="1" applyBorder="1" applyAlignment="1">
      <alignment horizontal="center" vertical="center" wrapText="1"/>
    </xf>
    <xf numFmtId="0" fontId="6" fillId="3" borderId="111" xfId="0" applyFont="1" applyFill="1" applyBorder="1" applyAlignment="1">
      <alignment vertical="center"/>
    </xf>
    <xf numFmtId="0" fontId="4" fillId="3" borderId="21" xfId="0" applyFont="1" applyFill="1" applyBorder="1" applyAlignment="1">
      <alignment vertical="center"/>
    </xf>
    <xf numFmtId="0" fontId="4" fillId="0" borderId="112" xfId="0" applyFont="1" applyBorder="1" applyAlignment="1">
      <alignment horizontal="center" vertical="center"/>
    </xf>
    <xf numFmtId="0" fontId="6" fillId="0" borderId="23" xfId="0" applyFont="1" applyBorder="1" applyAlignment="1">
      <alignment vertical="center"/>
    </xf>
    <xf numFmtId="169" fontId="26" fillId="37" borderId="25" xfId="20" applyBorder="1"/>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2" xfId="0" applyFont="1" applyFill="1" applyBorder="1" applyAlignment="1">
      <alignment horizontal="left" vertical="center" wrapText="1"/>
    </xf>
    <xf numFmtId="0" fontId="6" fillId="36" borderId="96" xfId="0" applyFont="1" applyFill="1" applyBorder="1" applyAlignment="1">
      <alignment horizontal="left" vertical="center" wrapText="1"/>
    </xf>
    <xf numFmtId="0" fontId="6" fillId="36" borderId="110" xfId="0" applyFont="1" applyFill="1" applyBorder="1" applyAlignment="1">
      <alignment horizontal="left" vertical="center" wrapText="1"/>
    </xf>
    <xf numFmtId="0" fontId="4" fillId="0" borderId="112" xfId="0" applyFont="1" applyBorder="1" applyAlignment="1">
      <alignment horizontal="right" vertical="center" wrapText="1"/>
    </xf>
    <xf numFmtId="0" fontId="4" fillId="0" borderId="96" xfId="0" applyFont="1" applyBorder="1" applyAlignment="1">
      <alignment horizontal="left" vertical="center" wrapText="1"/>
    </xf>
    <xf numFmtId="0" fontId="109" fillId="0" borderId="112" xfId="0" applyFont="1" applyBorder="1" applyAlignment="1">
      <alignment horizontal="right" vertical="center" wrapText="1"/>
    </xf>
    <xf numFmtId="0" fontId="109" fillId="0" borderId="96" xfId="0" applyFont="1" applyBorder="1" applyAlignment="1">
      <alignment horizontal="left" vertical="center" wrapText="1"/>
    </xf>
    <xf numFmtId="0" fontId="6" fillId="0" borderId="112"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2" xfId="5" applyNumberFormat="1" applyFont="1" applyBorder="1" applyAlignment="1" applyProtection="1">
      <alignment horizontal="left" vertical="center"/>
      <protection locked="0"/>
    </xf>
    <xf numFmtId="0" fontId="111" fillId="0" borderId="23" xfId="9" applyFont="1" applyBorder="1" applyAlignment="1" applyProtection="1">
      <alignment horizontal="left" vertical="center" wrapText="1"/>
      <protection locked="0"/>
    </xf>
    <xf numFmtId="0" fontId="20" fillId="0" borderId="112" xfId="0" applyFont="1" applyBorder="1" applyAlignment="1">
      <alignment horizontal="center" vertical="center" wrapText="1"/>
    </xf>
    <xf numFmtId="3" fontId="21" fillId="36" borderId="96" xfId="0" applyNumberFormat="1" applyFont="1" applyFill="1" applyBorder="1" applyAlignment="1">
      <alignment vertical="center" wrapText="1"/>
    </xf>
    <xf numFmtId="3" fontId="21" fillId="36" borderId="110" xfId="0" applyNumberFormat="1" applyFont="1" applyFill="1" applyBorder="1" applyAlignment="1">
      <alignment vertical="center" wrapText="1"/>
    </xf>
    <xf numFmtId="14" fontId="7" fillId="3" borderId="96" xfId="8" quotePrefix="1" applyNumberFormat="1" applyFont="1" applyFill="1" applyBorder="1" applyAlignment="1" applyProtection="1">
      <alignment horizontal="left" vertical="center" wrapText="1" indent="2"/>
      <protection locked="0"/>
    </xf>
    <xf numFmtId="14" fontId="7" fillId="3" borderId="96" xfId="8" quotePrefix="1" applyNumberFormat="1" applyFont="1" applyFill="1" applyBorder="1" applyAlignment="1" applyProtection="1">
      <alignment horizontal="left" vertical="center" wrapText="1" indent="3"/>
      <protection locked="0"/>
    </xf>
    <xf numFmtId="0" fontId="11" fillId="0" borderId="96" xfId="17" applyFill="1" applyBorder="1" applyAlignment="1" applyProtection="1"/>
    <xf numFmtId="49" fontId="109" fillId="0" borderId="112" xfId="0" applyNumberFormat="1" applyFont="1" applyBorder="1" applyAlignment="1">
      <alignment horizontal="right" vertical="center" wrapText="1"/>
    </xf>
    <xf numFmtId="0" fontId="7" fillId="3" borderId="96" xfId="20960" applyFont="1" applyFill="1" applyBorder="1"/>
    <xf numFmtId="0" fontId="103" fillId="0" borderId="96" xfId="20960" applyFont="1" applyBorder="1" applyAlignment="1">
      <alignment horizontal="center" vertical="center"/>
    </xf>
    <xf numFmtId="0" fontId="4" fillId="0" borderId="96" xfId="0" applyFont="1" applyBorder="1"/>
    <xf numFmtId="0" fontId="11" fillId="0" borderId="96" xfId="17" applyFill="1" applyBorder="1" applyAlignment="1" applyProtection="1">
      <alignment horizontal="left" vertical="center" wrapText="1"/>
    </xf>
    <xf numFmtId="49" fontId="109" fillId="0" borderId="96" xfId="0" applyNumberFormat="1" applyFont="1" applyBorder="1" applyAlignment="1">
      <alignment horizontal="right" vertical="center" wrapText="1"/>
    </xf>
    <xf numFmtId="0" fontId="11" fillId="0" borderId="96" xfId="17" applyFill="1" applyBorder="1" applyAlignment="1" applyProtection="1">
      <alignment horizontal="left" vertical="center"/>
    </xf>
    <xf numFmtId="0" fontId="112" fillId="78" borderId="97" xfId="21412" applyFont="1" applyFill="1" applyBorder="1" applyAlignment="1" applyProtection="1">
      <alignment vertical="center" wrapText="1"/>
      <protection locked="0"/>
    </xf>
    <xf numFmtId="0" fontId="113" fillId="70" borderId="91" xfId="21412" applyFont="1" applyFill="1" applyBorder="1" applyAlignment="1" applyProtection="1">
      <alignment horizontal="center" vertical="center"/>
      <protection locked="0"/>
    </xf>
    <xf numFmtId="0" fontId="112" fillId="79" borderId="96" xfId="21412" applyFont="1" applyFill="1" applyBorder="1" applyAlignment="1" applyProtection="1">
      <alignment horizontal="center" vertical="center"/>
      <protection locked="0"/>
    </xf>
    <xf numFmtId="0" fontId="112" fillId="78" borderId="97" xfId="21412" applyFont="1" applyFill="1" applyBorder="1" applyProtection="1">
      <alignment vertical="center"/>
      <protection locked="0"/>
    </xf>
    <xf numFmtId="0" fontId="114" fillId="70" borderId="91" xfId="21412" applyFont="1" applyFill="1" applyBorder="1" applyAlignment="1" applyProtection="1">
      <alignment horizontal="center" vertical="center"/>
      <protection locked="0"/>
    </xf>
    <xf numFmtId="0" fontId="114" fillId="3" borderId="91" xfId="21412" applyFont="1" applyFill="1" applyBorder="1" applyAlignment="1" applyProtection="1">
      <alignment horizontal="center" vertical="center"/>
      <protection locked="0"/>
    </xf>
    <xf numFmtId="0" fontId="114" fillId="0" borderId="91" xfId="21412" applyFont="1" applyBorder="1" applyAlignment="1" applyProtection="1">
      <alignment horizontal="center" vertical="center"/>
      <protection locked="0"/>
    </xf>
    <xf numFmtId="0" fontId="115" fillId="79" borderId="96" xfId="21412" applyFont="1" applyFill="1" applyBorder="1" applyAlignment="1" applyProtection="1">
      <alignment horizontal="center" vertical="center"/>
      <protection locked="0"/>
    </xf>
    <xf numFmtId="0" fontId="112" fillId="78" borderId="97" xfId="21412" applyFont="1" applyFill="1" applyBorder="1" applyAlignment="1" applyProtection="1">
      <alignment horizontal="center" vertical="center"/>
      <protection locked="0"/>
    </xf>
    <xf numFmtId="0" fontId="62" fillId="78" borderId="97" xfId="21412" applyFont="1" applyFill="1" applyBorder="1" applyProtection="1">
      <alignment vertical="center"/>
      <protection locked="0"/>
    </xf>
    <xf numFmtId="0" fontId="114" fillId="70" borderId="96" xfId="21412" applyFont="1" applyFill="1" applyBorder="1" applyAlignment="1" applyProtection="1">
      <alignment horizontal="center" vertical="center"/>
      <protection locked="0"/>
    </xf>
    <xf numFmtId="0" fontId="36" fillId="70" borderId="96" xfId="21412" applyFont="1" applyFill="1" applyBorder="1" applyAlignment="1" applyProtection="1">
      <alignment horizontal="center" vertical="center"/>
      <protection locked="0"/>
    </xf>
    <xf numFmtId="0" fontId="62" fillId="78" borderId="95" xfId="21412" applyFont="1" applyFill="1" applyBorder="1" applyProtection="1">
      <alignment vertical="center"/>
      <protection locked="0"/>
    </xf>
    <xf numFmtId="0" fontId="113" fillId="0" borderId="95" xfId="21412" applyFont="1" applyBorder="1" applyAlignment="1" applyProtection="1">
      <alignment horizontal="left" vertical="center" wrapText="1"/>
      <protection locked="0"/>
    </xf>
    <xf numFmtId="164" fontId="113" fillId="0" borderId="96" xfId="948" applyNumberFormat="1" applyFont="1" applyFill="1" applyBorder="1" applyAlignment="1" applyProtection="1">
      <alignment horizontal="right" vertical="center"/>
      <protection locked="0"/>
    </xf>
    <xf numFmtId="0" fontId="112" fillId="79" borderId="95" xfId="21412" applyFont="1" applyFill="1" applyBorder="1" applyAlignment="1" applyProtection="1">
      <alignment vertical="top" wrapText="1"/>
      <protection locked="0"/>
    </xf>
    <xf numFmtId="164" fontId="113" fillId="79" borderId="96" xfId="948" applyNumberFormat="1" applyFont="1" applyFill="1" applyBorder="1" applyAlignment="1" applyProtection="1">
      <alignment horizontal="right" vertical="center"/>
    </xf>
    <xf numFmtId="164" fontId="62" fillId="78" borderId="95" xfId="948" applyNumberFormat="1" applyFont="1" applyFill="1" applyBorder="1" applyAlignment="1" applyProtection="1">
      <alignment horizontal="right" vertical="center"/>
      <protection locked="0"/>
    </xf>
    <xf numFmtId="0" fontId="113" fillId="70" borderId="95" xfId="21412" applyFont="1" applyFill="1" applyBorder="1" applyAlignment="1" applyProtection="1">
      <alignment vertical="center" wrapText="1"/>
      <protection locked="0"/>
    </xf>
    <xf numFmtId="0" fontId="113" fillId="70" borderId="95" xfId="21412" applyFont="1" applyFill="1" applyBorder="1" applyAlignment="1" applyProtection="1">
      <alignment horizontal="left" vertical="center" wrapText="1"/>
      <protection locked="0"/>
    </xf>
    <xf numFmtId="0" fontId="113" fillId="0" borderId="95" xfId="21412" applyFont="1" applyBorder="1" applyAlignment="1" applyProtection="1">
      <alignment vertical="center" wrapText="1"/>
      <protection locked="0"/>
    </xf>
    <xf numFmtId="0" fontId="113" fillId="3" borderId="95" xfId="21412" applyFont="1" applyFill="1" applyBorder="1" applyAlignment="1" applyProtection="1">
      <alignment horizontal="left" vertical="center" wrapText="1"/>
      <protection locked="0"/>
    </xf>
    <xf numFmtId="0" fontId="112" fillId="79" borderId="95" xfId="21412" applyFont="1" applyFill="1" applyBorder="1" applyAlignment="1" applyProtection="1">
      <alignment vertical="center" wrapText="1"/>
      <protection locked="0"/>
    </xf>
    <xf numFmtId="164" fontId="112" fillId="78" borderId="95" xfId="948" applyNumberFormat="1" applyFont="1" applyFill="1" applyBorder="1" applyAlignment="1" applyProtection="1">
      <alignment horizontal="right" vertical="center"/>
      <protection locked="0"/>
    </xf>
    <xf numFmtId="164" fontId="113" fillId="3" borderId="96" xfId="948" applyNumberFormat="1" applyFont="1" applyFill="1" applyBorder="1" applyAlignment="1" applyProtection="1">
      <alignment horizontal="right" vertical="center"/>
      <protection locked="0"/>
    </xf>
    <xf numFmtId="1" fontId="6" fillId="36" borderId="110" xfId="0" applyNumberFormat="1" applyFont="1" applyFill="1" applyBorder="1" applyAlignment="1">
      <alignment horizontal="right" vertical="center" wrapText="1"/>
    </xf>
    <xf numFmtId="1" fontId="6" fillId="36" borderId="110" xfId="0" applyNumberFormat="1" applyFont="1" applyFill="1" applyBorder="1" applyAlignment="1">
      <alignment horizontal="center" vertical="center" wrapText="1"/>
    </xf>
    <xf numFmtId="10" fontId="7" fillId="0" borderId="96" xfId="20961" applyNumberFormat="1" applyFont="1" applyFill="1" applyBorder="1" applyAlignment="1">
      <alignment horizontal="left" vertical="center" wrapText="1"/>
    </xf>
    <xf numFmtId="10" fontId="4" fillId="0" borderId="96" xfId="20961" applyNumberFormat="1" applyFont="1" applyFill="1" applyBorder="1" applyAlignment="1">
      <alignment horizontal="left" vertical="center" wrapText="1"/>
    </xf>
    <xf numFmtId="10" fontId="6" fillId="36" borderId="96" xfId="0" applyNumberFormat="1" applyFont="1" applyFill="1" applyBorder="1" applyAlignment="1">
      <alignment horizontal="left" vertical="center" wrapText="1"/>
    </xf>
    <xf numFmtId="10" fontId="109" fillId="0" borderId="96" xfId="20961" applyNumberFormat="1" applyFont="1" applyFill="1" applyBorder="1" applyAlignment="1">
      <alignment horizontal="left" vertical="center" wrapText="1"/>
    </xf>
    <xf numFmtId="10" fontId="6" fillId="36" borderId="96" xfId="20961" applyNumberFormat="1" applyFont="1" applyFill="1" applyBorder="1" applyAlignment="1">
      <alignment horizontal="left" vertical="center" wrapText="1"/>
    </xf>
    <xf numFmtId="10" fontId="6" fillId="36" borderId="96"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2" xfId="0" applyFont="1" applyBorder="1" applyAlignment="1">
      <alignment horizontal="right" vertical="center" wrapText="1"/>
    </xf>
    <xf numFmtId="0" fontId="7" fillId="0" borderId="96" xfId="0" applyFont="1" applyBorder="1" applyAlignment="1">
      <alignment vertical="center" wrapText="1"/>
    </xf>
    <xf numFmtId="0" fontId="4" fillId="0" borderId="96" xfId="0" applyFont="1" applyBorder="1" applyAlignment="1">
      <alignment vertical="center" wrapText="1"/>
    </xf>
    <xf numFmtId="0" fontId="4" fillId="0" borderId="96" xfId="0" applyFont="1" applyBorder="1" applyAlignment="1">
      <alignment horizontal="left" vertical="center" wrapText="1" indent="2"/>
    </xf>
    <xf numFmtId="3" fontId="21" fillId="36" borderId="97"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6" xfId="0" applyNumberFormat="1" applyFont="1" applyFill="1" applyBorder="1" applyAlignment="1">
      <alignment vertical="center" wrapText="1"/>
    </xf>
    <xf numFmtId="0" fontId="6" fillId="0" borderId="23" xfId="0" applyFont="1" applyBorder="1" applyAlignment="1">
      <alignment vertical="center" wrapText="1"/>
    </xf>
    <xf numFmtId="0" fontId="4" fillId="0" borderId="110" xfId="0" applyFont="1" applyBorder="1"/>
    <xf numFmtId="0" fontId="4" fillId="0" borderId="24" xfId="0" applyFont="1" applyBorder="1"/>
    <xf numFmtId="0" fontId="9" fillId="0" borderId="110" xfId="0" applyFont="1" applyBorder="1"/>
    <xf numFmtId="0" fontId="9" fillId="0" borderId="110" xfId="0" applyFont="1" applyBorder="1" applyAlignment="1">
      <alignment wrapText="1"/>
    </xf>
    <xf numFmtId="0" fontId="10" fillId="0" borderId="18" xfId="0" applyFont="1" applyBorder="1" applyAlignment="1">
      <alignment horizontal="center"/>
    </xf>
    <xf numFmtId="0" fontId="10" fillId="0" borderId="110"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112" xfId="0" applyFont="1" applyBorder="1" applyAlignment="1">
      <alignment horizontal="center" vertical="center" wrapText="1"/>
    </xf>
    <xf numFmtId="0" fontId="15" fillId="0" borderId="96" xfId="0" applyFont="1" applyBorder="1" applyAlignment="1">
      <alignment horizontal="center" vertical="center" wrapText="1"/>
    </xf>
    <xf numFmtId="0" fontId="16" fillId="0" borderId="96" xfId="0" applyFont="1" applyBorder="1" applyAlignment="1">
      <alignment horizontal="left" vertical="center" wrapText="1"/>
    </xf>
    <xf numFmtId="193" fontId="7" fillId="0" borderId="96" xfId="0" applyNumberFormat="1" applyFont="1" applyBorder="1" applyAlignment="1" applyProtection="1">
      <alignment vertical="center" wrapText="1"/>
      <protection locked="0"/>
    </xf>
    <xf numFmtId="193" fontId="4" fillId="0" borderId="96" xfId="0" applyNumberFormat="1" applyFont="1" applyBorder="1" applyAlignment="1" applyProtection="1">
      <alignment vertical="center" wrapText="1"/>
      <protection locked="0"/>
    </xf>
    <xf numFmtId="193" fontId="4" fillId="0" borderId="110" xfId="0" applyNumberFormat="1" applyFont="1" applyBorder="1" applyAlignment="1" applyProtection="1">
      <alignment vertical="center" wrapText="1"/>
      <protection locked="0"/>
    </xf>
    <xf numFmtId="193" fontId="7" fillId="0" borderId="96" xfId="0" applyNumberFormat="1" applyFont="1" applyBorder="1" applyAlignment="1" applyProtection="1">
      <alignment horizontal="right" vertical="center" wrapText="1"/>
      <protection locked="0"/>
    </xf>
    <xf numFmtId="0" fontId="9" fillId="2" borderId="112" xfId="0" applyFont="1" applyFill="1" applyBorder="1" applyAlignment="1">
      <alignment horizontal="right" vertical="center"/>
    </xf>
    <xf numFmtId="0" fontId="9" fillId="2" borderId="96" xfId="0" applyFont="1" applyFill="1" applyBorder="1" applyAlignment="1">
      <alignment vertical="center"/>
    </xf>
    <xf numFmtId="193" fontId="9" fillId="2" borderId="96" xfId="0" applyNumberFormat="1" applyFont="1" applyFill="1" applyBorder="1" applyAlignment="1" applyProtection="1">
      <alignment vertical="center"/>
      <protection locked="0"/>
    </xf>
    <xf numFmtId="193" fontId="17" fillId="2" borderId="96" xfId="0" applyNumberFormat="1" applyFont="1" applyFill="1" applyBorder="1" applyAlignment="1" applyProtection="1">
      <alignment vertical="center"/>
      <protection locked="0"/>
    </xf>
    <xf numFmtId="193" fontId="17" fillId="2" borderId="110" xfId="0" applyNumberFormat="1" applyFont="1" applyFill="1" applyBorder="1" applyAlignment="1" applyProtection="1">
      <alignment vertical="center"/>
      <protection locked="0"/>
    </xf>
    <xf numFmtId="193" fontId="9" fillId="2" borderId="110" xfId="0" applyNumberFormat="1" applyFont="1" applyFill="1" applyBorder="1" applyAlignment="1" applyProtection="1">
      <alignment vertical="center"/>
      <protection locked="0"/>
    </xf>
    <xf numFmtId="0" fontId="15" fillId="0" borderId="112" xfId="0" applyFont="1" applyBorder="1" applyAlignment="1">
      <alignment horizontal="center" vertical="center" wrapText="1"/>
    </xf>
    <xf numFmtId="14" fontId="4" fillId="0" borderId="0" xfId="0" applyNumberFormat="1" applyFont="1"/>
    <xf numFmtId="10" fontId="4" fillId="0" borderId="96" xfId="20961" applyNumberFormat="1" applyFont="1" applyFill="1" applyBorder="1" applyAlignment="1" applyProtection="1">
      <alignment horizontal="right" vertical="center" wrapText="1"/>
      <protection locked="0"/>
    </xf>
    <xf numFmtId="10" fontId="4" fillId="0" borderId="96" xfId="20961" applyNumberFormat="1" applyFont="1" applyBorder="1" applyAlignment="1" applyProtection="1">
      <alignment vertical="center" wrapText="1"/>
      <protection locked="0"/>
    </xf>
    <xf numFmtId="10" fontId="4" fillId="0" borderId="110" xfId="20961" applyNumberFormat="1" applyFont="1" applyBorder="1" applyAlignment="1" applyProtection="1">
      <alignment vertical="center" wrapText="1"/>
      <protection locked="0"/>
    </xf>
    <xf numFmtId="0" fontId="4" fillId="3" borderId="53" xfId="0" applyFont="1" applyFill="1" applyBorder="1"/>
    <xf numFmtId="0" fontId="4" fillId="3" borderId="115" xfId="0" applyFont="1" applyFill="1" applyBorder="1" applyAlignment="1">
      <alignment wrapText="1"/>
    </xf>
    <xf numFmtId="0" fontId="4" fillId="3" borderId="116" xfId="0" applyFont="1" applyFill="1" applyBorder="1"/>
    <xf numFmtId="0" fontId="6" fillId="3" borderId="11" xfId="0" applyFont="1" applyFill="1" applyBorder="1" applyAlignment="1">
      <alignment horizontal="center" wrapText="1"/>
    </xf>
    <xf numFmtId="0" fontId="4" fillId="0" borderId="96" xfId="0" applyFont="1" applyBorder="1" applyAlignment="1">
      <alignment horizontal="center"/>
    </xf>
    <xf numFmtId="0" fontId="4" fillId="3" borderId="60"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89" xfId="0" applyFont="1" applyFill="1" applyBorder="1" applyAlignment="1">
      <alignment horizontal="center" vertical="center" wrapText="1"/>
    </xf>
    <xf numFmtId="0" fontId="4" fillId="0" borderId="112" xfId="0" applyFont="1" applyBorder="1"/>
    <xf numFmtId="0" fontId="4" fillId="0" borderId="96" xfId="0" applyFont="1" applyBorder="1" applyAlignment="1">
      <alignment wrapText="1"/>
    </xf>
    <xf numFmtId="164" fontId="4" fillId="0" borderId="96" xfId="7" applyNumberFormat="1" applyFont="1" applyBorder="1"/>
    <xf numFmtId="164" fontId="4" fillId="0" borderId="110" xfId="7" applyNumberFormat="1" applyFont="1" applyBorder="1"/>
    <xf numFmtId="0" fontId="14" fillId="0" borderId="96" xfId="0" applyFont="1" applyBorder="1" applyAlignment="1">
      <alignment horizontal="left" wrapText="1" indent="2"/>
    </xf>
    <xf numFmtId="169" fontId="26" fillId="37" borderId="96" xfId="20" applyBorder="1"/>
    <xf numFmtId="164" fontId="4" fillId="0" borderId="96" xfId="7" applyNumberFormat="1" applyFont="1" applyBorder="1" applyAlignment="1">
      <alignment vertical="center"/>
    </xf>
    <xf numFmtId="0" fontId="6" fillId="0" borderId="112" xfId="0" applyFont="1" applyBorder="1"/>
    <xf numFmtId="0" fontId="6" fillId="0" borderId="96" xfId="0" applyFont="1" applyBorder="1" applyAlignment="1">
      <alignment wrapText="1"/>
    </xf>
    <xf numFmtId="164" fontId="6" fillId="0" borderId="110" xfId="7" applyNumberFormat="1" applyFont="1" applyBorder="1"/>
    <xf numFmtId="0" fontId="3" fillId="3" borderId="60"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89" xfId="7" applyNumberFormat="1" applyFont="1" applyFill="1" applyBorder="1"/>
    <xf numFmtId="164" fontId="4" fillId="0" borderId="96" xfId="7" applyNumberFormat="1" applyFont="1" applyFill="1" applyBorder="1"/>
    <xf numFmtId="164" fontId="4" fillId="0" borderId="96" xfId="7" applyNumberFormat="1" applyFont="1" applyFill="1" applyBorder="1" applyAlignment="1">
      <alignment vertical="center"/>
    </xf>
    <xf numFmtId="0" fontId="14" fillId="0" borderId="96"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89" xfId="0" applyFont="1" applyFill="1" applyBorder="1"/>
    <xf numFmtId="0" fontId="6" fillId="0" borderId="22" xfId="0" applyFont="1" applyBorder="1"/>
    <xf numFmtId="0" fontId="6" fillId="0" borderId="23" xfId="0" applyFont="1" applyBorder="1" applyAlignment="1">
      <alignment wrapText="1"/>
    </xf>
    <xf numFmtId="169" fontId="26" fillId="37" borderId="113" xfId="20" applyBorder="1"/>
    <xf numFmtId="10" fontId="6" fillId="0" borderId="24" xfId="20961" applyNumberFormat="1" applyFont="1" applyBorder="1"/>
    <xf numFmtId="0" fontId="9" fillId="2" borderId="104" xfId="0" applyFont="1" applyFill="1" applyBorder="1" applyAlignment="1">
      <alignment horizontal="right" vertical="center"/>
    </xf>
    <xf numFmtId="0" fontId="9" fillId="2" borderId="91" xfId="0" applyFont="1" applyFill="1" applyBorder="1" applyAlignment="1">
      <alignment vertical="center"/>
    </xf>
    <xf numFmtId="193" fontId="9" fillId="2" borderId="91" xfId="0" applyNumberFormat="1" applyFont="1" applyFill="1" applyBorder="1" applyAlignment="1" applyProtection="1">
      <alignment vertical="center"/>
      <protection locked="0"/>
    </xf>
    <xf numFmtId="193" fontId="17" fillId="2" borderId="91" xfId="0" applyNumberFormat="1" applyFont="1" applyFill="1" applyBorder="1" applyAlignment="1" applyProtection="1">
      <alignment vertical="center"/>
      <protection locked="0"/>
    </xf>
    <xf numFmtId="193" fontId="17" fillId="2" borderId="105" xfId="0" applyNumberFormat="1" applyFont="1" applyFill="1" applyBorder="1" applyAlignment="1" applyProtection="1">
      <alignment vertical="center"/>
      <protection locked="0"/>
    </xf>
    <xf numFmtId="0" fontId="9" fillId="0" borderId="96" xfId="0" applyFont="1" applyBorder="1" applyAlignment="1">
      <alignment horizontal="left" vertical="center" wrapText="1"/>
    </xf>
    <xf numFmtId="0" fontId="6" fillId="3" borderId="0" xfId="0" applyFont="1" applyFill="1" applyAlignment="1">
      <alignment horizontal="center"/>
    </xf>
    <xf numFmtId="0" fontId="106" fillId="0" borderId="83" xfId="0" applyFont="1" applyBorder="1" applyAlignment="1">
      <alignment horizontal="left" vertical="center"/>
    </xf>
    <xf numFmtId="0" fontId="106" fillId="0" borderId="81" xfId="0" applyFont="1" applyBorder="1" applyAlignment="1">
      <alignment vertical="center" wrapText="1"/>
    </xf>
    <xf numFmtId="0" fontId="106" fillId="0" borderId="81"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26" xfId="0" applyFont="1" applyBorder="1" applyAlignment="1">
      <alignment horizontal="left" vertical="center" wrapText="1"/>
    </xf>
    <xf numFmtId="0" fontId="125" fillId="0" borderId="0" xfId="0" applyFont="1"/>
    <xf numFmtId="49" fontId="106" fillId="0" borderId="96"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193" fontId="7" fillId="3" borderId="110" xfId="2" applyNumberFormat="1" applyFont="1" applyFill="1" applyBorder="1" applyAlignment="1" applyProtection="1">
      <alignment vertical="top" wrapText="1"/>
      <protection locked="0"/>
    </xf>
    <xf numFmtId="0" fontId="0" fillId="0" borderId="0" xfId="0" applyAlignment="1">
      <alignment horizontal="left" vertical="center"/>
    </xf>
    <xf numFmtId="0" fontId="9" fillId="0" borderId="133" xfId="0" applyFont="1" applyBorder="1" applyAlignment="1">
      <alignment horizontal="center" vertical="center" wrapText="1"/>
    </xf>
    <xf numFmtId="0" fontId="9" fillId="0" borderId="110" xfId="0" applyFont="1" applyBorder="1" applyAlignment="1">
      <alignment horizontal="center" vertical="center" wrapText="1"/>
    </xf>
    <xf numFmtId="0" fontId="0" fillId="0" borderId="133" xfId="0" applyBorder="1" applyAlignment="1">
      <alignment horizontal="center"/>
    </xf>
    <xf numFmtId="0" fontId="15" fillId="83" borderId="133" xfId="0" applyFont="1" applyFill="1" applyBorder="1" applyAlignment="1">
      <alignment vertical="center" wrapText="1"/>
    </xf>
    <xf numFmtId="193" fontId="9" fillId="0" borderId="133" xfId="0" applyNumberFormat="1" applyFont="1" applyBorder="1" applyAlignment="1">
      <alignment horizontal="right"/>
    </xf>
    <xf numFmtId="193" fontId="9" fillId="36" borderId="133" xfId="0" applyNumberFormat="1" applyFont="1" applyFill="1" applyBorder="1" applyAlignment="1">
      <alignment horizontal="right"/>
    </xf>
    <xf numFmtId="193" fontId="9" fillId="36" borderId="110" xfId="0" applyNumberFormat="1" applyFont="1" applyFill="1" applyBorder="1" applyAlignment="1">
      <alignment horizontal="right"/>
    </xf>
    <xf numFmtId="0" fontId="15" fillId="0" borderId="133" xfId="0" applyFont="1" applyBorder="1" applyAlignment="1">
      <alignment vertical="center" wrapText="1"/>
    </xf>
    <xf numFmtId="0" fontId="7" fillId="0" borderId="133" xfId="0" applyFont="1" applyBorder="1" applyAlignment="1">
      <alignment horizontal="left" vertical="center" wrapText="1" indent="1"/>
    </xf>
    <xf numFmtId="0" fontId="3" fillId="0" borderId="133" xfId="0" applyFont="1" applyBorder="1" applyAlignment="1">
      <alignment vertical="center"/>
    </xf>
    <xf numFmtId="0" fontId="136" fillId="0" borderId="133" xfId="0" applyFont="1" applyBorder="1" applyAlignment="1" applyProtection="1">
      <alignment horizontal="left" vertical="center" indent="1"/>
      <protection locked="0"/>
    </xf>
    <xf numFmtId="0" fontId="137" fillId="0" borderId="133" xfId="0" applyFont="1" applyBorder="1" applyAlignment="1" applyProtection="1">
      <alignment horizontal="left" vertical="center" indent="3"/>
      <protection locked="0"/>
    </xf>
    <xf numFmtId="0" fontId="138" fillId="0" borderId="133" xfId="0" applyFont="1" applyBorder="1" applyAlignment="1" applyProtection="1">
      <alignment horizontal="left" vertical="center" indent="3"/>
      <protection locked="0"/>
    </xf>
    <xf numFmtId="0" fontId="3" fillId="0" borderId="133" xfId="0" applyFont="1" applyBorder="1"/>
    <xf numFmtId="0" fontId="0" fillId="0" borderId="0" xfId="0" applyAlignment="1">
      <alignment horizontal="center"/>
    </xf>
    <xf numFmtId="193" fontId="9" fillId="0" borderId="0" xfId="0" applyNumberFormat="1" applyFont="1" applyAlignment="1">
      <alignment horizontal="right"/>
    </xf>
    <xf numFmtId="49" fontId="106" fillId="0" borderId="133" xfId="0" applyNumberFormat="1" applyFont="1" applyBorder="1" applyAlignment="1">
      <alignment horizontal="right" vertical="center"/>
    </xf>
    <xf numFmtId="0" fontId="120" fillId="0" borderId="133" xfId="0" applyFont="1" applyBorder="1"/>
    <xf numFmtId="49" fontId="122" fillId="0" borderId="133" xfId="5" applyNumberFormat="1" applyFont="1" applyBorder="1" applyAlignment="1" applyProtection="1">
      <alignment horizontal="right" vertical="center"/>
      <protection locked="0"/>
    </xf>
    <xf numFmtId="0" fontId="121" fillId="3" borderId="133" xfId="13" applyFont="1" applyFill="1" applyBorder="1" applyAlignment="1" applyProtection="1">
      <alignment horizontal="left" vertical="center" wrapText="1"/>
      <protection locked="0"/>
    </xf>
    <xf numFmtId="49" fontId="121" fillId="3" borderId="133" xfId="5" applyNumberFormat="1" applyFont="1" applyFill="1" applyBorder="1" applyAlignment="1" applyProtection="1">
      <alignment horizontal="right" vertical="center"/>
      <protection locked="0"/>
    </xf>
    <xf numFmtId="0" fontId="121" fillId="0" borderId="133" xfId="13" applyFont="1" applyBorder="1" applyAlignment="1" applyProtection="1">
      <alignment horizontal="left" vertical="center" wrapText="1"/>
      <protection locked="0"/>
    </xf>
    <xf numFmtId="49" fontId="121" fillId="0" borderId="133" xfId="5" applyNumberFormat="1" applyFont="1" applyBorder="1" applyAlignment="1" applyProtection="1">
      <alignment horizontal="right" vertical="center"/>
      <protection locked="0"/>
    </xf>
    <xf numFmtId="0" fontId="123" fillId="0" borderId="133" xfId="13" applyFont="1" applyBorder="1" applyAlignment="1" applyProtection="1">
      <alignment horizontal="left" vertical="center" wrapText="1"/>
      <protection locked="0"/>
    </xf>
    <xf numFmtId="0" fontId="120" fillId="0" borderId="133" xfId="0" applyFont="1" applyBorder="1" applyAlignment="1">
      <alignment horizontal="center" vertical="center" wrapText="1"/>
    </xf>
    <xf numFmtId="0" fontId="116" fillId="0" borderId="139" xfId="0" applyFont="1" applyBorder="1"/>
    <xf numFmtId="0" fontId="116" fillId="0" borderId="139" xfId="0" applyFont="1" applyBorder="1" applyAlignment="1">
      <alignment horizontal="left" indent="8"/>
    </xf>
    <xf numFmtId="0" fontId="116" fillId="0" borderId="139" xfId="0" applyFont="1" applyBorder="1" applyAlignment="1">
      <alignment wrapText="1"/>
    </xf>
    <xf numFmtId="0" fontId="119" fillId="0" borderId="139" xfId="0" applyFont="1" applyBorder="1"/>
    <xf numFmtId="49" fontId="122" fillId="0" borderId="139" xfId="5" applyNumberFormat="1" applyFont="1" applyBorder="1" applyAlignment="1" applyProtection="1">
      <alignment horizontal="right" vertical="center" wrapText="1"/>
      <protection locked="0"/>
    </xf>
    <xf numFmtId="49" fontId="121" fillId="3" borderId="139" xfId="5" applyNumberFormat="1" applyFont="1" applyFill="1" applyBorder="1" applyAlignment="1" applyProtection="1">
      <alignment horizontal="right" vertical="center" wrapText="1"/>
      <protection locked="0"/>
    </xf>
    <xf numFmtId="49" fontId="121" fillId="0" borderId="139" xfId="5" applyNumberFormat="1" applyFont="1" applyBorder="1" applyAlignment="1" applyProtection="1">
      <alignment horizontal="right" vertical="center" wrapText="1"/>
      <protection locked="0"/>
    </xf>
    <xf numFmtId="0" fontId="116" fillId="0" borderId="139" xfId="0" applyFont="1" applyBorder="1" applyAlignment="1">
      <alignment horizontal="center" vertical="center" wrapText="1"/>
    </xf>
    <xf numFmtId="0" fontId="116" fillId="0" borderId="140" xfId="0" applyFont="1" applyBorder="1" applyAlignment="1">
      <alignment horizontal="center" vertical="center" wrapText="1"/>
    </xf>
    <xf numFmtId="0" fontId="116" fillId="0" borderId="139"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39" xfId="0" applyFont="1" applyBorder="1" applyAlignment="1">
      <alignment horizontal="left" vertical="center" wrapText="1"/>
    </xf>
    <xf numFmtId="0" fontId="119" fillId="0" borderId="139" xfId="0" applyFont="1" applyBorder="1" applyAlignment="1">
      <alignment horizontal="left" wrapText="1" indent="1"/>
    </xf>
    <xf numFmtId="0" fontId="119" fillId="0" borderId="139" xfId="0" applyFont="1" applyBorder="1" applyAlignment="1">
      <alignment horizontal="left" vertical="center" indent="1"/>
    </xf>
    <xf numFmtId="0" fontId="116" fillId="0" borderId="139" xfId="0" applyFont="1" applyBorder="1" applyAlignment="1">
      <alignment horizontal="left" wrapText="1" indent="1"/>
    </xf>
    <xf numFmtId="0" fontId="116" fillId="0" borderId="139" xfId="0" applyFont="1" applyBorder="1" applyAlignment="1">
      <alignment horizontal="left" indent="1"/>
    </xf>
    <xf numFmtId="0" fontId="116" fillId="0" borderId="139" xfId="0" applyFont="1" applyBorder="1" applyAlignment="1">
      <alignment horizontal="left" wrapText="1" indent="4"/>
    </xf>
    <xf numFmtId="0" fontId="116" fillId="0" borderId="139" xfId="0" applyFont="1" applyBorder="1" applyAlignment="1">
      <alignment horizontal="left" indent="3"/>
    </xf>
    <xf numFmtId="0" fontId="119" fillId="0" borderId="139" xfId="0" applyFont="1" applyBorder="1" applyAlignment="1">
      <alignment horizontal="left" indent="1"/>
    </xf>
    <xf numFmtId="0" fontId="120" fillId="0" borderId="139" xfId="0" applyFont="1" applyBorder="1" applyAlignment="1">
      <alignment horizontal="center" vertical="center" wrapText="1"/>
    </xf>
    <xf numFmtId="0" fontId="116" fillId="80" borderId="139" xfId="0" applyFont="1" applyFill="1" applyBorder="1"/>
    <xf numFmtId="0" fontId="119" fillId="0" borderId="7" xfId="0" applyFont="1" applyBorder="1"/>
    <xf numFmtId="0" fontId="116" fillId="0" borderId="139" xfId="0" applyFont="1" applyBorder="1" applyAlignment="1">
      <alignment horizontal="left" wrapText="1" indent="2"/>
    </xf>
    <xf numFmtId="0" fontId="116" fillId="0" borderId="139" xfId="0" applyFont="1" applyBorder="1" applyAlignment="1">
      <alignment horizontal="left" wrapText="1"/>
    </xf>
    <xf numFmtId="0" fontId="119" fillId="84" borderId="139" xfId="0" applyFont="1" applyFill="1" applyBorder="1"/>
    <xf numFmtId="0" fontId="116" fillId="0" borderId="139"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2"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38" xfId="0" applyFont="1" applyBorder="1" applyAlignment="1">
      <alignment horizontal="center" vertical="center" wrapText="1"/>
    </xf>
    <xf numFmtId="0" fontId="116" fillId="0" borderId="141" xfId="0" applyFont="1" applyBorder="1" applyAlignment="1">
      <alignment horizontal="center" vertical="center" wrapText="1"/>
    </xf>
    <xf numFmtId="0" fontId="116" fillId="0" borderId="137" xfId="0" applyFont="1" applyBorder="1" applyAlignment="1">
      <alignment horizontal="center" vertical="center" wrapText="1"/>
    </xf>
    <xf numFmtId="0" fontId="116" fillId="0" borderId="145" xfId="0" applyFont="1" applyBorder="1"/>
    <xf numFmtId="0" fontId="116" fillId="0" borderId="146" xfId="0" applyFont="1" applyBorder="1"/>
    <xf numFmtId="49" fontId="116" fillId="0" borderId="147" xfId="0" applyNumberFormat="1" applyFont="1" applyBorder="1" applyAlignment="1">
      <alignment horizontal="left" wrapText="1" indent="1"/>
    </xf>
    <xf numFmtId="49" fontId="116" fillId="0" borderId="145" xfId="0" applyNumberFormat="1" applyFont="1" applyBorder="1" applyAlignment="1">
      <alignment horizontal="left" wrapText="1" indent="1"/>
    </xf>
    <xf numFmtId="0" fontId="116" fillId="0" borderId="147" xfId="0" applyFont="1" applyBorder="1" applyAlignment="1">
      <alignment horizontal="left" wrapText="1" indent="1"/>
    </xf>
    <xf numFmtId="0" fontId="116" fillId="0" borderId="148" xfId="0" applyFont="1" applyBorder="1"/>
    <xf numFmtId="49" fontId="116" fillId="0" borderId="149" xfId="0" applyNumberFormat="1" applyFont="1" applyBorder="1" applyAlignment="1">
      <alignment horizontal="left" wrapText="1" indent="1"/>
    </xf>
    <xf numFmtId="49" fontId="116" fillId="0" borderId="148" xfId="0" applyNumberFormat="1" applyFont="1" applyBorder="1" applyAlignment="1">
      <alignment horizontal="left" wrapText="1" indent="1"/>
    </xf>
    <xf numFmtId="0" fontId="116" fillId="0" borderId="149" xfId="0" applyFont="1" applyBorder="1" applyAlignment="1">
      <alignment horizontal="left" wrapText="1" indent="1"/>
    </xf>
    <xf numFmtId="49" fontId="116" fillId="0" borderId="149" xfId="0" applyNumberFormat="1" applyFont="1" applyBorder="1" applyAlignment="1">
      <alignment horizontal="left" wrapText="1" indent="3"/>
    </xf>
    <xf numFmtId="49" fontId="116" fillId="0" borderId="148" xfId="0" applyNumberFormat="1" applyFont="1" applyBorder="1" applyAlignment="1">
      <alignment horizontal="left" wrapText="1" indent="3"/>
    </xf>
    <xf numFmtId="49" fontId="116" fillId="0" borderId="149" xfId="0" applyNumberFormat="1" applyFont="1" applyBorder="1" applyAlignment="1">
      <alignment horizontal="left" wrapText="1" indent="2"/>
    </xf>
    <xf numFmtId="49" fontId="116" fillId="0" borderId="148" xfId="0" applyNumberFormat="1" applyFont="1" applyBorder="1" applyAlignment="1">
      <alignment horizontal="left" wrapText="1" indent="2"/>
    </xf>
    <xf numFmtId="49" fontId="116" fillId="0" borderId="149" xfId="0" applyNumberFormat="1" applyFont="1" applyBorder="1" applyAlignment="1">
      <alignment horizontal="left" vertical="top" wrapText="1" indent="2"/>
    </xf>
    <xf numFmtId="49" fontId="116" fillId="0" borderId="148" xfId="0" applyNumberFormat="1" applyFont="1" applyBorder="1" applyAlignment="1">
      <alignment horizontal="left" vertical="top" wrapText="1" indent="2"/>
    </xf>
    <xf numFmtId="0" fontId="116" fillId="81" borderId="148" xfId="0" applyFont="1" applyFill="1" applyBorder="1"/>
    <xf numFmtId="0" fontId="116" fillId="81" borderId="139" xfId="0" applyFont="1" applyFill="1" applyBorder="1"/>
    <xf numFmtId="0" fontId="116" fillId="81" borderId="149" xfId="0" applyFont="1" applyFill="1" applyBorder="1"/>
    <xf numFmtId="49" fontId="116" fillId="0" borderId="148" xfId="0" applyNumberFormat="1" applyFont="1" applyBorder="1" applyAlignment="1">
      <alignment horizontal="left" indent="1"/>
    </xf>
    <xf numFmtId="0" fontId="116" fillId="0" borderId="149" xfId="0" applyFont="1" applyBorder="1" applyAlignment="1">
      <alignment horizontal="left" indent="1"/>
    </xf>
    <xf numFmtId="49" fontId="116" fillId="0" borderId="149" xfId="0" applyNumberFormat="1" applyFont="1" applyBorder="1" applyAlignment="1">
      <alignment horizontal="left" indent="1"/>
    </xf>
    <xf numFmtId="49" fontId="116" fillId="0" borderId="149" xfId="0" applyNumberFormat="1" applyFont="1" applyBorder="1" applyAlignment="1">
      <alignment horizontal="left" indent="3"/>
    </xf>
    <xf numFmtId="49" fontId="116" fillId="0" borderId="148" xfId="0" applyNumberFormat="1" applyFont="1" applyBorder="1" applyAlignment="1">
      <alignment horizontal="left" indent="3"/>
    </xf>
    <xf numFmtId="0" fontId="116" fillId="0" borderId="149" xfId="0" applyFont="1" applyBorder="1" applyAlignment="1">
      <alignment horizontal="left" indent="2"/>
    </xf>
    <xf numFmtId="0" fontId="116" fillId="0" borderId="148" xfId="0" applyFont="1" applyBorder="1" applyAlignment="1">
      <alignment horizontal="left" indent="2"/>
    </xf>
    <xf numFmtId="0" fontId="116" fillId="0" borderId="148" xfId="0" applyFont="1" applyBorder="1" applyAlignment="1">
      <alignment horizontal="left" indent="1"/>
    </xf>
    <xf numFmtId="0" fontId="119" fillId="0" borderId="66" xfId="0" applyFont="1" applyBorder="1"/>
    <xf numFmtId="0" fontId="119" fillId="0" borderId="61" xfId="0" applyFont="1" applyBorder="1"/>
    <xf numFmtId="0" fontId="116" fillId="0" borderId="66" xfId="0" applyFont="1" applyBorder="1"/>
    <xf numFmtId="0" fontId="116" fillId="0" borderId="0" xfId="0" applyFont="1" applyAlignment="1">
      <alignment horizontal="left"/>
    </xf>
    <xf numFmtId="0" fontId="119" fillId="0" borderId="139" xfId="0" applyFont="1" applyBorder="1" applyAlignment="1">
      <alignment horizontal="left" vertical="center" wrapText="1"/>
    </xf>
    <xf numFmtId="0" fontId="9" fillId="0" borderId="0" xfId="0" applyFont="1" applyAlignment="1">
      <alignment wrapText="1"/>
    </xf>
    <xf numFmtId="0" fontId="121" fillId="0" borderId="139" xfId="0" applyFont="1" applyBorder="1"/>
    <xf numFmtId="0" fontId="119" fillId="0" borderId="139"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1" xfId="0" applyFont="1" applyBorder="1" applyAlignment="1">
      <alignment horizontal="left" vertical="center" wrapText="1" indent="1" readingOrder="1"/>
    </xf>
    <xf numFmtId="0" fontId="121" fillId="0" borderId="139" xfId="0" applyFont="1" applyBorder="1" applyAlignment="1">
      <alignment horizontal="left" indent="3"/>
    </xf>
    <xf numFmtId="0" fontId="119" fillId="0" borderId="139" xfId="0" applyFont="1" applyBorder="1" applyAlignment="1">
      <alignment vertical="center" wrapText="1" readingOrder="1"/>
    </xf>
    <xf numFmtId="0" fontId="121" fillId="0" borderId="139" xfId="0" applyFont="1" applyBorder="1" applyAlignment="1">
      <alignment horizontal="left" indent="2"/>
    </xf>
    <xf numFmtId="0" fontId="121" fillId="0" borderId="140" xfId="0" applyFont="1" applyBorder="1"/>
    <xf numFmtId="0" fontId="116" fillId="0" borderId="132" xfId="0" applyFont="1" applyBorder="1" applyAlignment="1">
      <alignment vertical="center" wrapText="1" readingOrder="1"/>
    </xf>
    <xf numFmtId="0" fontId="121" fillId="0" borderId="140" xfId="0" applyFont="1" applyBorder="1" applyAlignment="1">
      <alignment horizontal="left" indent="2"/>
    </xf>
    <xf numFmtId="0" fontId="116" fillId="0" borderId="131" xfId="0" applyFont="1" applyBorder="1" applyAlignment="1">
      <alignment vertical="center" wrapText="1" readingOrder="1"/>
    </xf>
    <xf numFmtId="0" fontId="116" fillId="0" borderId="130" xfId="0" applyFont="1" applyBorder="1" applyAlignment="1">
      <alignment vertical="center" wrapText="1" readingOrder="1"/>
    </xf>
    <xf numFmtId="0" fontId="139" fillId="0" borderId="7" xfId="0" applyFont="1" applyBorder="1"/>
    <xf numFmtId="0" fontId="106" fillId="0" borderId="139" xfId="0" applyFont="1" applyBorder="1" applyAlignment="1">
      <alignment vertical="center" wrapText="1"/>
    </xf>
    <xf numFmtId="0" fontId="106" fillId="0" borderId="139" xfId="0" applyFont="1" applyBorder="1" applyAlignment="1">
      <alignment horizontal="left" vertical="center" wrapText="1"/>
    </xf>
    <xf numFmtId="0" fontId="106" fillId="0" borderId="139" xfId="0" applyFont="1" applyBorder="1" applyAlignment="1">
      <alignment horizontal="left" indent="2"/>
    </xf>
    <xf numFmtId="0" fontId="106" fillId="0" borderId="139" xfId="0" applyFont="1" applyBorder="1" applyAlignment="1">
      <alignment horizontal="left" vertical="center" indent="1"/>
    </xf>
    <xf numFmtId="0" fontId="106" fillId="0" borderId="139" xfId="0" applyFont="1" applyBorder="1" applyAlignment="1">
      <alignment horizontal="left" vertical="center" wrapText="1" indent="1"/>
    </xf>
    <xf numFmtId="0" fontId="106" fillId="0" borderId="139" xfId="0" applyFont="1" applyBorder="1" applyAlignment="1">
      <alignment horizontal="right" vertical="center"/>
    </xf>
    <xf numFmtId="49" fontId="106" fillId="0" borderId="139" xfId="0" applyNumberFormat="1" applyFont="1" applyBorder="1" applyAlignment="1">
      <alignment horizontal="right" vertical="center"/>
    </xf>
    <xf numFmtId="0" fontId="106" fillId="0" borderId="140" xfId="0" applyFont="1" applyBorder="1" applyAlignment="1">
      <alignment horizontal="left" vertical="top" wrapText="1"/>
    </xf>
    <xf numFmtId="49" fontId="106" fillId="0" borderId="139" xfId="0" applyNumberFormat="1" applyFont="1" applyBorder="1" applyAlignment="1">
      <alignment vertical="top" wrapText="1"/>
    </xf>
    <xf numFmtId="49" fontId="106" fillId="0" borderId="139" xfId="0" applyNumberFormat="1" applyFont="1" applyBorder="1" applyAlignment="1">
      <alignment horizontal="left" vertical="top" wrapText="1" indent="2"/>
    </xf>
    <xf numFmtId="49" fontId="106" fillId="0" borderId="139" xfId="0" applyNumberFormat="1" applyFont="1" applyBorder="1" applyAlignment="1">
      <alignment horizontal="left" vertical="center" wrapText="1" indent="3"/>
    </xf>
    <xf numFmtId="49" fontId="106" fillId="0" borderId="139" xfId="0" applyNumberFormat="1" applyFont="1" applyBorder="1" applyAlignment="1">
      <alignment horizontal="left" wrapText="1" indent="2"/>
    </xf>
    <xf numFmtId="49" fontId="106" fillId="0" borderId="139" xfId="0" applyNumberFormat="1" applyFont="1" applyBorder="1" applyAlignment="1">
      <alignment horizontal="left" vertical="top" wrapText="1"/>
    </xf>
    <xf numFmtId="49" fontId="106" fillId="0" borderId="139" xfId="0" applyNumberFormat="1" applyFont="1" applyBorder="1" applyAlignment="1">
      <alignment horizontal="left" wrapText="1" indent="3"/>
    </xf>
    <xf numFmtId="49" fontId="106" fillId="0" borderId="139" xfId="0" applyNumberFormat="1" applyFont="1" applyBorder="1" applyAlignment="1">
      <alignment vertical="center"/>
    </xf>
    <xf numFmtId="49" fontId="106" fillId="0" borderId="139" xfId="0" applyNumberFormat="1" applyFont="1" applyBorder="1" applyAlignment="1">
      <alignment horizontal="left" indent="3"/>
    </xf>
    <xf numFmtId="0" fontId="106" fillId="0" borderId="139" xfId="0" applyFont="1" applyBorder="1" applyAlignment="1">
      <alignment horizontal="left" indent="1"/>
    </xf>
    <xf numFmtId="0" fontId="106" fillId="0" borderId="139" xfId="0" applyFont="1" applyBorder="1" applyAlignment="1">
      <alignment horizontal="left" wrapText="1" indent="2"/>
    </xf>
    <xf numFmtId="0" fontId="106" fillId="0" borderId="139" xfId="0" applyFont="1" applyBorder="1" applyAlignment="1">
      <alignment horizontal="left" vertical="top" wrapText="1"/>
    </xf>
    <xf numFmtId="0" fontId="105" fillId="0" borderId="7" xfId="0" applyFont="1" applyBorder="1" applyAlignment="1">
      <alignment wrapText="1"/>
    </xf>
    <xf numFmtId="0" fontId="106" fillId="0" borderId="139" xfId="0" applyFont="1" applyBorder="1" applyAlignment="1">
      <alignment horizontal="left" vertical="top" wrapText="1" indent="2"/>
    </xf>
    <xf numFmtId="0" fontId="106" fillId="0" borderId="139" xfId="0" applyFont="1" applyBorder="1" applyAlignment="1">
      <alignment horizontal="left" wrapText="1"/>
    </xf>
    <xf numFmtId="0" fontId="106" fillId="0" borderId="139" xfId="12672" applyFont="1" applyBorder="1" applyAlignment="1">
      <alignment horizontal="left" vertical="center" wrapText="1" indent="2"/>
    </xf>
    <xf numFmtId="0" fontId="106" fillId="0" borderId="139" xfId="0" applyFont="1" applyBorder="1" applyAlignment="1">
      <alignment wrapText="1"/>
    </xf>
    <xf numFmtId="0" fontId="106" fillId="0" borderId="139" xfId="0" applyFont="1" applyBorder="1"/>
    <xf numFmtId="0" fontId="106" fillId="0" borderId="139" xfId="12672" applyFont="1" applyBorder="1" applyAlignment="1">
      <alignment horizontal="left" vertical="center" wrapText="1"/>
    </xf>
    <xf numFmtId="0" fontId="105" fillId="0" borderId="139" xfId="0" applyFont="1" applyBorder="1" applyAlignment="1">
      <alignment wrapText="1"/>
    </xf>
    <xf numFmtId="0" fontId="106" fillId="0" borderId="141" xfId="0" applyFont="1" applyBorder="1" applyAlignment="1">
      <alignment horizontal="left" vertical="center" wrapText="1"/>
    </xf>
    <xf numFmtId="0" fontId="106" fillId="3" borderId="139" xfId="5" applyFont="1" applyFill="1" applyBorder="1" applyAlignment="1" applyProtection="1">
      <alignment horizontal="right" vertical="center"/>
      <protection locked="0"/>
    </xf>
    <xf numFmtId="2" fontId="106" fillId="3" borderId="139" xfId="5" applyNumberFormat="1" applyFont="1" applyFill="1" applyBorder="1" applyAlignment="1" applyProtection="1">
      <alignment horizontal="right" vertical="center"/>
      <protection locked="0"/>
    </xf>
    <xf numFmtId="0" fontId="106" fillId="0" borderId="139" xfId="0" applyFont="1" applyBorder="1" applyAlignment="1">
      <alignment vertical="center"/>
    </xf>
    <xf numFmtId="0" fontId="106" fillId="0" borderId="141" xfId="13" applyFont="1" applyBorder="1" applyAlignment="1" applyProtection="1">
      <alignment horizontal="left" vertical="top" wrapText="1"/>
      <protection locked="0"/>
    </xf>
    <xf numFmtId="0" fontId="106" fillId="0" borderId="142" xfId="13" applyFont="1" applyBorder="1" applyAlignment="1" applyProtection="1">
      <alignment horizontal="left" vertical="top" wrapText="1"/>
      <protection locked="0"/>
    </xf>
    <xf numFmtId="0" fontId="106" fillId="0" borderId="140"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0" xfId="0" applyFont="1" applyBorder="1" applyAlignment="1">
      <alignment horizontal="left" indent="2"/>
    </xf>
    <xf numFmtId="0" fontId="106" fillId="0" borderId="132" xfId="0" applyFont="1" applyBorder="1" applyAlignment="1">
      <alignment horizontal="left" vertical="center" wrapText="1" readingOrder="1"/>
    </xf>
    <xf numFmtId="0" fontId="106" fillId="0" borderId="139" xfId="0" applyFont="1" applyBorder="1" applyAlignment="1">
      <alignment horizontal="left" vertical="center" wrapText="1" readingOrder="1"/>
    </xf>
    <xf numFmtId="0" fontId="2" fillId="0" borderId="16" xfId="0" applyFont="1" applyBorder="1" applyAlignment="1">
      <alignment horizontal="left" vertical="center" wrapText="1" indent="1"/>
    </xf>
    <xf numFmtId="169" fontId="26" fillId="37" borderId="60" xfId="20" applyBorder="1"/>
    <xf numFmtId="193" fontId="4" fillId="0" borderId="149" xfId="0" applyNumberFormat="1" applyFont="1" applyBorder="1" applyAlignment="1" applyProtection="1">
      <alignment vertical="center" wrapText="1"/>
      <protection locked="0"/>
    </xf>
    <xf numFmtId="193" fontId="4" fillId="0" borderId="139" xfId="0" applyNumberFormat="1" applyFont="1" applyBorder="1" applyAlignment="1" applyProtection="1">
      <alignment vertical="center" wrapText="1"/>
      <protection locked="0"/>
    </xf>
    <xf numFmtId="193" fontId="4" fillId="0" borderId="148" xfId="0" applyNumberFormat="1" applyFont="1" applyBorder="1" applyAlignment="1" applyProtection="1">
      <alignment vertical="center" wrapText="1"/>
      <protection locked="0"/>
    </xf>
    <xf numFmtId="10" fontId="4" fillId="0" borderId="149" xfId="20961" applyNumberFormat="1" applyFont="1" applyBorder="1" applyAlignment="1" applyProtection="1">
      <alignment vertical="center" wrapText="1"/>
      <protection locked="0"/>
    </xf>
    <xf numFmtId="10" fontId="4" fillId="0" borderId="139" xfId="20961" applyNumberFormat="1" applyFont="1" applyBorder="1" applyAlignment="1" applyProtection="1">
      <alignment vertical="center" wrapText="1"/>
      <protection locked="0"/>
    </xf>
    <xf numFmtId="10" fontId="4" fillId="0" borderId="148" xfId="20961" applyNumberFormat="1" applyFont="1" applyBorder="1" applyAlignment="1" applyProtection="1">
      <alignment vertical="center" wrapText="1"/>
      <protection locked="0"/>
    </xf>
    <xf numFmtId="193" fontId="17" fillId="2" borderId="149" xfId="0" applyNumberFormat="1" applyFont="1" applyFill="1" applyBorder="1" applyAlignment="1" applyProtection="1">
      <alignment vertical="center"/>
      <protection locked="0"/>
    </xf>
    <xf numFmtId="193" fontId="17" fillId="2" borderId="139"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9" fillId="2" borderId="149" xfId="0" applyNumberFormat="1" applyFont="1" applyFill="1" applyBorder="1" applyAlignment="1" applyProtection="1">
      <alignment vertical="center"/>
      <protection locked="0"/>
    </xf>
    <xf numFmtId="193" fontId="9" fillId="2" borderId="139" xfId="0" applyNumberFormat="1" applyFont="1" applyFill="1" applyBorder="1" applyAlignment="1" applyProtection="1">
      <alignment vertical="center"/>
      <protection locked="0"/>
    </xf>
    <xf numFmtId="193" fontId="9" fillId="2" borderId="148" xfId="0" applyNumberFormat="1" applyFont="1" applyFill="1" applyBorder="1" applyAlignment="1" applyProtection="1">
      <alignment vertical="center"/>
      <protection locked="0"/>
    </xf>
    <xf numFmtId="193" fontId="17" fillId="2" borderId="104" xfId="0" applyNumberFormat="1" applyFont="1" applyFill="1" applyBorder="1" applyAlignment="1" applyProtection="1">
      <alignment vertical="center"/>
      <protection locked="0"/>
    </xf>
    <xf numFmtId="193" fontId="17" fillId="2" borderId="140"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193" fontId="17" fillId="2" borderId="146" xfId="0" applyNumberFormat="1" applyFont="1" applyFill="1" applyBorder="1" applyAlignment="1" applyProtection="1">
      <alignment vertical="center"/>
      <protection locked="0"/>
    </xf>
    <xf numFmtId="193" fontId="17" fillId="2" borderId="145" xfId="0" applyNumberFormat="1" applyFont="1" applyFill="1" applyBorder="1" applyAlignment="1" applyProtection="1">
      <alignment vertical="center"/>
      <protection locked="0"/>
    </xf>
    <xf numFmtId="0" fontId="11" fillId="0" borderId="96" xfId="17" applyFill="1" applyBorder="1" applyAlignment="1" applyProtection="1">
      <alignment horizontal="left" vertical="top" wrapText="1"/>
    </xf>
    <xf numFmtId="0" fontId="7" fillId="83" borderId="139"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6" fillId="0" borderId="0" xfId="0" applyFont="1" applyAlignment="1">
      <alignment wrapText="1"/>
    </xf>
    <xf numFmtId="165" fontId="17" fillId="2" borderId="96" xfId="20961" applyNumberFormat="1" applyFont="1" applyFill="1" applyBorder="1" applyAlignment="1" applyProtection="1">
      <alignment vertical="center"/>
      <protection locked="0"/>
    </xf>
    <xf numFmtId="165" fontId="17" fillId="2" borderId="110" xfId="20961" applyNumberFormat="1" applyFont="1" applyFill="1" applyBorder="1" applyAlignment="1" applyProtection="1">
      <alignment vertical="center"/>
      <protection locked="0"/>
    </xf>
    <xf numFmtId="165" fontId="9" fillId="2" borderId="96" xfId="20961" applyNumberFormat="1" applyFont="1" applyFill="1" applyBorder="1" applyAlignment="1" applyProtection="1">
      <alignment vertical="center"/>
      <protection locked="0"/>
    </xf>
    <xf numFmtId="165" fontId="9" fillId="2" borderId="110" xfId="20961" applyNumberFormat="1" applyFont="1" applyFill="1" applyBorder="1" applyAlignment="1" applyProtection="1">
      <alignment vertical="center"/>
      <protection locked="0"/>
    </xf>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8" xfId="0" applyFont="1" applyBorder="1" applyAlignment="1">
      <alignment horizontal="center" vertical="center" wrapText="1"/>
    </xf>
    <xf numFmtId="10" fontId="113" fillId="79" borderId="96" xfId="20961" applyNumberFormat="1" applyFont="1" applyFill="1" applyBorder="1" applyAlignment="1" applyProtection="1">
      <alignment horizontal="right" vertical="center"/>
    </xf>
    <xf numFmtId="10" fontId="17" fillId="2" borderId="110" xfId="20961" applyNumberFormat="1" applyFont="1" applyFill="1" applyBorder="1" applyAlignment="1" applyProtection="1">
      <alignment vertical="center"/>
      <protection locked="0"/>
    </xf>
    <xf numFmtId="10" fontId="17" fillId="2" borderId="96" xfId="20961" applyNumberFormat="1" applyFont="1" applyFill="1" applyBorder="1" applyAlignment="1" applyProtection="1">
      <alignment vertical="center"/>
      <protection locked="0"/>
    </xf>
    <xf numFmtId="10" fontId="9" fillId="2" borderId="96" xfId="20961" applyNumberFormat="1" applyFont="1" applyFill="1" applyBorder="1" applyAlignment="1" applyProtection="1">
      <alignment vertical="center"/>
      <protection locked="0"/>
    </xf>
    <xf numFmtId="164" fontId="4" fillId="0" borderId="20" xfId="7" applyNumberFormat="1" applyFont="1" applyBorder="1"/>
    <xf numFmtId="164" fontId="4" fillId="0" borderId="8" xfId="7" applyNumberFormat="1" applyFont="1" applyBorder="1"/>
    <xf numFmtId="164" fontId="4" fillId="0" borderId="3" xfId="7" applyNumberFormat="1" applyFont="1" applyBorder="1"/>
    <xf numFmtId="164" fontId="22" fillId="0" borderId="146" xfId="7" applyNumberFormat="1" applyFont="1" applyBorder="1" applyAlignment="1"/>
    <xf numFmtId="164" fontId="19" fillId="0" borderId="13" xfId="7" applyNumberFormat="1" applyFont="1" applyBorder="1" applyAlignment="1"/>
    <xf numFmtId="164" fontId="22" fillId="0" borderId="13" xfId="7" applyNumberFormat="1" applyFont="1" applyBorder="1" applyAlignment="1"/>
    <xf numFmtId="164" fontId="22" fillId="0" borderId="15" xfId="7" applyNumberFormat="1" applyFont="1" applyBorder="1" applyAlignment="1"/>
    <xf numFmtId="164" fontId="22" fillId="0" borderId="14" xfId="7" applyNumberFormat="1" applyFont="1" applyBorder="1" applyAlignment="1"/>
    <xf numFmtId="164" fontId="23" fillId="0" borderId="13" xfId="7" applyNumberFormat="1" applyFont="1" applyBorder="1" applyAlignment="1"/>
    <xf numFmtId="164" fontId="104" fillId="0" borderId="12" xfId="7" applyNumberFormat="1" applyFont="1" applyBorder="1" applyAlignment="1"/>
    <xf numFmtId="164" fontId="19" fillId="0" borderId="12" xfId="7" applyNumberFormat="1" applyFont="1" applyBorder="1" applyAlignment="1"/>
    <xf numFmtId="164" fontId="22" fillId="0" borderId="12" xfId="7" applyNumberFormat="1" applyFont="1" applyBorder="1" applyAlignment="1"/>
    <xf numFmtId="164" fontId="23" fillId="0" borderId="12" xfId="7" applyNumberFormat="1" applyFont="1" applyBorder="1" applyAlignment="1"/>
    <xf numFmtId="164" fontId="22" fillId="0" borderId="168" xfId="7" applyNumberFormat="1" applyFont="1" applyBorder="1" applyAlignment="1"/>
    <xf numFmtId="164" fontId="23" fillId="0" borderId="163" xfId="7" applyNumberFormat="1" applyFont="1" applyBorder="1" applyAlignment="1"/>
    <xf numFmtId="164" fontId="22" fillId="0" borderId="163" xfId="7" applyNumberFormat="1" applyFont="1" applyBorder="1" applyAlignment="1"/>
    <xf numFmtId="0" fontId="0" fillId="0" borderId="171" xfId="0" applyBorder="1" applyAlignment="1">
      <alignment horizontal="center"/>
    </xf>
    <xf numFmtId="164" fontId="7" fillId="0" borderId="24" xfId="7" applyNumberFormat="1" applyFont="1" applyFill="1" applyBorder="1" applyAlignment="1" applyProtection="1">
      <alignment horizontal="right" vertical="center"/>
    </xf>
    <xf numFmtId="164" fontId="109" fillId="0" borderId="110" xfId="7" applyNumberFormat="1" applyFont="1" applyBorder="1" applyAlignment="1">
      <alignment horizontal="right" vertical="center" wrapText="1"/>
    </xf>
    <xf numFmtId="164" fontId="4" fillId="0" borderId="110" xfId="7" applyNumberFormat="1" applyFont="1" applyBorder="1" applyAlignment="1">
      <alignment horizontal="right" vertical="center" wrapText="1"/>
    </xf>
    <xf numFmtId="167" fontId="6" fillId="36" borderId="145" xfId="0" applyNumberFormat="1" applyFont="1" applyFill="1" applyBorder="1" applyAlignment="1">
      <alignment horizontal="center" vertical="center"/>
    </xf>
    <xf numFmtId="43" fontId="4" fillId="0" borderId="167" xfId="7" applyFont="1" applyFill="1" applyBorder="1" applyAlignment="1">
      <alignment vertical="center" wrapText="1"/>
    </xf>
    <xf numFmtId="10" fontId="4" fillId="0" borderId="172" xfId="20961" applyNumberFormat="1" applyFont="1" applyBorder="1"/>
    <xf numFmtId="10" fontId="4" fillId="0" borderId="167" xfId="20961" applyNumberFormat="1" applyFont="1" applyBorder="1"/>
    <xf numFmtId="0" fontId="9" fillId="0" borderId="171" xfId="0" applyFont="1" applyBorder="1" applyAlignment="1">
      <alignment vertical="center"/>
    </xf>
    <xf numFmtId="10" fontId="4" fillId="0" borderId="170" xfId="20961" applyNumberFormat="1" applyFont="1" applyBorder="1"/>
    <xf numFmtId="0" fontId="9" fillId="0" borderId="167" xfId="0" applyFont="1" applyBorder="1"/>
    <xf numFmtId="0" fontId="9" fillId="0" borderId="164" xfId="0" applyFont="1" applyBorder="1" applyAlignment="1">
      <alignment wrapText="1"/>
    </xf>
    <xf numFmtId="164" fontId="21" fillId="0" borderId="97" xfId="7" applyNumberFormat="1" applyFont="1" applyBorder="1" applyAlignment="1">
      <alignment vertical="center" wrapText="1"/>
    </xf>
    <xf numFmtId="164" fontId="21" fillId="0" borderId="96" xfId="7" applyNumberFormat="1" applyFont="1" applyBorder="1" applyAlignment="1">
      <alignment vertical="center" wrapText="1"/>
    </xf>
    <xf numFmtId="0" fontId="132" fillId="0" borderId="146" xfId="21414" applyFont="1" applyBorder="1" applyAlignment="1">
      <alignment vertical="center" wrapText="1"/>
    </xf>
    <xf numFmtId="0" fontId="134" fillId="0" borderId="163" xfId="21414" applyFont="1" applyBorder="1" applyAlignment="1">
      <alignment horizontal="center" vertical="center" wrapText="1"/>
    </xf>
    <xf numFmtId="0" fontId="132" fillId="0" borderId="163" xfId="21414" applyFont="1" applyBorder="1" applyAlignment="1">
      <alignment horizontal="left" vertical="center" wrapText="1"/>
    </xf>
    <xf numFmtId="0" fontId="133" fillId="0" borderId="163" xfId="21414" applyFont="1" applyBorder="1" applyAlignment="1">
      <alignment horizontal="left" vertical="center" wrapText="1" indent="1"/>
    </xf>
    <xf numFmtId="0" fontId="131" fillId="3" borderId="163" xfId="21414" applyFont="1" applyFill="1" applyBorder="1" applyAlignment="1">
      <alignment horizontal="left" vertical="center" wrapText="1" indent="1"/>
    </xf>
    <xf numFmtId="0" fontId="131" fillId="0" borderId="163" xfId="21414" applyFont="1" applyBorder="1" applyAlignment="1">
      <alignment horizontal="left" vertical="center" wrapText="1" indent="1"/>
    </xf>
    <xf numFmtId="0" fontId="130" fillId="3" borderId="163" xfId="21414" applyFont="1" applyFill="1" applyBorder="1" applyAlignment="1">
      <alignment horizontal="left" vertical="center" wrapText="1"/>
    </xf>
    <xf numFmtId="0" fontId="3" fillId="0" borderId="163" xfId="0" applyFont="1" applyBorder="1" applyAlignment="1">
      <alignment horizontal="center" vertical="center"/>
    </xf>
    <xf numFmtId="0" fontId="0" fillId="0" borderId="149" xfId="0" applyBorder="1" applyAlignment="1">
      <alignment horizontal="center" vertical="center"/>
    </xf>
    <xf numFmtId="164" fontId="0" fillId="36" borderId="145" xfId="7" applyNumberFormat="1" applyFont="1" applyFill="1" applyBorder="1"/>
    <xf numFmtId="164" fontId="0" fillId="36" borderId="146" xfId="7" applyNumberFormat="1" applyFont="1" applyFill="1" applyBorder="1"/>
    <xf numFmtId="0" fontId="0" fillId="36" borderId="167" xfId="0" applyFill="1" applyBorder="1"/>
    <xf numFmtId="0" fontId="0" fillId="0" borderId="163" xfId="0" applyBorder="1"/>
    <xf numFmtId="164" fontId="0" fillId="36" borderId="163" xfId="7" applyNumberFormat="1" applyFont="1" applyFill="1" applyBorder="1"/>
    <xf numFmtId="164" fontId="0" fillId="36" borderId="167" xfId="7" applyNumberFormat="1" applyFont="1" applyFill="1" applyBorder="1" applyAlignment="1">
      <alignment vertical="center"/>
    </xf>
    <xf numFmtId="164" fontId="0" fillId="0" borderId="163" xfId="7" applyNumberFormat="1" applyFont="1" applyBorder="1" applyAlignment="1">
      <alignment vertical="center"/>
    </xf>
    <xf numFmtId="43" fontId="0" fillId="36" borderId="163" xfId="7" applyFont="1" applyFill="1" applyBorder="1" applyAlignment="1">
      <alignment vertical="center"/>
    </xf>
    <xf numFmtId="43" fontId="0" fillId="0" borderId="163" xfId="7" applyFont="1" applyBorder="1" applyAlignment="1">
      <alignment vertical="center"/>
    </xf>
    <xf numFmtId="164" fontId="0" fillId="36" borderId="167" xfId="7" applyNumberFormat="1" applyFont="1" applyFill="1" applyBorder="1"/>
    <xf numFmtId="0" fontId="9" fillId="0" borderId="167" xfId="0" applyFont="1" applyBorder="1" applyAlignment="1">
      <alignment horizontal="center" vertical="center" wrapText="1"/>
    </xf>
    <xf numFmtId="0" fontId="132" fillId="0" borderId="163" xfId="21414" applyFont="1" applyBorder="1" applyAlignment="1">
      <alignment vertical="center" wrapText="1"/>
    </xf>
    <xf numFmtId="0" fontId="132" fillId="0" borderId="163" xfId="21414" applyFont="1" applyBorder="1" applyAlignment="1">
      <alignment horizontal="justify" vertical="center" wrapText="1"/>
    </xf>
    <xf numFmtId="164" fontId="0" fillId="0" borderId="163" xfId="7" applyNumberFormat="1" applyFont="1" applyBorder="1"/>
    <xf numFmtId="164" fontId="0" fillId="0" borderId="146" xfId="7" applyNumberFormat="1" applyFont="1" applyBorder="1"/>
    <xf numFmtId="164" fontId="0" fillId="0" borderId="0" xfId="0" applyNumberFormat="1"/>
    <xf numFmtId="0" fontId="132" fillId="3" borderId="163" xfId="21414" applyFont="1" applyFill="1" applyBorder="1" applyAlignment="1">
      <alignment horizontal="left" vertical="center" wrapText="1"/>
    </xf>
    <xf numFmtId="0" fontId="9" fillId="0" borderId="149" xfId="0" applyFont="1" applyBorder="1" applyAlignment="1">
      <alignment vertical="center"/>
    </xf>
    <xf numFmtId="167" fontId="23" fillId="0" borderId="57" xfId="0" applyNumberFormat="1" applyFont="1" applyBorder="1" applyAlignment="1">
      <alignment horizontal="center"/>
    </xf>
    <xf numFmtId="167" fontId="19" fillId="0" borderId="57" xfId="0" applyNumberFormat="1" applyFont="1" applyBorder="1" applyAlignment="1">
      <alignment horizontal="center"/>
    </xf>
    <xf numFmtId="167" fontId="23" fillId="0" borderId="59"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17" xfId="11" applyFont="1" applyBorder="1" applyAlignment="1">
      <alignment horizontal="center" vertical="center"/>
    </xf>
    <xf numFmtId="0" fontId="4" fillId="0" borderId="6" xfId="0" applyFont="1" applyBorder="1" applyAlignment="1">
      <alignment horizontal="center" vertical="center" wrapText="1"/>
    </xf>
    <xf numFmtId="167" fontId="6" fillId="36" borderId="146" xfId="0" applyNumberFormat="1" applyFont="1" applyFill="1" applyBorder="1" applyAlignment="1">
      <alignment horizontal="center" vertical="center"/>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149" xfId="0" applyBorder="1"/>
    <xf numFmtId="0" fontId="0" fillId="0" borderId="147" xfId="0" applyBorder="1"/>
    <xf numFmtId="0" fontId="6" fillId="36" borderId="113" xfId="0" applyFont="1" applyFill="1" applyBorder="1" applyAlignment="1">
      <alignment vertical="center" wrapText="1"/>
    </xf>
    <xf numFmtId="0" fontId="9" fillId="0" borderId="163" xfId="0" applyFont="1" applyBorder="1" applyAlignment="1">
      <alignment horizontal="center" vertical="center" wrapText="1"/>
    </xf>
    <xf numFmtId="43" fontId="4" fillId="0" borderId="163" xfId="7" applyFont="1" applyFill="1" applyBorder="1" applyAlignment="1">
      <alignment vertical="center" wrapText="1"/>
    </xf>
    <xf numFmtId="43" fontId="4" fillId="0" borderId="163" xfId="7" applyFont="1" applyBorder="1" applyAlignment="1">
      <alignment vertical="center"/>
    </xf>
    <xf numFmtId="167" fontId="22" fillId="0" borderId="55" xfId="0" applyNumberFormat="1" applyFont="1" applyBorder="1" applyAlignment="1">
      <alignment horizontal="center"/>
    </xf>
    <xf numFmtId="167" fontId="18" fillId="0" borderId="57" xfId="0" applyNumberFormat="1" applyFont="1" applyBorder="1" applyAlignment="1">
      <alignment horizontal="center"/>
    </xf>
    <xf numFmtId="167" fontId="19" fillId="85" borderId="56" xfId="0" applyNumberFormat="1" applyFont="1" applyFill="1" applyBorder="1" applyAlignment="1">
      <alignment horizontal="center"/>
    </xf>
    <xf numFmtId="43" fontId="0" fillId="0" borderId="163" xfId="7" applyFont="1" applyBorder="1"/>
    <xf numFmtId="43" fontId="0" fillId="36" borderId="163" xfId="7" applyFont="1" applyFill="1" applyBorder="1"/>
    <xf numFmtId="0" fontId="130" fillId="0" borderId="163" xfId="0" applyFont="1" applyBorder="1" applyAlignment="1">
      <alignment horizontal="left" vertical="center" wrapText="1"/>
    </xf>
    <xf numFmtId="0" fontId="132" fillId="0" borderId="163" xfId="0" applyFont="1" applyBorder="1" applyAlignment="1">
      <alignment horizontal="left" vertical="center" wrapText="1"/>
    </xf>
    <xf numFmtId="0" fontId="133" fillId="3" borderId="163" xfId="0" applyFont="1" applyFill="1" applyBorder="1" applyAlignment="1">
      <alignment horizontal="left" vertical="center" wrapText="1" indent="1"/>
    </xf>
    <xf numFmtId="0" fontId="132" fillId="3" borderId="163" xfId="0" applyFont="1" applyFill="1" applyBorder="1" applyAlignment="1">
      <alignment horizontal="left" vertical="center" wrapText="1"/>
    </xf>
    <xf numFmtId="0" fontId="133" fillId="0" borderId="163" xfId="0" applyFont="1" applyBorder="1" applyAlignment="1">
      <alignment horizontal="left" vertical="center" wrapText="1" indent="1"/>
    </xf>
    <xf numFmtId="0" fontId="131" fillId="3" borderId="163" xfId="0" applyFont="1" applyFill="1" applyBorder="1" applyAlignment="1">
      <alignment horizontal="left" vertical="center" wrapText="1" indent="1"/>
    </xf>
    <xf numFmtId="0" fontId="131" fillId="0" borderId="163" xfId="0" applyFont="1" applyBorder="1" applyAlignment="1">
      <alignment horizontal="left" vertical="center" wrapText="1" indent="1"/>
    </xf>
    <xf numFmtId="0" fontId="135" fillId="0" borderId="163" xfId="0" applyFont="1" applyBorder="1" applyAlignment="1">
      <alignment horizontal="left"/>
    </xf>
    <xf numFmtId="43" fontId="0" fillId="0" borderId="0" xfId="0" applyNumberFormat="1"/>
    <xf numFmtId="0" fontId="132" fillId="0" borderId="163" xfId="0" applyFont="1" applyBorder="1" applyAlignment="1">
      <alignment horizontal="justify" vertical="center" wrapText="1"/>
    </xf>
    <xf numFmtId="0" fontId="130" fillId="0" borderId="163" xfId="0" applyFont="1" applyBorder="1" applyAlignment="1">
      <alignment horizontal="justify" vertical="center" wrapText="1"/>
    </xf>
    <xf numFmtId="0" fontId="132" fillId="3" borderId="163" xfId="0" applyFont="1" applyFill="1" applyBorder="1" applyAlignment="1">
      <alignment horizontal="justify" vertical="center" wrapText="1"/>
    </xf>
    <xf numFmtId="0" fontId="130" fillId="0" borderId="163" xfId="0" applyFont="1" applyBorder="1" applyAlignment="1">
      <alignment vertical="center" wrapText="1"/>
    </xf>
    <xf numFmtId="0" fontId="132" fillId="0" borderId="163" xfId="0" applyFont="1" applyBorder="1" applyAlignment="1">
      <alignment vertical="center" wrapText="1"/>
    </xf>
    <xf numFmtId="0" fontId="0" fillId="0" borderId="147" xfId="0" applyBorder="1" applyAlignment="1">
      <alignment horizontal="center" vertical="center"/>
    </xf>
    <xf numFmtId="43" fontId="0" fillId="0" borderId="146" xfId="7" applyFont="1" applyBorder="1"/>
    <xf numFmtId="164" fontId="21" fillId="0" borderId="21" xfId="7" applyNumberFormat="1" applyFont="1" applyBorder="1" applyAlignment="1">
      <alignment vertical="center" wrapText="1"/>
    </xf>
    <xf numFmtId="0" fontId="13" fillId="0" borderId="164" xfId="0" applyFont="1" applyBorder="1" applyAlignment="1">
      <alignment wrapText="1"/>
    </xf>
    <xf numFmtId="0" fontId="13" fillId="0" borderId="166" xfId="0" applyFont="1" applyBorder="1" applyAlignment="1">
      <alignment wrapText="1"/>
    </xf>
    <xf numFmtId="0" fontId="0" fillId="0" borderId="149" xfId="0" applyBorder="1" applyAlignment="1">
      <alignment horizontal="center"/>
    </xf>
    <xf numFmtId="167" fontId="23" fillId="0" borderId="169" xfId="0" applyNumberFormat="1" applyFont="1" applyBorder="1" applyAlignment="1">
      <alignment horizontal="center"/>
    </xf>
    <xf numFmtId="167" fontId="23" fillId="0" borderId="167" xfId="0" applyNumberFormat="1" applyFont="1" applyBorder="1" applyAlignment="1">
      <alignment horizontal="center"/>
    </xf>
    <xf numFmtId="0" fontId="23" fillId="0" borderId="167" xfId="0" applyFont="1" applyBorder="1"/>
    <xf numFmtId="0" fontId="0" fillId="0" borderId="147" xfId="0" applyBorder="1" applyAlignment="1">
      <alignment horizontal="center"/>
    </xf>
    <xf numFmtId="0" fontId="132" fillId="0" borderId="146" xfId="0" applyFont="1" applyBorder="1" applyAlignment="1">
      <alignment horizontal="left" vertical="center" wrapText="1"/>
    </xf>
    <xf numFmtId="0" fontId="23" fillId="0" borderId="145" xfId="0" applyFont="1" applyBorder="1"/>
    <xf numFmtId="43" fontId="4" fillId="0" borderId="167" xfId="7" applyFont="1" applyBorder="1" applyAlignment="1">
      <alignment vertical="center"/>
    </xf>
    <xf numFmtId="165" fontId="9" fillId="2" borderId="23" xfId="20961" applyNumberFormat="1" applyFont="1" applyFill="1" applyBorder="1" applyAlignment="1" applyProtection="1">
      <alignment vertical="center"/>
      <protection locked="0"/>
    </xf>
    <xf numFmtId="193" fontId="9" fillId="0" borderId="163" xfId="0" applyNumberFormat="1" applyFont="1" applyBorder="1" applyAlignment="1">
      <alignment horizontal="right"/>
    </xf>
    <xf numFmtId="164" fontId="26" fillId="37" borderId="0" xfId="7" applyNumberFormat="1" applyFont="1" applyFill="1"/>
    <xf numFmtId="164" fontId="4" fillId="0" borderId="52" xfId="7" applyNumberFormat="1" applyFont="1" applyBorder="1" applyAlignment="1">
      <alignment vertical="center"/>
    </xf>
    <xf numFmtId="164" fontId="4" fillId="0" borderId="61" xfId="7" applyNumberFormat="1" applyFont="1" applyBorder="1" applyAlignment="1">
      <alignment vertical="center"/>
    </xf>
    <xf numFmtId="164" fontId="4" fillId="3" borderId="94"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97" xfId="7" applyNumberFormat="1" applyFont="1" applyBorder="1" applyAlignment="1">
      <alignment vertical="center"/>
    </xf>
    <xf numFmtId="164" fontId="4" fillId="0" borderId="110" xfId="7" applyNumberFormat="1" applyFont="1" applyBorder="1" applyAlignment="1">
      <alignment vertical="center"/>
    </xf>
    <xf numFmtId="164" fontId="4" fillId="0" borderId="23" xfId="7" applyNumberFormat="1" applyFont="1" applyBorder="1" applyAlignment="1">
      <alignment vertical="center"/>
    </xf>
    <xf numFmtId="164" fontId="4" fillId="0" borderId="25" xfId="7" applyNumberFormat="1" applyFont="1" applyBorder="1" applyAlignment="1">
      <alignment vertical="center"/>
    </xf>
    <xf numFmtId="164" fontId="4" fillId="0" borderId="24" xfId="7" applyNumberFormat="1" applyFont="1" applyBorder="1" applyAlignment="1">
      <alignment vertical="center"/>
    </xf>
    <xf numFmtId="165" fontId="17" fillId="2" borderId="23" xfId="20961" applyNumberFormat="1" applyFont="1" applyFill="1" applyBorder="1" applyAlignment="1" applyProtection="1">
      <alignment vertical="center"/>
      <protection locked="0"/>
    </xf>
    <xf numFmtId="165" fontId="17" fillId="2" borderId="24" xfId="20961" applyNumberFormat="1" applyFont="1" applyFill="1" applyBorder="1" applyAlignment="1" applyProtection="1">
      <alignment vertical="center"/>
      <protection locked="0"/>
    </xf>
    <xf numFmtId="43" fontId="116" fillId="0" borderId="139" xfId="7" applyFont="1" applyFill="1" applyBorder="1"/>
    <xf numFmtId="43" fontId="117" fillId="0" borderId="0" xfId="7" applyFont="1"/>
    <xf numFmtId="43" fontId="117" fillId="0" borderId="0" xfId="0" applyNumberFormat="1" applyFont="1"/>
    <xf numFmtId="164" fontId="117" fillId="0" borderId="133" xfId="7" applyNumberFormat="1" applyFont="1" applyBorder="1"/>
    <xf numFmtId="164" fontId="120" fillId="0" borderId="133" xfId="7" applyNumberFormat="1" applyFont="1" applyBorder="1"/>
    <xf numFmtId="43" fontId="116" fillId="0" borderId="139" xfId="7" applyFont="1" applyBorder="1"/>
    <xf numFmtId="164" fontId="116" fillId="0" borderId="139" xfId="7" applyNumberFormat="1" applyFont="1" applyBorder="1"/>
    <xf numFmtId="43" fontId="119" fillId="0" borderId="139" xfId="7" applyFont="1" applyBorder="1"/>
    <xf numFmtId="43" fontId="119" fillId="0" borderId="139" xfId="7" applyFont="1" applyFill="1" applyBorder="1"/>
    <xf numFmtId="164" fontId="116" fillId="36" borderId="139" xfId="7" applyNumberFormat="1" applyFont="1" applyFill="1" applyBorder="1"/>
    <xf numFmtId="164" fontId="117" fillId="0" borderId="0" xfId="0" applyNumberFormat="1" applyFont="1"/>
    <xf numFmtId="43" fontId="143" fillId="0" borderId="0" xfId="0" applyNumberFormat="1" applyFont="1"/>
    <xf numFmtId="164" fontId="117" fillId="0" borderId="139" xfId="7" applyNumberFormat="1" applyFont="1" applyBorder="1"/>
    <xf numFmtId="164" fontId="120" fillId="0" borderId="139" xfId="7" applyNumberFormat="1" applyFont="1" applyBorder="1"/>
    <xf numFmtId="43" fontId="121" fillId="0" borderId="139" xfId="7" applyFont="1" applyBorder="1"/>
    <xf numFmtId="43" fontId="116" fillId="0" borderId="139" xfId="7" applyFont="1" applyBorder="1" applyAlignment="1">
      <alignment horizontal="left" indent="1"/>
    </xf>
    <xf numFmtId="164" fontId="9" fillId="0" borderId="133" xfId="7" applyNumberFormat="1" applyFont="1" applyBorder="1" applyAlignment="1">
      <alignment horizontal="right"/>
    </xf>
    <xf numFmtId="43" fontId="0" fillId="0" borderId="0" xfId="7" applyFont="1"/>
    <xf numFmtId="43" fontId="117" fillId="0" borderId="133" xfId="7" applyFont="1" applyBorder="1"/>
    <xf numFmtId="194" fontId="117" fillId="0" borderId="0" xfId="0" applyNumberFormat="1" applyFont="1"/>
    <xf numFmtId="195" fontId="116" fillId="36" borderId="139" xfId="21413" applyNumberFormat="1" applyFont="1" applyFill="1" applyBorder="1"/>
    <xf numFmtId="165" fontId="4" fillId="0" borderId="90" xfId="20961" applyNumberFormat="1" applyFont="1" applyBorder="1" applyAlignment="1">
      <alignment vertical="center"/>
    </xf>
    <xf numFmtId="0" fontId="104" fillId="0" borderId="63" xfId="0" applyFont="1" applyBorder="1" applyAlignment="1">
      <alignment horizontal="left" vertical="center" wrapText="1"/>
    </xf>
    <xf numFmtId="0" fontId="104" fillId="0" borderId="62" xfId="0" applyFont="1" applyBorder="1" applyAlignment="1">
      <alignment horizontal="left" vertical="center" wrapText="1"/>
    </xf>
    <xf numFmtId="0" fontId="141" fillId="0" borderId="152" xfId="0" applyFont="1" applyBorder="1" applyAlignment="1">
      <alignment horizontal="center" vertical="center"/>
    </xf>
    <xf numFmtId="0" fontId="141" fillId="0" borderId="29" xfId="0" applyFont="1" applyBorder="1" applyAlignment="1">
      <alignment horizontal="center" vertical="center"/>
    </xf>
    <xf numFmtId="0" fontId="141" fillId="0" borderId="153" xfId="0" applyFont="1" applyBorder="1" applyAlignment="1">
      <alignment horizontal="center" vertical="center"/>
    </xf>
    <xf numFmtId="0" fontId="142" fillId="0" borderId="152" xfId="0" applyFont="1" applyBorder="1" applyAlignment="1">
      <alignment horizontal="center" wrapText="1"/>
    </xf>
    <xf numFmtId="0" fontId="142" fillId="0" borderId="29" xfId="0" applyFont="1" applyBorder="1" applyAlignment="1">
      <alignment horizontal="center" wrapText="1"/>
    </xf>
    <xf numFmtId="0" fontId="142" fillId="0" borderId="153" xfId="0" applyFont="1" applyBorder="1" applyAlignment="1">
      <alignment horizontal="center" wrapText="1"/>
    </xf>
    <xf numFmtId="0" fontId="0" fillId="0" borderId="164" xfId="0" applyBorder="1" applyAlignment="1">
      <alignment horizontal="center"/>
    </xf>
    <xf numFmtId="0" fontId="0" fillId="0" borderId="165" xfId="0" applyBorder="1" applyAlignment="1">
      <alignment horizontal="center"/>
    </xf>
    <xf numFmtId="0" fontId="0" fillId="0" borderId="170" xfId="0" applyBorder="1" applyAlignment="1">
      <alignment horizontal="center"/>
    </xf>
    <xf numFmtId="0" fontId="0" fillId="0" borderId="16" xfId="0" applyBorder="1" applyAlignment="1">
      <alignment horizontal="center" vertical="center"/>
    </xf>
    <xf numFmtId="0" fontId="0" fillId="0" borderId="149" xfId="0" applyBorder="1" applyAlignment="1">
      <alignment horizontal="center" vertical="center"/>
    </xf>
    <xf numFmtId="0" fontId="128" fillId="0" borderId="5"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28" fillId="0" borderId="5"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4" xfId="0" applyBorder="1" applyAlignment="1">
      <alignment horizontal="center" vertical="center"/>
    </xf>
    <xf numFmtId="0" fontId="0" fillId="0" borderId="66" xfId="0" applyBorder="1" applyAlignment="1">
      <alignment horizontal="center" vertical="center"/>
    </xf>
    <xf numFmtId="0" fontId="0" fillId="0" borderId="133" xfId="0" applyBorder="1" applyAlignment="1">
      <alignment horizontal="center" vertical="center"/>
    </xf>
    <xf numFmtId="0" fontId="0" fillId="0" borderId="133"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163" xfId="0" applyFont="1" applyBorder="1" applyAlignment="1">
      <alignment horizontal="center" vertical="center" wrapText="1"/>
    </xf>
    <xf numFmtId="0" fontId="4" fillId="0" borderId="164" xfId="0" applyFont="1" applyBorder="1" applyAlignment="1">
      <alignment horizontal="center"/>
    </xf>
    <xf numFmtId="0" fontId="4" fillId="0" borderId="170" xfId="0" applyFont="1" applyBorder="1" applyAlignment="1">
      <alignment horizontal="center"/>
    </xf>
    <xf numFmtId="0" fontId="6" fillId="36" borderId="114"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1" xfId="0" applyFont="1" applyFill="1" applyBorder="1" applyAlignment="1">
      <alignment horizontal="center" vertical="center" wrapText="1"/>
    </xf>
    <xf numFmtId="0" fontId="6" fillId="36" borderId="95" xfId="0" applyFont="1" applyFill="1" applyBorder="1" applyAlignment="1">
      <alignment horizontal="center" vertical="center" wrapText="1"/>
    </xf>
    <xf numFmtId="0" fontId="101" fillId="3" borderId="64" xfId="13" applyFont="1" applyFill="1" applyBorder="1" applyAlignment="1" applyProtection="1">
      <alignment horizontal="center" vertical="center" wrapText="1"/>
      <protection locked="0"/>
    </xf>
    <xf numFmtId="0" fontId="101" fillId="3" borderId="6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164" fontId="15" fillId="0" borderId="87" xfId="1" applyNumberFormat="1" applyFont="1" applyFill="1" applyBorder="1" applyAlignment="1" applyProtection="1">
      <alignment horizontal="center" vertical="center" wrapText="1"/>
      <protection locked="0"/>
    </xf>
    <xf numFmtId="164" fontId="15" fillId="0" borderId="88" xfId="1"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3" xfId="0" applyFont="1" applyBorder="1" applyAlignment="1">
      <alignment horizontal="center" vertical="center" wrapText="1"/>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0" xfId="0" applyFont="1" applyBorder="1" applyAlignment="1">
      <alignment horizontal="center" vertical="center" wrapText="1"/>
    </xf>
    <xf numFmtId="0" fontId="119" fillId="0" borderId="117" xfId="0" applyFont="1" applyBorder="1" applyAlignment="1">
      <alignment horizontal="left" vertical="center" wrapText="1"/>
    </xf>
    <xf numFmtId="0" fontId="119" fillId="0" borderId="118" xfId="0" applyFont="1" applyBorder="1" applyAlignment="1">
      <alignment horizontal="left" vertical="center" wrapText="1"/>
    </xf>
    <xf numFmtId="0" fontId="119" fillId="0" borderId="120" xfId="0" applyFont="1" applyBorder="1" applyAlignment="1">
      <alignment horizontal="left" vertical="center" wrapText="1"/>
    </xf>
    <xf numFmtId="0" fontId="119" fillId="0" borderId="121" xfId="0" applyFont="1" applyBorder="1" applyAlignment="1">
      <alignment horizontal="left" vertical="center" wrapText="1"/>
    </xf>
    <xf numFmtId="0" fontId="119" fillId="0" borderId="123" xfId="0" applyFont="1" applyBorder="1" applyAlignment="1">
      <alignment horizontal="left" vertical="center" wrapText="1"/>
    </xf>
    <xf numFmtId="0" fontId="119" fillId="0" borderId="124" xfId="0" applyFont="1" applyBorder="1" applyAlignment="1">
      <alignment horizontal="left" vertical="center" wrapText="1"/>
    </xf>
    <xf numFmtId="0" fontId="120" fillId="0" borderId="138" xfId="0" applyFont="1" applyBorder="1" applyAlignment="1">
      <alignment horizontal="center" vertical="center" wrapText="1"/>
    </xf>
    <xf numFmtId="0" fontId="120" fillId="0" borderId="137" xfId="0" applyFont="1" applyBorder="1" applyAlignment="1">
      <alignment horizontal="center" vertical="center" wrapText="1"/>
    </xf>
    <xf numFmtId="0" fontId="120" fillId="0" borderId="119" xfId="0" applyFont="1" applyBorder="1" applyAlignment="1">
      <alignment horizontal="center" vertical="center" wrapText="1"/>
    </xf>
    <xf numFmtId="0" fontId="120" fillId="0" borderId="52" xfId="0" applyFont="1" applyBorder="1" applyAlignment="1">
      <alignment horizontal="center" vertical="center" wrapText="1"/>
    </xf>
    <xf numFmtId="0" fontId="120" fillId="0" borderId="122"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40"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39" xfId="0" applyFont="1" applyBorder="1" applyAlignment="1">
      <alignment horizontal="center" vertical="center" wrapText="1"/>
    </xf>
    <xf numFmtId="0" fontId="116" fillId="0" borderId="142" xfId="0" applyFont="1" applyBorder="1" applyAlignment="1">
      <alignment horizontal="center" vertical="center" wrapText="1"/>
    </xf>
    <xf numFmtId="0" fontId="116" fillId="0" borderId="141" xfId="0" applyFont="1" applyBorder="1" applyAlignment="1">
      <alignment horizontal="center" vertical="center" wrapText="1"/>
    </xf>
    <xf numFmtId="0" fontId="124" fillId="0" borderId="139" xfId="0" applyFont="1" applyBorder="1" applyAlignment="1">
      <alignment horizontal="center" vertical="center"/>
    </xf>
    <xf numFmtId="0" fontId="118" fillId="0" borderId="138" xfId="0" applyFont="1" applyBorder="1" applyAlignment="1">
      <alignment horizontal="center" vertical="center"/>
    </xf>
    <xf numFmtId="0" fontId="118" fillId="0" borderId="143" xfId="0" applyFont="1" applyBorder="1" applyAlignment="1">
      <alignment horizontal="center" vertical="center"/>
    </xf>
    <xf numFmtId="0" fontId="118" fillId="0" borderId="52" xfId="0" applyFont="1" applyBorder="1" applyAlignment="1">
      <alignment horizontal="center" vertical="center"/>
    </xf>
    <xf numFmtId="0" fontId="118" fillId="0" borderId="11" xfId="0" applyFont="1" applyBorder="1" applyAlignment="1">
      <alignment horizontal="center" vertical="center"/>
    </xf>
    <xf numFmtId="0" fontId="119" fillId="0" borderId="139" xfId="0" applyFont="1" applyBorder="1" applyAlignment="1">
      <alignment horizontal="center" vertical="center" wrapText="1"/>
    </xf>
    <xf numFmtId="0" fontId="119" fillId="0" borderId="138" xfId="0" applyFont="1" applyBorder="1" applyAlignment="1">
      <alignment horizontal="center" vertical="center" wrapText="1"/>
    </xf>
    <xf numFmtId="0" fontId="119" fillId="0" borderId="143" xfId="0" applyFont="1" applyBorder="1" applyAlignment="1">
      <alignment horizontal="center" vertical="center" wrapText="1"/>
    </xf>
    <xf numFmtId="0" fontId="119" fillId="0" borderId="125" xfId="0" applyFont="1" applyBorder="1" applyAlignment="1">
      <alignment horizontal="center" vertical="center" wrapText="1"/>
    </xf>
    <xf numFmtId="0" fontId="119" fillId="0" borderId="126"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44" xfId="0" applyFont="1" applyBorder="1" applyAlignment="1">
      <alignment horizontal="center" vertical="center" wrapText="1"/>
    </xf>
    <xf numFmtId="0" fontId="119" fillId="0" borderId="127"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27" xfId="0" applyFont="1" applyBorder="1" applyAlignment="1">
      <alignment horizontal="center" vertical="center" wrapText="1"/>
    </xf>
    <xf numFmtId="0" fontId="116" fillId="0" borderId="138" xfId="0" applyFont="1" applyBorder="1" applyAlignment="1">
      <alignment horizontal="center" vertical="center" wrapText="1"/>
    </xf>
    <xf numFmtId="0" fontId="116" fillId="0" borderId="137" xfId="0" applyFont="1" applyBorder="1" applyAlignment="1">
      <alignment horizontal="center" vertical="center" wrapText="1"/>
    </xf>
    <xf numFmtId="0" fontId="116" fillId="0" borderId="143"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53"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103" xfId="0" applyFont="1" applyBorder="1" applyAlignment="1">
      <alignment horizontal="center" vertical="center" wrapText="1"/>
    </xf>
    <xf numFmtId="0" fontId="119" fillId="0" borderId="53" xfId="0" applyFont="1" applyBorder="1" applyAlignment="1">
      <alignment horizontal="left" vertical="top" wrapText="1"/>
    </xf>
    <xf numFmtId="0" fontId="119" fillId="0" borderId="103" xfId="0" applyFont="1" applyBorder="1" applyAlignment="1">
      <alignment horizontal="left" vertical="top" wrapText="1"/>
    </xf>
    <xf numFmtId="0" fontId="119" fillId="0" borderId="60" xfId="0" applyFont="1" applyBorder="1" applyAlignment="1">
      <alignment horizontal="left" vertical="top" wrapText="1"/>
    </xf>
    <xf numFmtId="0" fontId="119" fillId="0" borderId="89" xfId="0" applyFont="1" applyBorder="1" applyAlignment="1">
      <alignment horizontal="left" vertical="top" wrapText="1"/>
    </xf>
    <xf numFmtId="0" fontId="119" fillId="0" borderId="116" xfId="0" applyFont="1" applyBorder="1" applyAlignment="1">
      <alignment horizontal="left" vertical="top" wrapText="1"/>
    </xf>
    <xf numFmtId="0" fontId="119" fillId="0" borderId="150" xfId="0" applyFont="1" applyBorder="1" applyAlignment="1">
      <alignment horizontal="left" vertical="top" wrapText="1"/>
    </xf>
    <xf numFmtId="0" fontId="119" fillId="0" borderId="151" xfId="0" applyFont="1" applyBorder="1" applyAlignment="1">
      <alignment horizontal="center" vertical="center" wrapText="1"/>
    </xf>
    <xf numFmtId="0" fontId="119" fillId="0" borderId="66" xfId="0" applyFont="1" applyBorder="1" applyAlignment="1">
      <alignment horizontal="center" vertical="center" wrapText="1"/>
    </xf>
    <xf numFmtId="0" fontId="116" fillId="0" borderId="138" xfId="0" applyFont="1" applyBorder="1" applyAlignment="1">
      <alignment horizontal="center" vertical="top" wrapText="1"/>
    </xf>
    <xf numFmtId="0" fontId="116" fillId="0" borderId="137" xfId="0" applyFont="1" applyBorder="1" applyAlignment="1">
      <alignment horizontal="center" vertical="top" wrapText="1"/>
    </xf>
    <xf numFmtId="0" fontId="116" fillId="0" borderId="144" xfId="0" applyFont="1" applyBorder="1" applyAlignment="1">
      <alignment horizontal="center" vertical="top" wrapText="1"/>
    </xf>
    <xf numFmtId="0" fontId="116" fillId="0" borderId="141" xfId="0" applyFont="1" applyBorder="1" applyAlignment="1">
      <alignment horizontal="center" vertical="top" wrapText="1"/>
    </xf>
    <xf numFmtId="0" fontId="105" fillId="0" borderId="128" xfId="0" applyFont="1" applyBorder="1" applyAlignment="1">
      <alignment horizontal="left" vertical="top" wrapText="1"/>
    </xf>
    <xf numFmtId="0" fontId="105" fillId="0" borderId="129" xfId="0" applyFont="1" applyBorder="1" applyAlignment="1">
      <alignment horizontal="left" vertical="top" wrapText="1"/>
    </xf>
    <xf numFmtId="0" fontId="122" fillId="0" borderId="139" xfId="0" applyFont="1" applyBorder="1" applyAlignment="1">
      <alignment horizontal="center" vertical="center"/>
    </xf>
    <xf numFmtId="0" fontId="121" fillId="0" borderId="139" xfId="0" applyFont="1" applyBorder="1" applyAlignment="1">
      <alignment horizontal="center" vertical="center" wrapText="1"/>
    </xf>
    <xf numFmtId="0" fontId="121" fillId="0" borderId="140" xfId="0" applyFont="1" applyBorder="1" applyAlignment="1">
      <alignment horizontal="center" vertical="center" wrapText="1"/>
    </xf>
    <xf numFmtId="0" fontId="105" fillId="0" borderId="67" xfId="0" applyFont="1" applyBorder="1" applyAlignment="1">
      <alignment horizontal="center" vertical="center"/>
    </xf>
    <xf numFmtId="0" fontId="105" fillId="0" borderId="68" xfId="0" applyFont="1" applyBorder="1" applyAlignment="1">
      <alignment horizontal="center" vertical="center"/>
    </xf>
    <xf numFmtId="0" fontId="105" fillId="0" borderId="69" xfId="0" applyFont="1" applyBorder="1" applyAlignment="1">
      <alignment horizontal="center" vertical="center"/>
    </xf>
    <xf numFmtId="0" fontId="106" fillId="0" borderId="96" xfId="0" applyFont="1" applyBorder="1" applyAlignment="1">
      <alignment horizontal="left" vertical="center" wrapText="1"/>
    </xf>
    <xf numFmtId="0" fontId="105" fillId="76" borderId="70" xfId="0" applyFont="1" applyFill="1" applyBorder="1" applyAlignment="1">
      <alignment horizontal="center" vertical="center" wrapText="1"/>
    </xf>
    <xf numFmtId="0" fontId="105" fillId="76" borderId="71" xfId="0" applyFont="1" applyFill="1" applyBorder="1" applyAlignment="1">
      <alignment horizontal="center" vertical="center" wrapText="1"/>
    </xf>
    <xf numFmtId="0" fontId="105" fillId="76" borderId="72" xfId="0" applyFont="1" applyFill="1" applyBorder="1" applyAlignment="1">
      <alignment horizontal="center" vertical="center" wrapText="1"/>
    </xf>
    <xf numFmtId="0" fontId="106" fillId="0" borderId="52"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97" xfId="0" applyFont="1" applyBorder="1" applyAlignment="1">
      <alignment horizontal="left" vertical="center" wrapText="1"/>
    </xf>
    <xf numFmtId="0" fontId="106" fillId="0" borderId="95" xfId="0" applyFont="1" applyBorder="1" applyAlignment="1">
      <alignment horizontal="left" vertical="center" wrapText="1"/>
    </xf>
    <xf numFmtId="0" fontId="106" fillId="3" borderId="97" xfId="0" applyFont="1" applyFill="1" applyBorder="1" applyAlignment="1">
      <alignment vertical="center" wrapText="1"/>
    </xf>
    <xf numFmtId="0" fontId="106" fillId="3" borderId="95" xfId="0" applyFont="1" applyFill="1" applyBorder="1" applyAlignment="1">
      <alignment vertical="center" wrapText="1"/>
    </xf>
    <xf numFmtId="0" fontId="126" fillId="3" borderId="97" xfId="0" applyFont="1" applyFill="1" applyBorder="1" applyAlignment="1">
      <alignment vertical="center" wrapText="1"/>
    </xf>
    <xf numFmtId="0" fontId="126" fillId="3" borderId="95" xfId="0" applyFont="1" applyFill="1" applyBorder="1" applyAlignment="1">
      <alignment vertical="center" wrapText="1"/>
    </xf>
    <xf numFmtId="0" fontId="106" fillId="0" borderId="97" xfId="0" applyFont="1" applyBorder="1" applyAlignment="1">
      <alignment horizontal="left"/>
    </xf>
    <xf numFmtId="0" fontId="106" fillId="0" borderId="95" xfId="0" applyFont="1" applyBorder="1" applyAlignment="1">
      <alignment horizontal="left"/>
    </xf>
    <xf numFmtId="0" fontId="106" fillId="82" borderId="97" xfId="0" applyFont="1" applyFill="1" applyBorder="1" applyAlignment="1">
      <alignment vertical="center" wrapText="1"/>
    </xf>
    <xf numFmtId="0" fontId="106" fillId="82" borderId="95" xfId="0" applyFont="1" applyFill="1" applyBorder="1" applyAlignment="1">
      <alignment vertical="center" wrapText="1"/>
    </xf>
    <xf numFmtId="0" fontId="106" fillId="82" borderId="134" xfId="0" applyFont="1" applyFill="1" applyBorder="1" applyAlignment="1">
      <alignment horizontal="left" vertical="center" wrapText="1"/>
    </xf>
    <xf numFmtId="0" fontId="106" fillId="82" borderId="135" xfId="0" applyFont="1" applyFill="1" applyBorder="1" applyAlignment="1">
      <alignment horizontal="left" vertical="center" wrapText="1"/>
    </xf>
    <xf numFmtId="0" fontId="106" fillId="82" borderId="136" xfId="0" applyFont="1" applyFill="1" applyBorder="1" applyAlignment="1">
      <alignment horizontal="left" vertical="center" wrapText="1"/>
    </xf>
    <xf numFmtId="0" fontId="106" fillId="3" borderId="74" xfId="0" applyFont="1" applyFill="1" applyBorder="1" applyAlignment="1">
      <alignment horizontal="left" vertical="center" wrapText="1"/>
    </xf>
    <xf numFmtId="0" fontId="106" fillId="3" borderId="75" xfId="0" applyFont="1" applyFill="1" applyBorder="1" applyAlignment="1">
      <alignment horizontal="left" vertical="center" wrapText="1"/>
    </xf>
    <xf numFmtId="0" fontId="106" fillId="82" borderId="77" xfId="0" applyFont="1" applyFill="1" applyBorder="1" applyAlignment="1">
      <alignment horizontal="left" vertical="center" wrapText="1"/>
    </xf>
    <xf numFmtId="0" fontId="106" fillId="82" borderId="78" xfId="0" applyFont="1" applyFill="1" applyBorder="1" applyAlignment="1">
      <alignment horizontal="left" vertical="center" wrapText="1"/>
    </xf>
    <xf numFmtId="0" fontId="106" fillId="82" borderId="52" xfId="0" applyFont="1" applyFill="1" applyBorder="1" applyAlignment="1">
      <alignment vertical="center" wrapText="1"/>
    </xf>
    <xf numFmtId="0" fontId="106" fillId="82" borderId="11" xfId="0" applyFont="1" applyFill="1" applyBorder="1" applyAlignment="1">
      <alignment vertical="center" wrapText="1"/>
    </xf>
    <xf numFmtId="0" fontId="106" fillId="0" borderId="74" xfId="0" applyFont="1" applyBorder="1" applyAlignment="1">
      <alignment horizontal="left" vertical="center" wrapText="1"/>
    </xf>
    <xf numFmtId="0" fontId="106" fillId="0" borderId="75" xfId="0" applyFont="1" applyBorder="1" applyAlignment="1">
      <alignment horizontal="left" vertical="center" wrapText="1"/>
    </xf>
    <xf numFmtId="0" fontId="106" fillId="3" borderId="97" xfId="0" applyFont="1" applyFill="1" applyBorder="1" applyAlignment="1">
      <alignment horizontal="left" vertical="center" wrapText="1"/>
    </xf>
    <xf numFmtId="0" fontId="106" fillId="3" borderId="95" xfId="0" applyFont="1" applyFill="1" applyBorder="1" applyAlignment="1">
      <alignment horizontal="left" vertical="center" wrapText="1"/>
    </xf>
    <xf numFmtId="0" fontId="105" fillId="76" borderId="79" xfId="0" applyFont="1" applyFill="1" applyBorder="1" applyAlignment="1">
      <alignment horizontal="center" vertical="center" wrapText="1"/>
    </xf>
    <xf numFmtId="0" fontId="105" fillId="76" borderId="0" xfId="0" applyFont="1" applyFill="1" applyAlignment="1">
      <alignment horizontal="center" vertical="center" wrapText="1"/>
    </xf>
    <xf numFmtId="0" fontId="105" fillId="76" borderId="80" xfId="0" applyFont="1" applyFill="1" applyBorder="1" applyAlignment="1">
      <alignment horizontal="center" vertical="center" wrapText="1"/>
    </xf>
    <xf numFmtId="0" fontId="106" fillId="77" borderId="97" xfId="0" applyFont="1" applyFill="1" applyBorder="1" applyAlignment="1">
      <alignment vertical="center" wrapText="1"/>
    </xf>
    <xf numFmtId="0" fontId="106" fillId="77" borderId="95" xfId="0" applyFont="1" applyFill="1" applyBorder="1" applyAlignment="1">
      <alignment vertical="center" wrapText="1"/>
    </xf>
    <xf numFmtId="0" fontId="106" fillId="0" borderId="97" xfId="0" applyFont="1" applyBorder="1" applyAlignment="1">
      <alignment vertical="center" wrapText="1"/>
    </xf>
    <xf numFmtId="0" fontId="106" fillId="0" borderId="95" xfId="0" applyFont="1" applyBorder="1" applyAlignment="1">
      <alignment vertical="center" wrapText="1"/>
    </xf>
    <xf numFmtId="0" fontId="105" fillId="76" borderId="84" xfId="0" applyFont="1" applyFill="1" applyBorder="1" applyAlignment="1">
      <alignment horizontal="center" vertical="center"/>
    </xf>
    <xf numFmtId="0" fontId="105" fillId="76" borderId="85" xfId="0" applyFont="1" applyFill="1" applyBorder="1" applyAlignment="1">
      <alignment horizontal="center" vertical="center"/>
    </xf>
    <xf numFmtId="0" fontId="105" fillId="76" borderId="86" xfId="0" applyFont="1" applyFill="1" applyBorder="1" applyAlignment="1">
      <alignment horizontal="center" vertical="center"/>
    </xf>
    <xf numFmtId="0" fontId="105" fillId="76" borderId="139" xfId="0" applyFont="1" applyFill="1" applyBorder="1" applyAlignment="1">
      <alignment horizontal="center" vertical="center" wrapText="1"/>
    </xf>
    <xf numFmtId="0" fontId="105" fillId="0" borderId="139" xfId="0" applyFont="1" applyBorder="1" applyAlignment="1">
      <alignment horizontal="center" vertical="center"/>
    </xf>
    <xf numFmtId="0" fontId="106" fillId="0" borderId="142" xfId="13" applyFont="1" applyBorder="1" applyAlignment="1" applyProtection="1">
      <alignment horizontal="left" vertical="top" wrapText="1"/>
      <protection locked="0"/>
    </xf>
    <xf numFmtId="0" fontId="106" fillId="0" borderId="141" xfId="13" applyFont="1" applyBorder="1" applyAlignment="1" applyProtection="1">
      <alignment horizontal="left" vertical="top" wrapText="1"/>
      <protection locked="0"/>
    </xf>
    <xf numFmtId="0" fontId="106" fillId="3" borderId="142" xfId="13" applyFont="1" applyFill="1" applyBorder="1" applyAlignment="1" applyProtection="1">
      <alignment horizontal="left" vertical="top" wrapText="1"/>
      <protection locked="0"/>
    </xf>
    <xf numFmtId="0" fontId="106" fillId="3" borderId="141" xfId="13" applyFont="1" applyFill="1" applyBorder="1" applyAlignment="1" applyProtection="1">
      <alignment horizontal="left" vertical="top" wrapText="1"/>
      <protection locked="0"/>
    </xf>
    <xf numFmtId="0" fontId="105" fillId="0" borderId="82" xfId="0" applyFont="1" applyBorder="1" applyAlignment="1">
      <alignment horizontal="center" vertical="center"/>
    </xf>
    <xf numFmtId="49" fontId="106" fillId="0" borderId="0" xfId="0" applyNumberFormat="1" applyFont="1" applyAlignment="1">
      <alignment horizontal="center" vertical="center"/>
    </xf>
    <xf numFmtId="0" fontId="105" fillId="76" borderId="142" xfId="0" applyFont="1" applyFill="1" applyBorder="1" applyAlignment="1">
      <alignment horizontal="center" vertical="center" wrapText="1"/>
    </xf>
    <xf numFmtId="0" fontId="105" fillId="76" borderId="141" xfId="0" applyFont="1" applyFill="1" applyBorder="1" applyAlignment="1">
      <alignment horizontal="center" vertical="center" wrapText="1"/>
    </xf>
    <xf numFmtId="0" fontId="106" fillId="0" borderId="142" xfId="0" applyFont="1" applyBorder="1" applyAlignment="1">
      <alignment horizontal="left" vertical="center" wrapText="1"/>
    </xf>
    <xf numFmtId="0" fontId="106" fillId="0" borderId="141" xfId="0" applyFont="1" applyBorder="1" applyAlignment="1">
      <alignment horizontal="left" vertical="center" wrapText="1"/>
    </xf>
    <xf numFmtId="0" fontId="106" fillId="0" borderId="139" xfId="0" applyFont="1" applyBorder="1" applyAlignment="1">
      <alignment horizontal="left" vertical="top" wrapText="1"/>
    </xf>
    <xf numFmtId="0" fontId="106" fillId="0" borderId="142" xfId="0" applyFont="1" applyBorder="1" applyAlignment="1">
      <alignment horizontal="left" vertical="top" wrapText="1"/>
    </xf>
    <xf numFmtId="0" fontId="106" fillId="0" borderId="139" xfId="0" applyFont="1" applyBorder="1" applyAlignment="1">
      <alignment horizontal="left" vertical="center" wrapText="1"/>
    </xf>
    <xf numFmtId="0" fontId="106" fillId="0" borderId="139" xfId="0" applyFont="1" applyBorder="1" applyAlignment="1">
      <alignment horizontal="center"/>
    </xf>
    <xf numFmtId="0" fontId="106" fillId="0" borderId="141" xfId="0" applyFont="1" applyBorder="1" applyAlignment="1">
      <alignment horizontal="left" vertical="top" wrapText="1"/>
    </xf>
  </cellXfs>
  <cellStyles count="23189">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22309" xr:uid="{E3606269-B3C5-46CF-8016-8BA651D78AA3}"/>
    <cellStyle name="Calculation 2 10 2 3" xfId="21416" xr:uid="{7B26672E-CE9D-4A13-AFBD-259C483426B4}"/>
    <cellStyle name="Calculation 2 10 2 4" xfId="22401" xr:uid="{A46549D3-965D-4AB5-ABC5-E1428A95D337}"/>
    <cellStyle name="Calculation 2 10 2 5" xfId="22756" xr:uid="{63D18D29-DEB8-445C-A35E-8D2015725EF6}"/>
    <cellStyle name="Calculation 2 10 3" xfId="724" xr:uid="{00000000-0005-0000-0000-0000C4020000}"/>
    <cellStyle name="Calculation 2 10 3 2" xfId="21407" xr:uid="{00000000-0005-0000-0000-0000C5020000}"/>
    <cellStyle name="Calculation 2 10 3 2 2" xfId="22308" xr:uid="{3FA3A2A4-1188-47D9-A0F8-5C7CCB7CC8CD}"/>
    <cellStyle name="Calculation 2 10 3 3" xfId="21417" xr:uid="{6654F0CD-796B-43E0-8401-2277FCDF657E}"/>
    <cellStyle name="Calculation 2 10 3 4" xfId="22402" xr:uid="{CA75FD8F-7085-489A-BC11-A9D53E7A2AF5}"/>
    <cellStyle name="Calculation 2 10 3 5" xfId="22755" xr:uid="{F0866C2D-FEE9-4F48-820F-BBF6DF47C0BE}"/>
    <cellStyle name="Calculation 2 10 4" xfId="725" xr:uid="{00000000-0005-0000-0000-0000C6020000}"/>
    <cellStyle name="Calculation 2 10 4 2" xfId="21406" xr:uid="{00000000-0005-0000-0000-0000C7020000}"/>
    <cellStyle name="Calculation 2 10 4 2 2" xfId="22307" xr:uid="{E9F0F3C5-51BB-4670-9D13-E61E91EEF075}"/>
    <cellStyle name="Calculation 2 10 4 3" xfId="21418" xr:uid="{03DF5BD1-C1E5-4FED-974B-82185F336D78}"/>
    <cellStyle name="Calculation 2 10 4 4" xfId="22403" xr:uid="{91CD0BE1-5A0B-4976-9333-2B3253DABEA7}"/>
    <cellStyle name="Calculation 2 10 4 5" xfId="22754" xr:uid="{87D88620-5EF4-4D0B-889D-BDD3260FBACA}"/>
    <cellStyle name="Calculation 2 10 5" xfId="726" xr:uid="{00000000-0005-0000-0000-0000C8020000}"/>
    <cellStyle name="Calculation 2 10 5 2" xfId="21405" xr:uid="{00000000-0005-0000-0000-0000C9020000}"/>
    <cellStyle name="Calculation 2 10 5 2 2" xfId="22306" xr:uid="{9BC73E42-BCBA-4294-B1F0-CF5172C5E209}"/>
    <cellStyle name="Calculation 2 10 5 3" xfId="21419" xr:uid="{31A73B93-6005-4FC0-8452-C90F5D806EB0}"/>
    <cellStyle name="Calculation 2 10 5 4" xfId="22404" xr:uid="{EB64C17B-8311-4040-91C3-C3BCD03773C1}"/>
    <cellStyle name="Calculation 2 10 5 5" xfId="22753" xr:uid="{90D4DBA1-2871-4D36-878E-9CCDD25B9C6C}"/>
    <cellStyle name="Calculation 2 11" xfId="727" xr:uid="{00000000-0005-0000-0000-0000CA020000}"/>
    <cellStyle name="Calculation 2 11 2" xfId="728" xr:uid="{00000000-0005-0000-0000-0000CB020000}"/>
    <cellStyle name="Calculation 2 11 2 2" xfId="21403" xr:uid="{00000000-0005-0000-0000-0000CC020000}"/>
    <cellStyle name="Calculation 2 11 2 2 2" xfId="22304" xr:uid="{B888927E-C0B5-4817-B319-608DD5A6F141}"/>
    <cellStyle name="Calculation 2 11 2 3" xfId="21421" xr:uid="{6E3B1553-3C1D-46CF-93C0-B4F776B634E5}"/>
    <cellStyle name="Calculation 2 11 2 4" xfId="22406" xr:uid="{80BF5A2D-6140-4EF7-9039-F2759BEEB9EB}"/>
    <cellStyle name="Calculation 2 11 2 5" xfId="22751" xr:uid="{724616D4-CF13-4C21-B364-9DC790DDC483}"/>
    <cellStyle name="Calculation 2 11 3" xfId="729" xr:uid="{00000000-0005-0000-0000-0000CD020000}"/>
    <cellStyle name="Calculation 2 11 3 2" xfId="21402" xr:uid="{00000000-0005-0000-0000-0000CE020000}"/>
    <cellStyle name="Calculation 2 11 3 2 2" xfId="22303" xr:uid="{DBE3618B-F9C3-487D-B0CE-A9DA82EE3970}"/>
    <cellStyle name="Calculation 2 11 3 3" xfId="21422" xr:uid="{7DAB53E3-AB61-4D6C-B1A7-3C95A540C153}"/>
    <cellStyle name="Calculation 2 11 3 4" xfId="22407" xr:uid="{EAEE493E-D2D7-44C1-882C-F7697A790310}"/>
    <cellStyle name="Calculation 2 11 3 5" xfId="22750" xr:uid="{46B52D6A-9BC6-4BBA-93D5-079B997761E3}"/>
    <cellStyle name="Calculation 2 11 4" xfId="730" xr:uid="{00000000-0005-0000-0000-0000CF020000}"/>
    <cellStyle name="Calculation 2 11 4 2" xfId="21401" xr:uid="{00000000-0005-0000-0000-0000D0020000}"/>
    <cellStyle name="Calculation 2 11 4 2 2" xfId="22302" xr:uid="{5A403638-7B55-441A-9C63-EC4FC53CD50A}"/>
    <cellStyle name="Calculation 2 11 4 3" xfId="21423" xr:uid="{78777EFB-BEDE-4448-8D9C-38F72B23F0B3}"/>
    <cellStyle name="Calculation 2 11 4 4" xfId="22408" xr:uid="{30223FE9-5449-430C-B9AE-FD18A09A945F}"/>
    <cellStyle name="Calculation 2 11 4 5" xfId="22749" xr:uid="{BC8C33CF-115A-4143-BC7B-394174287839}"/>
    <cellStyle name="Calculation 2 11 5" xfId="731" xr:uid="{00000000-0005-0000-0000-0000D1020000}"/>
    <cellStyle name="Calculation 2 11 5 2" xfId="21400" xr:uid="{00000000-0005-0000-0000-0000D2020000}"/>
    <cellStyle name="Calculation 2 11 5 2 2" xfId="22301" xr:uid="{102DE83E-DC8D-42D9-AD49-900A242BA76C}"/>
    <cellStyle name="Calculation 2 11 5 3" xfId="21424" xr:uid="{7425D86D-B8AF-436B-8FF6-AD3CEB27EF1F}"/>
    <cellStyle name="Calculation 2 11 5 4" xfId="22409" xr:uid="{DEAE3215-7407-4BB0-9DE0-F9D78C7E9CEC}"/>
    <cellStyle name="Calculation 2 11 5 5" xfId="22748" xr:uid="{B2459870-9E78-4377-9D5B-5DB81BAAB60B}"/>
    <cellStyle name="Calculation 2 11 6" xfId="21404" xr:uid="{00000000-0005-0000-0000-0000D3020000}"/>
    <cellStyle name="Calculation 2 11 6 2" xfId="22305" xr:uid="{9819A622-8507-4F45-AF8F-8E28B0B48373}"/>
    <cellStyle name="Calculation 2 11 7" xfId="21420" xr:uid="{ED8BCB48-B4BA-43B5-9507-0D06B5A16CFD}"/>
    <cellStyle name="Calculation 2 11 8" xfId="22405" xr:uid="{8BB09D2A-2D2A-48F2-B8C4-8CF2BFCFEFF0}"/>
    <cellStyle name="Calculation 2 11 9" xfId="22752" xr:uid="{17BCF5F5-41DD-400E-B0E5-8076D634E83D}"/>
    <cellStyle name="Calculation 2 12" xfId="732" xr:uid="{00000000-0005-0000-0000-0000D4020000}"/>
    <cellStyle name="Calculation 2 12 2" xfId="733" xr:uid="{00000000-0005-0000-0000-0000D5020000}"/>
    <cellStyle name="Calculation 2 12 2 2" xfId="21398" xr:uid="{00000000-0005-0000-0000-0000D6020000}"/>
    <cellStyle name="Calculation 2 12 2 2 2" xfId="22299" xr:uid="{7D9C53B1-8ECF-48D9-A9C8-9C810D0E4239}"/>
    <cellStyle name="Calculation 2 12 2 3" xfId="21426" xr:uid="{D1A96A36-5764-4B2B-AECB-75BB6B6A3AA8}"/>
    <cellStyle name="Calculation 2 12 2 4" xfId="22411" xr:uid="{A9CFB9C1-4891-4F6E-8BB1-AF4FA9D7E3B5}"/>
    <cellStyle name="Calculation 2 12 2 5" xfId="22746" xr:uid="{68712EEE-2F56-46E2-8BEE-3106A29FD4FF}"/>
    <cellStyle name="Calculation 2 12 3" xfId="734" xr:uid="{00000000-0005-0000-0000-0000D7020000}"/>
    <cellStyle name="Calculation 2 12 3 2" xfId="21397" xr:uid="{00000000-0005-0000-0000-0000D8020000}"/>
    <cellStyle name="Calculation 2 12 3 2 2" xfId="22298" xr:uid="{2B5BB327-2C92-44B6-AFAF-EB07038C65F2}"/>
    <cellStyle name="Calculation 2 12 3 3" xfId="21427" xr:uid="{8775DF24-793C-4DEE-B6E7-904D426C5299}"/>
    <cellStyle name="Calculation 2 12 3 4" xfId="22412" xr:uid="{52AA9212-DE5C-45D0-B39B-6C4AA52A9AA5}"/>
    <cellStyle name="Calculation 2 12 3 5" xfId="22745" xr:uid="{0C84DFC7-4858-4074-8F98-C5AF36591E98}"/>
    <cellStyle name="Calculation 2 12 4" xfId="735" xr:uid="{00000000-0005-0000-0000-0000D9020000}"/>
    <cellStyle name="Calculation 2 12 4 2" xfId="21396" xr:uid="{00000000-0005-0000-0000-0000DA020000}"/>
    <cellStyle name="Calculation 2 12 4 2 2" xfId="22297" xr:uid="{DEA07639-6AE6-4C2D-81F0-F4A70C06B294}"/>
    <cellStyle name="Calculation 2 12 4 3" xfId="21428" xr:uid="{F84F838F-45DB-48DC-B4B0-7F890EEDD667}"/>
    <cellStyle name="Calculation 2 12 4 4" xfId="22413" xr:uid="{D8B9A3D0-2F07-4DC9-865B-34770DED2917}"/>
    <cellStyle name="Calculation 2 12 4 5" xfId="22744" xr:uid="{8A809A08-F172-4379-913C-0A62B5F6968A}"/>
    <cellStyle name="Calculation 2 12 5" xfId="736" xr:uid="{00000000-0005-0000-0000-0000DB020000}"/>
    <cellStyle name="Calculation 2 12 5 2" xfId="21395" xr:uid="{00000000-0005-0000-0000-0000DC020000}"/>
    <cellStyle name="Calculation 2 12 5 2 2" xfId="22296" xr:uid="{ADA02512-46C0-4D96-8C75-4FE3A71F7319}"/>
    <cellStyle name="Calculation 2 12 5 3" xfId="21429" xr:uid="{458117B7-EA7F-43F2-A7A3-B1C9456525C9}"/>
    <cellStyle name="Calculation 2 12 5 4" xfId="22414" xr:uid="{5F33AA6D-20A8-4DFC-9F36-7FB277080E7B}"/>
    <cellStyle name="Calculation 2 12 5 5" xfId="22743" xr:uid="{C7A83046-E2FE-47BE-9429-E5F41DFEAF0A}"/>
    <cellStyle name="Calculation 2 12 6" xfId="21399" xr:uid="{00000000-0005-0000-0000-0000DD020000}"/>
    <cellStyle name="Calculation 2 12 6 2" xfId="22300" xr:uid="{068CC251-0FEA-40CE-BACB-BF51F3A9066A}"/>
    <cellStyle name="Calculation 2 12 7" xfId="21425" xr:uid="{E6EA93F3-1A67-496C-B121-17515C52BF6A}"/>
    <cellStyle name="Calculation 2 12 8" xfId="22410" xr:uid="{4B5FB3AE-7AD0-4653-B603-ABBA8348551D}"/>
    <cellStyle name="Calculation 2 12 9" xfId="22747" xr:uid="{5CDD410D-2133-4DE9-9EA3-D9A56E24542C}"/>
    <cellStyle name="Calculation 2 13" xfId="737" xr:uid="{00000000-0005-0000-0000-0000DE020000}"/>
    <cellStyle name="Calculation 2 13 2" xfId="738" xr:uid="{00000000-0005-0000-0000-0000DF020000}"/>
    <cellStyle name="Calculation 2 13 2 2" xfId="21393" xr:uid="{00000000-0005-0000-0000-0000E0020000}"/>
    <cellStyle name="Calculation 2 13 2 2 2" xfId="22294" xr:uid="{F0E6A7A4-EB42-45F0-B008-42C988C79953}"/>
    <cellStyle name="Calculation 2 13 2 3" xfId="21431" xr:uid="{88BFD41F-7CCD-4CB0-A614-4F74602A2AB0}"/>
    <cellStyle name="Calculation 2 13 2 4" xfId="22416" xr:uid="{D8CD4C66-02A7-4809-83D9-FEFDF57E6400}"/>
    <cellStyle name="Calculation 2 13 2 5" xfId="22741" xr:uid="{1669BCC9-DD26-4307-AE04-AAC2C21D6995}"/>
    <cellStyle name="Calculation 2 13 3" xfId="739" xr:uid="{00000000-0005-0000-0000-0000E1020000}"/>
    <cellStyle name="Calculation 2 13 3 2" xfId="21392" xr:uid="{00000000-0005-0000-0000-0000E2020000}"/>
    <cellStyle name="Calculation 2 13 3 2 2" xfId="22293" xr:uid="{D426697B-118F-46AD-8D83-3C644E339D5A}"/>
    <cellStyle name="Calculation 2 13 3 3" xfId="21432" xr:uid="{ED7C5724-686A-453C-BF77-366D7328E520}"/>
    <cellStyle name="Calculation 2 13 3 4" xfId="22417" xr:uid="{099EDD06-5278-4889-BEFF-F876676242D4}"/>
    <cellStyle name="Calculation 2 13 3 5" xfId="22740" xr:uid="{BE7D959A-B077-4C69-9AB6-BC07494132B1}"/>
    <cellStyle name="Calculation 2 13 4" xfId="740" xr:uid="{00000000-0005-0000-0000-0000E3020000}"/>
    <cellStyle name="Calculation 2 13 4 2" xfId="21391" xr:uid="{00000000-0005-0000-0000-0000E4020000}"/>
    <cellStyle name="Calculation 2 13 4 2 2" xfId="22292" xr:uid="{68886006-310A-4795-A45F-DCB9D4DC3831}"/>
    <cellStyle name="Calculation 2 13 4 3" xfId="21433" xr:uid="{EFC90BBA-3AD5-4896-8B44-ECD0DAEA302A}"/>
    <cellStyle name="Calculation 2 13 4 4" xfId="22418" xr:uid="{C5F1F044-FC55-4209-80CE-A87F9A9B4B9F}"/>
    <cellStyle name="Calculation 2 13 4 5" xfId="22739" xr:uid="{1CC2CB0F-8924-4F72-BD55-54C2F0D66A78}"/>
    <cellStyle name="Calculation 2 13 5" xfId="21394" xr:uid="{00000000-0005-0000-0000-0000E5020000}"/>
    <cellStyle name="Calculation 2 13 5 2" xfId="22295" xr:uid="{8F1D2FED-8705-4110-8295-8850DE2A75EB}"/>
    <cellStyle name="Calculation 2 13 6" xfId="21430" xr:uid="{8FF41717-217A-4EAC-AA90-6095FEDA5C87}"/>
    <cellStyle name="Calculation 2 13 7" xfId="22415" xr:uid="{300F4D90-DBEA-401F-B237-0B305D7D1691}"/>
    <cellStyle name="Calculation 2 13 8" xfId="22742" xr:uid="{78E1F3B3-DE08-4855-BBC4-C4FC723246FA}"/>
    <cellStyle name="Calculation 2 14" xfId="741" xr:uid="{00000000-0005-0000-0000-0000E6020000}"/>
    <cellStyle name="Calculation 2 14 2" xfId="21390" xr:uid="{00000000-0005-0000-0000-0000E7020000}"/>
    <cellStyle name="Calculation 2 14 2 2" xfId="22291" xr:uid="{E8F05325-D356-4A87-B66A-3D7E06C322F3}"/>
    <cellStyle name="Calculation 2 14 3" xfId="21434" xr:uid="{D8CFB8DA-17B7-4408-BDBF-44BB414BE2BF}"/>
    <cellStyle name="Calculation 2 14 4" xfId="22419" xr:uid="{8F7D7162-C10E-4960-909B-5A5E83AE3A1B}"/>
    <cellStyle name="Calculation 2 14 5" xfId="22738" xr:uid="{676C0536-22C9-4EDA-98E3-31C5C26C8B8F}"/>
    <cellStyle name="Calculation 2 15" xfId="742" xr:uid="{00000000-0005-0000-0000-0000E8020000}"/>
    <cellStyle name="Calculation 2 15 2" xfId="21389" xr:uid="{00000000-0005-0000-0000-0000E9020000}"/>
    <cellStyle name="Calculation 2 15 2 2" xfId="22290" xr:uid="{961341AF-38CC-4083-B1EA-DAD2383CB7FB}"/>
    <cellStyle name="Calculation 2 15 3" xfId="21435" xr:uid="{06CFA323-EF22-4297-9B31-50928B5BA216}"/>
    <cellStyle name="Calculation 2 15 4" xfId="22420" xr:uid="{3CA66E50-3239-4821-8C8A-163F3F450235}"/>
    <cellStyle name="Calculation 2 15 5" xfId="22737" xr:uid="{3D375309-F490-4CDB-AD75-BE3CD1AA3CD3}"/>
    <cellStyle name="Calculation 2 16" xfId="743" xr:uid="{00000000-0005-0000-0000-0000EA020000}"/>
    <cellStyle name="Calculation 2 16 2" xfId="21388" xr:uid="{00000000-0005-0000-0000-0000EB020000}"/>
    <cellStyle name="Calculation 2 16 2 2" xfId="22289" xr:uid="{EA677077-0FB0-45D4-8D26-EE52507FE6DF}"/>
    <cellStyle name="Calculation 2 16 3" xfId="21436" xr:uid="{8542682A-13D1-42BD-9E4A-765032888AA7}"/>
    <cellStyle name="Calculation 2 16 4" xfId="22421" xr:uid="{9CBCB642-7DB5-4FB9-AFDB-C897878CA0B7}"/>
    <cellStyle name="Calculation 2 16 5" xfId="22736" xr:uid="{6189B0F6-F786-45F5-A209-64EC6D80DCDA}"/>
    <cellStyle name="Calculation 2 17" xfId="21409" xr:uid="{00000000-0005-0000-0000-0000EC020000}"/>
    <cellStyle name="Calculation 2 17 2" xfId="22310" xr:uid="{7FD9BF31-8303-4A3E-B05D-F0F1D5C261E9}"/>
    <cellStyle name="Calculation 2 18" xfId="21415" xr:uid="{E90C4D30-46E9-40DA-883B-6CE9A24C24DC}"/>
    <cellStyle name="Calculation 2 19" xfId="22400" xr:uid="{6C545AB0-E775-485D-B64D-B51A7CBD5B1D}"/>
    <cellStyle name="Calculation 2 2" xfId="744" xr:uid="{00000000-0005-0000-0000-0000ED020000}"/>
    <cellStyle name="Calculation 2 2 10" xfId="21387" xr:uid="{00000000-0005-0000-0000-0000EE020000}"/>
    <cellStyle name="Calculation 2 2 10 2" xfId="22288" xr:uid="{106EC12A-8F6D-4625-B372-E9E612E3986D}"/>
    <cellStyle name="Calculation 2 2 11" xfId="21437" xr:uid="{81DDCEF1-210D-4B76-8403-1EF4C021EC77}"/>
    <cellStyle name="Calculation 2 2 12" xfId="22422" xr:uid="{D247E1BD-344C-4548-BD5B-9FAAD15CE39D}"/>
    <cellStyle name="Calculation 2 2 13" xfId="22735" xr:uid="{D959309C-20CE-416A-977C-F5E053DC8E61}"/>
    <cellStyle name="Calculation 2 2 2" xfId="745" xr:uid="{00000000-0005-0000-0000-0000EF020000}"/>
    <cellStyle name="Calculation 2 2 2 2" xfId="746" xr:uid="{00000000-0005-0000-0000-0000F0020000}"/>
    <cellStyle name="Calculation 2 2 2 2 2" xfId="21385" xr:uid="{00000000-0005-0000-0000-0000F1020000}"/>
    <cellStyle name="Calculation 2 2 2 2 2 2" xfId="22286" xr:uid="{DB0CAE2C-1EEE-4A8B-A680-643C61C5FC11}"/>
    <cellStyle name="Calculation 2 2 2 2 3" xfId="21439" xr:uid="{8529EF8E-99EF-4CF0-B58D-9CD0EA8BC8F1}"/>
    <cellStyle name="Calculation 2 2 2 2 4" xfId="22424" xr:uid="{37FD04E3-B552-4A8C-94DF-3E029AD4583D}"/>
    <cellStyle name="Calculation 2 2 2 2 5" xfId="22733" xr:uid="{8AEBFB04-40F1-464B-B2A5-9930BE81FA88}"/>
    <cellStyle name="Calculation 2 2 2 3" xfId="747" xr:uid="{00000000-0005-0000-0000-0000F2020000}"/>
    <cellStyle name="Calculation 2 2 2 3 2" xfId="21384" xr:uid="{00000000-0005-0000-0000-0000F3020000}"/>
    <cellStyle name="Calculation 2 2 2 3 2 2" xfId="22285" xr:uid="{43A86694-6EAE-4846-89B9-17E9728535A8}"/>
    <cellStyle name="Calculation 2 2 2 3 3" xfId="21440" xr:uid="{B395F9D7-A4BF-4EBF-ADEC-9E2B40FD19CC}"/>
    <cellStyle name="Calculation 2 2 2 3 4" xfId="22425" xr:uid="{AA54FC60-FE3F-43A4-A8DD-5EA2A3EC99EC}"/>
    <cellStyle name="Calculation 2 2 2 3 5" xfId="22732" xr:uid="{CD49D196-04DB-475A-AC08-38D15033D02D}"/>
    <cellStyle name="Calculation 2 2 2 4" xfId="748" xr:uid="{00000000-0005-0000-0000-0000F4020000}"/>
    <cellStyle name="Calculation 2 2 2 4 2" xfId="21383" xr:uid="{00000000-0005-0000-0000-0000F5020000}"/>
    <cellStyle name="Calculation 2 2 2 4 2 2" xfId="22284" xr:uid="{FF8AD09D-01F6-471B-888C-BFF3ADF9B46B}"/>
    <cellStyle name="Calculation 2 2 2 4 3" xfId="21441" xr:uid="{98228136-F617-4A2B-9383-BE2C27900230}"/>
    <cellStyle name="Calculation 2 2 2 4 4" xfId="22426" xr:uid="{7C3C9204-DB74-40A4-980B-B253E895C9A4}"/>
    <cellStyle name="Calculation 2 2 2 4 5" xfId="22731" xr:uid="{1840C365-A487-4C97-9E41-D260A5A3BD5F}"/>
    <cellStyle name="Calculation 2 2 2 5" xfId="21386" xr:uid="{00000000-0005-0000-0000-0000F6020000}"/>
    <cellStyle name="Calculation 2 2 2 5 2" xfId="22287" xr:uid="{9347A545-CD6E-43D6-A232-A995B3D1E955}"/>
    <cellStyle name="Calculation 2 2 2 6" xfId="21438" xr:uid="{C7D86F8B-5DB9-4D5C-AF58-0876EE75FE0D}"/>
    <cellStyle name="Calculation 2 2 2 7" xfId="22423" xr:uid="{5EAE70A8-898C-4EE4-811E-6EB67CB4B278}"/>
    <cellStyle name="Calculation 2 2 2 8" xfId="22734" xr:uid="{18AE81EA-AE4B-498F-BCFC-0B5093AEA51A}"/>
    <cellStyle name="Calculation 2 2 3" xfId="749" xr:uid="{00000000-0005-0000-0000-0000F7020000}"/>
    <cellStyle name="Calculation 2 2 3 2" xfId="750" xr:uid="{00000000-0005-0000-0000-0000F8020000}"/>
    <cellStyle name="Calculation 2 2 3 2 2" xfId="21381" xr:uid="{00000000-0005-0000-0000-0000F9020000}"/>
    <cellStyle name="Calculation 2 2 3 2 2 2" xfId="22282" xr:uid="{4B18EE83-A408-4AEC-8600-2F0710A5FC1A}"/>
    <cellStyle name="Calculation 2 2 3 2 3" xfId="21443" xr:uid="{F38C98F7-CAA4-425A-9AEA-1FB9BC3A7438}"/>
    <cellStyle name="Calculation 2 2 3 2 4" xfId="22428" xr:uid="{0473C019-D8A5-4560-A0AB-B938A1698F00}"/>
    <cellStyle name="Calculation 2 2 3 2 5" xfId="22729" xr:uid="{8DD78936-AA79-4EB4-9155-7AE5CF45D4F0}"/>
    <cellStyle name="Calculation 2 2 3 3" xfId="751" xr:uid="{00000000-0005-0000-0000-0000FA020000}"/>
    <cellStyle name="Calculation 2 2 3 3 2" xfId="21380" xr:uid="{00000000-0005-0000-0000-0000FB020000}"/>
    <cellStyle name="Calculation 2 2 3 3 2 2" xfId="22281" xr:uid="{AEBFCD10-0031-4F1D-A7D7-B25F3D2C610D}"/>
    <cellStyle name="Calculation 2 2 3 3 3" xfId="21444" xr:uid="{3312CC84-D437-4231-9364-F66414BE1A37}"/>
    <cellStyle name="Calculation 2 2 3 3 4" xfId="22429" xr:uid="{B66B8EC6-D012-412D-A213-6F25D7D665BE}"/>
    <cellStyle name="Calculation 2 2 3 3 5" xfId="22728" xr:uid="{47F2DAF6-180A-44EE-947E-CA0DC8587CB1}"/>
    <cellStyle name="Calculation 2 2 3 4" xfId="752" xr:uid="{00000000-0005-0000-0000-0000FC020000}"/>
    <cellStyle name="Calculation 2 2 3 4 2" xfId="21379" xr:uid="{00000000-0005-0000-0000-0000FD020000}"/>
    <cellStyle name="Calculation 2 2 3 4 2 2" xfId="22280" xr:uid="{804BD534-AF1F-4432-8D8A-485C26E2B170}"/>
    <cellStyle name="Calculation 2 2 3 4 3" xfId="21445" xr:uid="{0102C592-7D40-4080-9534-7B2AB56A1483}"/>
    <cellStyle name="Calculation 2 2 3 4 4" xfId="22430" xr:uid="{9606588E-49A9-4DEB-96FE-83D52E40C225}"/>
    <cellStyle name="Calculation 2 2 3 4 5" xfId="22727" xr:uid="{B5BF8F65-295A-49D3-B036-A1C9612F7712}"/>
    <cellStyle name="Calculation 2 2 3 5" xfId="21382" xr:uid="{00000000-0005-0000-0000-0000FE020000}"/>
    <cellStyle name="Calculation 2 2 3 5 2" xfId="22283" xr:uid="{2BA9090E-8759-40AC-BDBE-DC0708D1589B}"/>
    <cellStyle name="Calculation 2 2 3 6" xfId="21442" xr:uid="{5262F2D5-E19C-42FE-AF7A-EB375FC2A06C}"/>
    <cellStyle name="Calculation 2 2 3 7" xfId="22427" xr:uid="{90352C2B-C77B-4C9B-B129-920855442C8A}"/>
    <cellStyle name="Calculation 2 2 3 8" xfId="22730" xr:uid="{925D0E02-F6B0-4810-BF8C-699825688E7A}"/>
    <cellStyle name="Calculation 2 2 4" xfId="753" xr:uid="{00000000-0005-0000-0000-0000FF020000}"/>
    <cellStyle name="Calculation 2 2 4 2" xfId="754" xr:uid="{00000000-0005-0000-0000-000000030000}"/>
    <cellStyle name="Calculation 2 2 4 2 2" xfId="21377" xr:uid="{00000000-0005-0000-0000-000001030000}"/>
    <cellStyle name="Calculation 2 2 4 2 2 2" xfId="22278" xr:uid="{D55E2D97-87AF-4CB1-9CFB-BF01103BABBF}"/>
    <cellStyle name="Calculation 2 2 4 2 3" xfId="21447" xr:uid="{C596CABF-DCD9-4618-A6A7-84A49F73AD7E}"/>
    <cellStyle name="Calculation 2 2 4 2 4" xfId="22432" xr:uid="{5A9B5311-8BB7-48D8-AA09-42F48C487ED7}"/>
    <cellStyle name="Calculation 2 2 4 2 5" xfId="22725" xr:uid="{003EB4C5-F624-45BA-8485-C28BAC356750}"/>
    <cellStyle name="Calculation 2 2 4 3" xfId="755" xr:uid="{00000000-0005-0000-0000-000002030000}"/>
    <cellStyle name="Calculation 2 2 4 3 2" xfId="21376" xr:uid="{00000000-0005-0000-0000-000003030000}"/>
    <cellStyle name="Calculation 2 2 4 3 2 2" xfId="22277" xr:uid="{357F0DCD-93EE-4655-B9F2-D7DD936D11A0}"/>
    <cellStyle name="Calculation 2 2 4 3 3" xfId="21448" xr:uid="{F9B2EDD2-90C0-4386-B854-F46CC2424385}"/>
    <cellStyle name="Calculation 2 2 4 3 4" xfId="22433" xr:uid="{B5EF1312-B00B-402D-9F44-6B36E8821B92}"/>
    <cellStyle name="Calculation 2 2 4 3 5" xfId="22724" xr:uid="{E2A8D270-7243-42CE-8B9A-31ED37EFC56F}"/>
    <cellStyle name="Calculation 2 2 4 4" xfId="756" xr:uid="{00000000-0005-0000-0000-000004030000}"/>
    <cellStyle name="Calculation 2 2 4 4 2" xfId="21375" xr:uid="{00000000-0005-0000-0000-000005030000}"/>
    <cellStyle name="Calculation 2 2 4 4 2 2" xfId="22276" xr:uid="{66C9F22F-1E3D-4712-B6A2-560F3407AD3B}"/>
    <cellStyle name="Calculation 2 2 4 4 3" xfId="21449" xr:uid="{1694CADC-A83C-4304-B88A-3CE7EF951647}"/>
    <cellStyle name="Calculation 2 2 4 4 4" xfId="22434" xr:uid="{5CF0E2D1-BC82-449C-A0BE-83A64D6ABD91}"/>
    <cellStyle name="Calculation 2 2 4 4 5" xfId="22723" xr:uid="{4788C903-2D04-4314-A741-B534C1E26B70}"/>
    <cellStyle name="Calculation 2 2 4 5" xfId="21378" xr:uid="{00000000-0005-0000-0000-000006030000}"/>
    <cellStyle name="Calculation 2 2 4 5 2" xfId="22279" xr:uid="{42AD2429-4AF5-4AEB-8E18-DB4AA384F3CC}"/>
    <cellStyle name="Calculation 2 2 4 6" xfId="21446" xr:uid="{5EE93455-C717-47A3-B4F8-C48BEF11127D}"/>
    <cellStyle name="Calculation 2 2 4 7" xfId="22431" xr:uid="{612C83EF-32CA-4199-A77B-440BB4B06BB3}"/>
    <cellStyle name="Calculation 2 2 4 8" xfId="22726" xr:uid="{6DB6E1CD-35AA-4B69-AC60-58160F107F6C}"/>
    <cellStyle name="Calculation 2 2 5" xfId="757" xr:uid="{00000000-0005-0000-0000-000007030000}"/>
    <cellStyle name="Calculation 2 2 5 2" xfId="758" xr:uid="{00000000-0005-0000-0000-000008030000}"/>
    <cellStyle name="Calculation 2 2 5 2 2" xfId="21373" xr:uid="{00000000-0005-0000-0000-000009030000}"/>
    <cellStyle name="Calculation 2 2 5 2 2 2" xfId="22274" xr:uid="{08D697E4-750D-4985-B41A-03B49B0373A1}"/>
    <cellStyle name="Calculation 2 2 5 2 3" xfId="21451" xr:uid="{1C6A97B1-ECC5-49E8-BD43-19B4832B1BFB}"/>
    <cellStyle name="Calculation 2 2 5 2 4" xfId="22436" xr:uid="{DAE3A32A-5082-4AC6-B86B-53FE6E4546DC}"/>
    <cellStyle name="Calculation 2 2 5 2 5" xfId="22721" xr:uid="{AA89B15D-091B-4EC0-A1A9-B8402EDEC30D}"/>
    <cellStyle name="Calculation 2 2 5 3" xfId="759" xr:uid="{00000000-0005-0000-0000-00000A030000}"/>
    <cellStyle name="Calculation 2 2 5 3 2" xfId="21372" xr:uid="{00000000-0005-0000-0000-00000B030000}"/>
    <cellStyle name="Calculation 2 2 5 3 2 2" xfId="22273" xr:uid="{87903231-507A-406C-85E1-13E5AA1CD104}"/>
    <cellStyle name="Calculation 2 2 5 3 3" xfId="21452" xr:uid="{52FCB513-480B-41B9-9DA0-F81E45047A20}"/>
    <cellStyle name="Calculation 2 2 5 3 4" xfId="22437" xr:uid="{2F00876A-5455-400A-A770-F1EBFAF74C06}"/>
    <cellStyle name="Calculation 2 2 5 3 5" xfId="22720" xr:uid="{4B352DE9-3534-4DC8-B35F-9019BB7D0863}"/>
    <cellStyle name="Calculation 2 2 5 4" xfId="760" xr:uid="{00000000-0005-0000-0000-00000C030000}"/>
    <cellStyle name="Calculation 2 2 5 4 2" xfId="21371" xr:uid="{00000000-0005-0000-0000-00000D030000}"/>
    <cellStyle name="Calculation 2 2 5 4 2 2" xfId="22272" xr:uid="{CA08D589-2E03-405B-8294-AAA2A17629A1}"/>
    <cellStyle name="Calculation 2 2 5 4 3" xfId="21453" xr:uid="{D028D0BC-CA79-4A26-B163-674DDA0D0664}"/>
    <cellStyle name="Calculation 2 2 5 4 4" xfId="22438" xr:uid="{6060C161-D443-4420-9A1A-0CB783E0B0E4}"/>
    <cellStyle name="Calculation 2 2 5 4 5" xfId="22719" xr:uid="{DA596B3D-47DA-4529-AF98-BD7EC9EB6330}"/>
    <cellStyle name="Calculation 2 2 5 5" xfId="21374" xr:uid="{00000000-0005-0000-0000-00000E030000}"/>
    <cellStyle name="Calculation 2 2 5 5 2" xfId="22275" xr:uid="{649D4E9E-93C0-4912-BEA3-F0DCF2BD8195}"/>
    <cellStyle name="Calculation 2 2 5 6" xfId="21450" xr:uid="{E287E8FC-29D3-4C58-AF57-6C703EA1F7B3}"/>
    <cellStyle name="Calculation 2 2 5 7" xfId="22435" xr:uid="{80086A3D-DAF5-4BC4-A3ED-D6D32A125E8B}"/>
    <cellStyle name="Calculation 2 2 5 8" xfId="22722" xr:uid="{6936F074-6D32-47F1-83D1-BF03C48DD187}"/>
    <cellStyle name="Calculation 2 2 6" xfId="761" xr:uid="{00000000-0005-0000-0000-00000F030000}"/>
    <cellStyle name="Calculation 2 2 6 2" xfId="21370" xr:uid="{00000000-0005-0000-0000-000010030000}"/>
    <cellStyle name="Calculation 2 2 6 2 2" xfId="22271" xr:uid="{EFEF44EC-5A85-44E4-80CF-79EE37BCE391}"/>
    <cellStyle name="Calculation 2 2 6 3" xfId="21454" xr:uid="{C3BB04E9-6B10-4C90-84C1-597DE00DBAAD}"/>
    <cellStyle name="Calculation 2 2 6 4" xfId="22439" xr:uid="{E007D583-7B9A-445C-AD73-63BC45AF10F9}"/>
    <cellStyle name="Calculation 2 2 6 5" xfId="22718" xr:uid="{DB4FFAF0-05EB-4EF1-8C1C-3688C31EF609}"/>
    <cellStyle name="Calculation 2 2 7" xfId="762" xr:uid="{00000000-0005-0000-0000-000011030000}"/>
    <cellStyle name="Calculation 2 2 7 2" xfId="21369" xr:uid="{00000000-0005-0000-0000-000012030000}"/>
    <cellStyle name="Calculation 2 2 7 2 2" xfId="22270" xr:uid="{574BBC68-8A51-4ECE-A3E3-E4EB43A8F555}"/>
    <cellStyle name="Calculation 2 2 7 3" xfId="21455" xr:uid="{EE4AA01B-5F59-4783-940E-69BA0B470384}"/>
    <cellStyle name="Calculation 2 2 7 4" xfId="22440" xr:uid="{1FD4A339-6B33-40B0-B2C7-EFE3E3081C57}"/>
    <cellStyle name="Calculation 2 2 7 5" xfId="22717" xr:uid="{C1D35F04-6F96-431F-9820-6CBAC61E9E50}"/>
    <cellStyle name="Calculation 2 2 8" xfId="763" xr:uid="{00000000-0005-0000-0000-000013030000}"/>
    <cellStyle name="Calculation 2 2 8 2" xfId="21368" xr:uid="{00000000-0005-0000-0000-000014030000}"/>
    <cellStyle name="Calculation 2 2 8 2 2" xfId="22269" xr:uid="{BD3C496F-E0CF-434F-94B9-E98B3246D467}"/>
    <cellStyle name="Calculation 2 2 8 3" xfId="21456" xr:uid="{7C31BF37-C28A-48EC-B7EE-B9EFEFA976FC}"/>
    <cellStyle name="Calculation 2 2 8 4" xfId="22441" xr:uid="{626396E0-F9FD-4AA4-8403-C7101BF2C12C}"/>
    <cellStyle name="Calculation 2 2 8 5" xfId="22716" xr:uid="{2F1A54F0-0A54-4ADE-8006-6BFDD6F1EB15}"/>
    <cellStyle name="Calculation 2 2 9" xfId="764" xr:uid="{00000000-0005-0000-0000-000015030000}"/>
    <cellStyle name="Calculation 2 2 9 2" xfId="21367" xr:uid="{00000000-0005-0000-0000-000016030000}"/>
    <cellStyle name="Calculation 2 2 9 2 2" xfId="22268" xr:uid="{4F5C8D3D-3A38-410C-9567-C765A443FBA1}"/>
    <cellStyle name="Calculation 2 2 9 3" xfId="21457" xr:uid="{4F9C137A-255B-40BC-91BA-1822C435FAA9}"/>
    <cellStyle name="Calculation 2 2 9 4" xfId="22442" xr:uid="{E49BDB71-310B-4911-8D79-4C1489A48077}"/>
    <cellStyle name="Calculation 2 2 9 5" xfId="22715" xr:uid="{4F925E19-1CAF-4F98-8545-ADD55EF1D87B}"/>
    <cellStyle name="Calculation 2 20" xfId="22757" xr:uid="{FA433DD5-497B-4B67-8C67-036CF8933D35}"/>
    <cellStyle name="Calculation 2 3" xfId="765" xr:uid="{00000000-0005-0000-0000-000017030000}"/>
    <cellStyle name="Calculation 2 3 2" xfId="766" xr:uid="{00000000-0005-0000-0000-000018030000}"/>
    <cellStyle name="Calculation 2 3 2 2" xfId="21366" xr:uid="{00000000-0005-0000-0000-000019030000}"/>
    <cellStyle name="Calculation 2 3 2 2 2" xfId="22267" xr:uid="{45CB2BB4-7E5D-4A55-A4ED-A9E7431A35B7}"/>
    <cellStyle name="Calculation 2 3 2 3" xfId="21458" xr:uid="{2F831AF2-E505-4C82-A295-F1A269191AAB}"/>
    <cellStyle name="Calculation 2 3 2 4" xfId="22443" xr:uid="{D6358364-8196-489B-BBF8-EB607B0885F6}"/>
    <cellStyle name="Calculation 2 3 2 5" xfId="22714" xr:uid="{D73556E3-FFDC-4370-93C4-9FF22F10AED5}"/>
    <cellStyle name="Calculation 2 3 3" xfId="767" xr:uid="{00000000-0005-0000-0000-00001A030000}"/>
    <cellStyle name="Calculation 2 3 3 2" xfId="21365" xr:uid="{00000000-0005-0000-0000-00001B030000}"/>
    <cellStyle name="Calculation 2 3 3 2 2" xfId="22266" xr:uid="{0127BE45-7664-4B26-A933-C1D3D2388AD2}"/>
    <cellStyle name="Calculation 2 3 3 3" xfId="21459" xr:uid="{013D68DD-8E37-428F-A866-08A45C66A95F}"/>
    <cellStyle name="Calculation 2 3 3 4" xfId="22444" xr:uid="{5E563085-C62A-4088-A2DD-9DADEB34AA44}"/>
    <cellStyle name="Calculation 2 3 3 5" xfId="22713" xr:uid="{B1DCCA1B-31CF-4AEE-A310-C513AAC53A47}"/>
    <cellStyle name="Calculation 2 3 4" xfId="768" xr:uid="{00000000-0005-0000-0000-00001C030000}"/>
    <cellStyle name="Calculation 2 3 4 2" xfId="21364" xr:uid="{00000000-0005-0000-0000-00001D030000}"/>
    <cellStyle name="Calculation 2 3 4 2 2" xfId="22265" xr:uid="{6984D4BE-9497-4923-A769-AA70583111CE}"/>
    <cellStyle name="Calculation 2 3 4 3" xfId="21460" xr:uid="{C07C921D-BC51-4C32-85F7-91941C52F6DA}"/>
    <cellStyle name="Calculation 2 3 4 4" xfId="22445" xr:uid="{45A87381-E4D2-4564-95F3-AFDD2E51AACB}"/>
    <cellStyle name="Calculation 2 3 4 5" xfId="22712" xr:uid="{E4211986-CDD6-45E5-9382-19ED7995101E}"/>
    <cellStyle name="Calculation 2 3 5" xfId="769" xr:uid="{00000000-0005-0000-0000-00001E030000}"/>
    <cellStyle name="Calculation 2 3 5 2" xfId="21363" xr:uid="{00000000-0005-0000-0000-00001F030000}"/>
    <cellStyle name="Calculation 2 3 5 2 2" xfId="22264" xr:uid="{AE997077-3D41-4F90-908E-1BE5EED77F34}"/>
    <cellStyle name="Calculation 2 3 5 3" xfId="21461" xr:uid="{D17EE8F3-9D60-47FD-BDBF-DD759A9028CC}"/>
    <cellStyle name="Calculation 2 3 5 4" xfId="22446" xr:uid="{D283FD15-20C2-49D5-91BA-1A904F184730}"/>
    <cellStyle name="Calculation 2 3 5 5" xfId="22711" xr:uid="{F26ACAA3-E0AF-4733-9FEF-802F8DDE875B}"/>
    <cellStyle name="Calculation 2 4" xfId="770" xr:uid="{00000000-0005-0000-0000-000020030000}"/>
    <cellStyle name="Calculation 2 4 2" xfId="771" xr:uid="{00000000-0005-0000-0000-000021030000}"/>
    <cellStyle name="Calculation 2 4 2 2" xfId="21362" xr:uid="{00000000-0005-0000-0000-000022030000}"/>
    <cellStyle name="Calculation 2 4 2 2 2" xfId="22263" xr:uid="{7B3DFDBC-6ABE-4ABC-BB8F-265C31B7084E}"/>
    <cellStyle name="Calculation 2 4 2 3" xfId="21462" xr:uid="{CD7ECF1E-7554-4F4A-A195-9A41E9D4953B}"/>
    <cellStyle name="Calculation 2 4 2 4" xfId="22447" xr:uid="{B3B897CE-2D4A-4053-B27D-A595280C3A8D}"/>
    <cellStyle name="Calculation 2 4 2 5" xfId="22710" xr:uid="{469B902E-9C9F-45BC-A1DD-8B0215AD4E26}"/>
    <cellStyle name="Calculation 2 4 3" xfId="772" xr:uid="{00000000-0005-0000-0000-000023030000}"/>
    <cellStyle name="Calculation 2 4 3 2" xfId="21361" xr:uid="{00000000-0005-0000-0000-000024030000}"/>
    <cellStyle name="Calculation 2 4 3 2 2" xfId="22262" xr:uid="{4D05C8F8-D430-4588-B895-1D60668A1B1F}"/>
    <cellStyle name="Calculation 2 4 3 3" xfId="21463" xr:uid="{E51957A2-AB09-46C0-A06B-3AD145697D94}"/>
    <cellStyle name="Calculation 2 4 3 4" xfId="22448" xr:uid="{C425F4B7-91B6-470D-B640-D83C0F6180D3}"/>
    <cellStyle name="Calculation 2 4 3 5" xfId="22709" xr:uid="{FEEB4E3A-F4EF-4D14-B0FD-58F62BD893B0}"/>
    <cellStyle name="Calculation 2 4 4" xfId="773" xr:uid="{00000000-0005-0000-0000-000025030000}"/>
    <cellStyle name="Calculation 2 4 4 2" xfId="21360" xr:uid="{00000000-0005-0000-0000-000026030000}"/>
    <cellStyle name="Calculation 2 4 4 2 2" xfId="22261" xr:uid="{9080ACA9-6B37-421B-B9EF-5712CB74B264}"/>
    <cellStyle name="Calculation 2 4 4 3" xfId="21464" xr:uid="{2269D5BB-BD5D-436E-B345-CC059BC7B1AE}"/>
    <cellStyle name="Calculation 2 4 4 4" xfId="22449" xr:uid="{23AA826D-9EE5-4025-B7AA-D78FB51F34E8}"/>
    <cellStyle name="Calculation 2 4 4 5" xfId="22708" xr:uid="{2D24A193-8609-42FD-97F3-51B409058E3C}"/>
    <cellStyle name="Calculation 2 4 5" xfId="774" xr:uid="{00000000-0005-0000-0000-000027030000}"/>
    <cellStyle name="Calculation 2 4 5 2" xfId="21359" xr:uid="{00000000-0005-0000-0000-000028030000}"/>
    <cellStyle name="Calculation 2 4 5 2 2" xfId="22260" xr:uid="{2FE2F64A-8EA7-41E4-9740-7B40E56AC5BF}"/>
    <cellStyle name="Calculation 2 4 5 3" xfId="21465" xr:uid="{08E1E42D-3715-49F0-AD40-2A06392DA4ED}"/>
    <cellStyle name="Calculation 2 4 5 4" xfId="22450" xr:uid="{66D843AC-6633-4EEC-AD09-F3D1402C15FD}"/>
    <cellStyle name="Calculation 2 4 5 5" xfId="22707" xr:uid="{2FA5C26D-0BF5-40D9-9C15-AF1CC234D9A2}"/>
    <cellStyle name="Calculation 2 5" xfId="775" xr:uid="{00000000-0005-0000-0000-000029030000}"/>
    <cellStyle name="Calculation 2 5 2" xfId="776" xr:uid="{00000000-0005-0000-0000-00002A030000}"/>
    <cellStyle name="Calculation 2 5 2 2" xfId="21358" xr:uid="{00000000-0005-0000-0000-00002B030000}"/>
    <cellStyle name="Calculation 2 5 2 2 2" xfId="22259" xr:uid="{60EAD811-0881-4C63-A966-08BE3A5E16CA}"/>
    <cellStyle name="Calculation 2 5 2 3" xfId="21466" xr:uid="{D120129F-16EB-4553-BB90-4782DE8433E7}"/>
    <cellStyle name="Calculation 2 5 2 4" xfId="22451" xr:uid="{667B4445-8E59-4EAD-B7F6-EAB22321CA45}"/>
    <cellStyle name="Calculation 2 5 2 5" xfId="22706" xr:uid="{09DA643E-BBC6-415D-B91E-9E3EE246FEA8}"/>
    <cellStyle name="Calculation 2 5 3" xfId="777" xr:uid="{00000000-0005-0000-0000-00002C030000}"/>
    <cellStyle name="Calculation 2 5 3 2" xfId="21357" xr:uid="{00000000-0005-0000-0000-00002D030000}"/>
    <cellStyle name="Calculation 2 5 3 2 2" xfId="22258" xr:uid="{41FAA49D-8078-41BE-A10E-5E7F0D350091}"/>
    <cellStyle name="Calculation 2 5 3 3" xfId="21467" xr:uid="{750DEDE1-AD7D-41D0-AE80-1F0237366010}"/>
    <cellStyle name="Calculation 2 5 3 4" xfId="22452" xr:uid="{BB0912FC-F8D4-483E-89CF-DE9DAA5ADB61}"/>
    <cellStyle name="Calculation 2 5 3 5" xfId="22705" xr:uid="{88541A7C-8232-4832-8559-AD9989E78DC5}"/>
    <cellStyle name="Calculation 2 5 4" xfId="778" xr:uid="{00000000-0005-0000-0000-00002E030000}"/>
    <cellStyle name="Calculation 2 5 4 2" xfId="21356" xr:uid="{00000000-0005-0000-0000-00002F030000}"/>
    <cellStyle name="Calculation 2 5 4 2 2" xfId="22257" xr:uid="{32E9DC28-4993-4E7C-8415-C3E5C2494383}"/>
    <cellStyle name="Calculation 2 5 4 3" xfId="21468" xr:uid="{89BA4DD3-7692-44DF-A29A-59C36B3567F5}"/>
    <cellStyle name="Calculation 2 5 4 4" xfId="22453" xr:uid="{043E1118-F894-4AF7-B070-BECC5455BE37}"/>
    <cellStyle name="Calculation 2 5 4 5" xfId="22704" xr:uid="{9D442A3A-D4FF-4F8C-9C60-79E66B8BF068}"/>
    <cellStyle name="Calculation 2 5 5" xfId="779" xr:uid="{00000000-0005-0000-0000-000030030000}"/>
    <cellStyle name="Calculation 2 5 5 2" xfId="21355" xr:uid="{00000000-0005-0000-0000-000031030000}"/>
    <cellStyle name="Calculation 2 5 5 2 2" xfId="22256" xr:uid="{FF8B9B21-9C55-4AC2-8EAF-6F18A95B1E35}"/>
    <cellStyle name="Calculation 2 5 5 3" xfId="21469" xr:uid="{89E7F30B-71CE-4124-8FEB-8BCA27040F2B}"/>
    <cellStyle name="Calculation 2 5 5 4" xfId="22454" xr:uid="{E9F364D4-BAB1-4C98-A211-F9EC06AC188D}"/>
    <cellStyle name="Calculation 2 5 5 5" xfId="22703" xr:uid="{1A9A6567-02E7-4A04-9D5A-7531E1A76D78}"/>
    <cellStyle name="Calculation 2 6" xfId="780" xr:uid="{00000000-0005-0000-0000-000032030000}"/>
    <cellStyle name="Calculation 2 6 2" xfId="781" xr:uid="{00000000-0005-0000-0000-000033030000}"/>
    <cellStyle name="Calculation 2 6 2 2" xfId="21354" xr:uid="{00000000-0005-0000-0000-000034030000}"/>
    <cellStyle name="Calculation 2 6 2 2 2" xfId="22255" xr:uid="{11E08177-98CD-40AD-89CD-C4D3EA8044F8}"/>
    <cellStyle name="Calculation 2 6 2 3" xfId="21470" xr:uid="{F102B452-67CC-4721-861F-E72591604654}"/>
    <cellStyle name="Calculation 2 6 2 4" xfId="22455" xr:uid="{CD6675CD-CDCD-43D3-932D-A8819A62E02B}"/>
    <cellStyle name="Calculation 2 6 2 5" xfId="22702" xr:uid="{ABA4D372-D321-4532-AB1F-A431350CA04C}"/>
    <cellStyle name="Calculation 2 6 3" xfId="782" xr:uid="{00000000-0005-0000-0000-000035030000}"/>
    <cellStyle name="Calculation 2 6 3 2" xfId="21353" xr:uid="{00000000-0005-0000-0000-000036030000}"/>
    <cellStyle name="Calculation 2 6 3 2 2" xfId="22254" xr:uid="{B383254F-9038-409A-9820-ED86862E4154}"/>
    <cellStyle name="Calculation 2 6 3 3" xfId="21471" xr:uid="{287938B5-86A5-4E34-8512-0DB65E60290D}"/>
    <cellStyle name="Calculation 2 6 3 4" xfId="22456" xr:uid="{3CD5C8DF-0C0D-47C7-BF6A-3822A093A3C7}"/>
    <cellStyle name="Calculation 2 6 3 5" xfId="22701" xr:uid="{B8954A71-DD49-490A-ABC1-411C5DAB34D4}"/>
    <cellStyle name="Calculation 2 6 4" xfId="783" xr:uid="{00000000-0005-0000-0000-000037030000}"/>
    <cellStyle name="Calculation 2 6 4 2" xfId="21352" xr:uid="{00000000-0005-0000-0000-000038030000}"/>
    <cellStyle name="Calculation 2 6 4 2 2" xfId="22253" xr:uid="{3BB53661-18FE-45C9-8653-717BA4D4FC3B}"/>
    <cellStyle name="Calculation 2 6 4 3" xfId="21472" xr:uid="{E16D4FEE-853A-4893-BDC4-ADE3DDE539B0}"/>
    <cellStyle name="Calculation 2 6 4 4" xfId="22457" xr:uid="{D62DC4D9-60EA-4AD6-9399-210AF67340FB}"/>
    <cellStyle name="Calculation 2 6 4 5" xfId="22700" xr:uid="{24F725D6-285C-49E5-A271-2AAAB7F6C985}"/>
    <cellStyle name="Calculation 2 6 5" xfId="784" xr:uid="{00000000-0005-0000-0000-000039030000}"/>
    <cellStyle name="Calculation 2 6 5 2" xfId="21351" xr:uid="{00000000-0005-0000-0000-00003A030000}"/>
    <cellStyle name="Calculation 2 6 5 2 2" xfId="22252" xr:uid="{2C71A641-4DE8-4758-994B-77515768AC53}"/>
    <cellStyle name="Calculation 2 6 5 3" xfId="21473" xr:uid="{9C1C470F-BF42-4360-8B02-F6F7D97CA639}"/>
    <cellStyle name="Calculation 2 6 5 4" xfId="22458" xr:uid="{5A791D3C-7A26-4E74-87DB-D79035CAD6C1}"/>
    <cellStyle name="Calculation 2 6 5 5" xfId="22699" xr:uid="{DC090E0A-0772-4D2F-82FD-EDD7D56040FB}"/>
    <cellStyle name="Calculation 2 7" xfId="785" xr:uid="{00000000-0005-0000-0000-00003B030000}"/>
    <cellStyle name="Calculation 2 7 2" xfId="786" xr:uid="{00000000-0005-0000-0000-00003C030000}"/>
    <cellStyle name="Calculation 2 7 2 2" xfId="21350" xr:uid="{00000000-0005-0000-0000-00003D030000}"/>
    <cellStyle name="Calculation 2 7 2 2 2" xfId="22251" xr:uid="{79DA9463-156B-4147-B9C3-42CA408C5413}"/>
    <cellStyle name="Calculation 2 7 2 3" xfId="21474" xr:uid="{E14A631C-7380-40A8-92A1-C19E3FF140D2}"/>
    <cellStyle name="Calculation 2 7 2 4" xfId="22459" xr:uid="{0CC42F24-33D6-4511-A362-6F5A8E49E3F8}"/>
    <cellStyle name="Calculation 2 7 2 5" xfId="22698" xr:uid="{A7C45F63-69C2-463D-8959-24FA74C73327}"/>
    <cellStyle name="Calculation 2 7 3" xfId="787" xr:uid="{00000000-0005-0000-0000-00003E030000}"/>
    <cellStyle name="Calculation 2 7 3 2" xfId="21349" xr:uid="{00000000-0005-0000-0000-00003F030000}"/>
    <cellStyle name="Calculation 2 7 3 2 2" xfId="22250" xr:uid="{24B68139-213C-42CD-AB0F-DC458139F146}"/>
    <cellStyle name="Calculation 2 7 3 3" xfId="21475" xr:uid="{A445093A-0E4F-4A99-9639-A68B0C359841}"/>
    <cellStyle name="Calculation 2 7 3 4" xfId="22460" xr:uid="{88AEAF64-340D-4183-AB7E-6039CBA0306D}"/>
    <cellStyle name="Calculation 2 7 3 5" xfId="22697" xr:uid="{88E3B83F-29BF-487E-B8E8-FD8E163C420F}"/>
    <cellStyle name="Calculation 2 7 4" xfId="788" xr:uid="{00000000-0005-0000-0000-000040030000}"/>
    <cellStyle name="Calculation 2 7 4 2" xfId="21348" xr:uid="{00000000-0005-0000-0000-000041030000}"/>
    <cellStyle name="Calculation 2 7 4 2 2" xfId="22249" xr:uid="{2A2460D5-9564-4C88-8F2A-185F606E7DF3}"/>
    <cellStyle name="Calculation 2 7 4 3" xfId="21476" xr:uid="{BA71586D-C229-4AF4-8C04-ECED908B04C4}"/>
    <cellStyle name="Calculation 2 7 4 4" xfId="22461" xr:uid="{09C17511-8FC2-4FD2-BC17-027EFF562979}"/>
    <cellStyle name="Calculation 2 7 4 5" xfId="22696" xr:uid="{D5256139-F907-4F2E-9B11-C9FF15BC7C3F}"/>
    <cellStyle name="Calculation 2 7 5" xfId="789" xr:uid="{00000000-0005-0000-0000-000042030000}"/>
    <cellStyle name="Calculation 2 7 5 2" xfId="21347" xr:uid="{00000000-0005-0000-0000-000043030000}"/>
    <cellStyle name="Calculation 2 7 5 2 2" xfId="22248" xr:uid="{AFA9FF89-E8F9-48EC-8165-99A38D858189}"/>
    <cellStyle name="Calculation 2 7 5 3" xfId="21477" xr:uid="{63C4DCB8-C2E4-430D-8843-B065ED796AD4}"/>
    <cellStyle name="Calculation 2 7 5 4" xfId="22462" xr:uid="{9E263FBD-5596-4B8C-BE37-A520B3E08E37}"/>
    <cellStyle name="Calculation 2 7 5 5" xfId="22695" xr:uid="{94BFEADF-7E33-49A2-83C3-3363712EBE1E}"/>
    <cellStyle name="Calculation 2 8" xfId="790" xr:uid="{00000000-0005-0000-0000-000044030000}"/>
    <cellStyle name="Calculation 2 8 2" xfId="791" xr:uid="{00000000-0005-0000-0000-000045030000}"/>
    <cellStyle name="Calculation 2 8 2 2" xfId="21346" xr:uid="{00000000-0005-0000-0000-000046030000}"/>
    <cellStyle name="Calculation 2 8 2 2 2" xfId="22247" xr:uid="{7D0B912A-CAFC-46C4-802A-1B4ED5246435}"/>
    <cellStyle name="Calculation 2 8 2 3" xfId="21478" xr:uid="{E7F3E175-05D2-4891-ADF6-A62EA40219AC}"/>
    <cellStyle name="Calculation 2 8 2 4" xfId="22463" xr:uid="{5524FB92-9AB2-4D28-B4D4-9A9B6B20A0F5}"/>
    <cellStyle name="Calculation 2 8 2 5" xfId="22694" xr:uid="{1E118EA6-55D0-4C77-BBE3-57395E7C26AE}"/>
    <cellStyle name="Calculation 2 8 3" xfId="792" xr:uid="{00000000-0005-0000-0000-000047030000}"/>
    <cellStyle name="Calculation 2 8 3 2" xfId="21345" xr:uid="{00000000-0005-0000-0000-000048030000}"/>
    <cellStyle name="Calculation 2 8 3 2 2" xfId="22246" xr:uid="{05C43F26-1E8A-40C6-A63B-E2F2EBCC677C}"/>
    <cellStyle name="Calculation 2 8 3 3" xfId="21479" xr:uid="{8AF0D57C-AB21-409E-8465-572E983DD15E}"/>
    <cellStyle name="Calculation 2 8 3 4" xfId="22464" xr:uid="{5FFDD2EE-03DC-47D3-95D0-570A286AFD71}"/>
    <cellStyle name="Calculation 2 8 3 5" xfId="22693" xr:uid="{E2FD8387-37E4-4622-9D67-259DC8524FAE}"/>
    <cellStyle name="Calculation 2 8 4" xfId="793" xr:uid="{00000000-0005-0000-0000-000049030000}"/>
    <cellStyle name="Calculation 2 8 4 2" xfId="21344" xr:uid="{00000000-0005-0000-0000-00004A030000}"/>
    <cellStyle name="Calculation 2 8 4 2 2" xfId="22245" xr:uid="{6B59C574-3DDC-4905-89C4-ED472A0EAFDA}"/>
    <cellStyle name="Calculation 2 8 4 3" xfId="21480" xr:uid="{03D5BA54-BF5C-4AC7-B752-0E8679726107}"/>
    <cellStyle name="Calculation 2 8 4 4" xfId="22465" xr:uid="{B4005121-CF25-4526-A205-A14707ECB0C6}"/>
    <cellStyle name="Calculation 2 8 4 5" xfId="22692" xr:uid="{17FB66CB-0EBC-4C10-BDDA-6DD98731A092}"/>
    <cellStyle name="Calculation 2 8 5" xfId="794" xr:uid="{00000000-0005-0000-0000-00004B030000}"/>
    <cellStyle name="Calculation 2 8 5 2" xfId="21343" xr:uid="{00000000-0005-0000-0000-00004C030000}"/>
    <cellStyle name="Calculation 2 8 5 2 2" xfId="22244" xr:uid="{BCA8FA72-87FC-4EB7-81DB-FB7F25859561}"/>
    <cellStyle name="Calculation 2 8 5 3" xfId="21481" xr:uid="{1DDA8453-A183-49B8-87C3-4FE1C632D5ED}"/>
    <cellStyle name="Calculation 2 8 5 4" xfId="22466" xr:uid="{EC694A5A-AAB0-4C25-AB1E-28C0D54E8947}"/>
    <cellStyle name="Calculation 2 8 5 5" xfId="22691" xr:uid="{6C256D9E-1484-4CEE-970F-AFCFF9F1E35B}"/>
    <cellStyle name="Calculation 2 9" xfId="795" xr:uid="{00000000-0005-0000-0000-00004D030000}"/>
    <cellStyle name="Calculation 2 9 2" xfId="796" xr:uid="{00000000-0005-0000-0000-00004E030000}"/>
    <cellStyle name="Calculation 2 9 2 2" xfId="21342" xr:uid="{00000000-0005-0000-0000-00004F030000}"/>
    <cellStyle name="Calculation 2 9 2 2 2" xfId="22243" xr:uid="{174B33DF-8FA8-4795-ABDA-623D8E3ECED9}"/>
    <cellStyle name="Calculation 2 9 2 3" xfId="21482" xr:uid="{FDD2AC29-6182-4D4E-BC06-9EBEC5950822}"/>
    <cellStyle name="Calculation 2 9 2 4" xfId="22467" xr:uid="{0488C2E6-B03C-4840-8E9C-D3F3AE984E74}"/>
    <cellStyle name="Calculation 2 9 2 5" xfId="22690" xr:uid="{109AD02A-F3AF-4B39-A5F3-AE7784726DB5}"/>
    <cellStyle name="Calculation 2 9 3" xfId="797" xr:uid="{00000000-0005-0000-0000-000050030000}"/>
    <cellStyle name="Calculation 2 9 3 2" xfId="21341" xr:uid="{00000000-0005-0000-0000-000051030000}"/>
    <cellStyle name="Calculation 2 9 3 2 2" xfId="22242" xr:uid="{D47C1825-DF7F-413B-A2E2-95608CC242F1}"/>
    <cellStyle name="Calculation 2 9 3 3" xfId="21483" xr:uid="{E2F2EE93-57DB-4406-BF1D-33266CE6E045}"/>
    <cellStyle name="Calculation 2 9 3 4" xfId="22468" xr:uid="{F2A86722-FE61-4B22-9F04-38105E3336B2}"/>
    <cellStyle name="Calculation 2 9 3 5" xfId="22689" xr:uid="{0C58ABF4-0412-48B3-AF02-854EE083D51C}"/>
    <cellStyle name="Calculation 2 9 4" xfId="798" xr:uid="{00000000-0005-0000-0000-000052030000}"/>
    <cellStyle name="Calculation 2 9 4 2" xfId="21340" xr:uid="{00000000-0005-0000-0000-000053030000}"/>
    <cellStyle name="Calculation 2 9 4 2 2" xfId="22241" xr:uid="{75024764-E097-4B99-A191-8262544989D1}"/>
    <cellStyle name="Calculation 2 9 4 3" xfId="21484" xr:uid="{D967455D-F734-42A8-8160-C91BEAB40ADE}"/>
    <cellStyle name="Calculation 2 9 4 4" xfId="22469" xr:uid="{A89CB94A-9D29-491A-BD7D-D7EC9809C0A5}"/>
    <cellStyle name="Calculation 2 9 4 5" xfId="22688" xr:uid="{04EB4BC3-EBD1-4396-84EC-FBCABFA99B84}"/>
    <cellStyle name="Calculation 2 9 5" xfId="799" xr:uid="{00000000-0005-0000-0000-000054030000}"/>
    <cellStyle name="Calculation 2 9 5 2" xfId="21339" xr:uid="{00000000-0005-0000-0000-000055030000}"/>
    <cellStyle name="Calculation 2 9 5 2 2" xfId="22240" xr:uid="{CA878755-4470-4C65-BC13-6835EEDDCD4A}"/>
    <cellStyle name="Calculation 2 9 5 3" xfId="21485" xr:uid="{5095946D-17FC-412C-97AC-F162839B0520}"/>
    <cellStyle name="Calculation 2 9 5 4" xfId="22470" xr:uid="{451F380B-2294-4D3B-9FDB-47A7295B0DC6}"/>
    <cellStyle name="Calculation 2 9 5 5" xfId="22687" xr:uid="{B9BF8510-BFC9-4786-B183-6D4FB246762B}"/>
    <cellStyle name="Calculation 3" xfId="800" xr:uid="{00000000-0005-0000-0000-000056030000}"/>
    <cellStyle name="Calculation 3 2" xfId="801" xr:uid="{00000000-0005-0000-0000-000057030000}"/>
    <cellStyle name="Calculation 3 2 2" xfId="21337" xr:uid="{00000000-0005-0000-0000-000058030000}"/>
    <cellStyle name="Calculation 3 2 2 2" xfId="22238" xr:uid="{A6601C65-5F2D-4E91-81F2-541076F33EE3}"/>
    <cellStyle name="Calculation 3 2 3" xfId="21487" xr:uid="{0D6CBCCE-96A3-4D6C-8443-0F1A8156F811}"/>
    <cellStyle name="Calculation 3 2 4" xfId="22472" xr:uid="{9A1190D3-EA99-4D3D-9711-F5338CEAB637}"/>
    <cellStyle name="Calculation 3 2 5" xfId="22685" xr:uid="{C519AC47-22E7-479A-A661-50B22E9A7599}"/>
    <cellStyle name="Calculation 3 3" xfId="802" xr:uid="{00000000-0005-0000-0000-000059030000}"/>
    <cellStyle name="Calculation 3 3 2" xfId="21336" xr:uid="{00000000-0005-0000-0000-00005A030000}"/>
    <cellStyle name="Calculation 3 3 2 2" xfId="22237" xr:uid="{47081EED-DFEB-4106-A03E-C8C85B7BB7E1}"/>
    <cellStyle name="Calculation 3 3 3" xfId="21488" xr:uid="{743FB901-9963-4F1B-A9F4-C663D0B57620}"/>
    <cellStyle name="Calculation 3 3 4" xfId="22473" xr:uid="{6D21092F-A007-4CA3-BE7B-0AE130E2F73D}"/>
    <cellStyle name="Calculation 3 3 5" xfId="22684" xr:uid="{F55FF6F6-5BF9-4F5A-91AC-7ABCD9307D50}"/>
    <cellStyle name="Calculation 3 4" xfId="21338" xr:uid="{00000000-0005-0000-0000-00005B030000}"/>
    <cellStyle name="Calculation 3 4 2" xfId="22239" xr:uid="{1C1E25D4-377F-4F71-BEC4-0F1156E7BED5}"/>
    <cellStyle name="Calculation 3 5" xfId="21486" xr:uid="{750FE937-141B-4D51-897F-833F5B3C7869}"/>
    <cellStyle name="Calculation 3 6" xfId="22471" xr:uid="{32254F1E-C267-4953-8AC8-EC3A59BBEF44}"/>
    <cellStyle name="Calculation 3 7" xfId="22686" xr:uid="{0636B7AA-DAC6-4680-B2F8-491C63B045B8}"/>
    <cellStyle name="Calculation 4" xfId="803" xr:uid="{00000000-0005-0000-0000-00005C030000}"/>
    <cellStyle name="Calculation 4 2" xfId="804" xr:uid="{00000000-0005-0000-0000-00005D030000}"/>
    <cellStyle name="Calculation 4 2 2" xfId="21334" xr:uid="{00000000-0005-0000-0000-00005E030000}"/>
    <cellStyle name="Calculation 4 2 2 2" xfId="22235" xr:uid="{9C11A2AB-8748-4553-80E1-691667104E0C}"/>
    <cellStyle name="Calculation 4 2 3" xfId="21490" xr:uid="{34D1B127-6AE4-44DF-89E1-8AC45BCE03BD}"/>
    <cellStyle name="Calculation 4 2 4" xfId="22475" xr:uid="{3605837A-CC49-4EC6-A494-A1BF633E4C6E}"/>
    <cellStyle name="Calculation 4 2 5" xfId="22682" xr:uid="{18F20CFF-2455-492E-88ED-265A3D06C360}"/>
    <cellStyle name="Calculation 4 3" xfId="805" xr:uid="{00000000-0005-0000-0000-00005F030000}"/>
    <cellStyle name="Calculation 4 3 2" xfId="21333" xr:uid="{00000000-0005-0000-0000-000060030000}"/>
    <cellStyle name="Calculation 4 3 2 2" xfId="22234" xr:uid="{7A83D118-7E37-4EEA-BCDA-A745024FD33B}"/>
    <cellStyle name="Calculation 4 3 3" xfId="21491" xr:uid="{E8A58A21-D736-4E0F-9AAE-2799723CF9D2}"/>
    <cellStyle name="Calculation 4 3 4" xfId="22476" xr:uid="{7E7ED20B-E86B-4DE4-84B3-B0F5FE18EBE2}"/>
    <cellStyle name="Calculation 4 3 5" xfId="22681" xr:uid="{965F47BD-0181-4496-9FFF-273FC037EB14}"/>
    <cellStyle name="Calculation 4 4" xfId="21335" xr:uid="{00000000-0005-0000-0000-000061030000}"/>
    <cellStyle name="Calculation 4 4 2" xfId="22236" xr:uid="{633344A9-8F6B-48E7-9ADA-14F2F7E1CC5A}"/>
    <cellStyle name="Calculation 4 5" xfId="21489" xr:uid="{FF580688-BFB5-4CFA-BE7D-BD3DD407F66F}"/>
    <cellStyle name="Calculation 4 6" xfId="22474" xr:uid="{2F48488F-A658-4DD2-B4B7-E868C5CAA449}"/>
    <cellStyle name="Calculation 4 7" xfId="22683" xr:uid="{5F43D606-3B8B-496A-9C8E-703995F95D93}"/>
    <cellStyle name="Calculation 5" xfId="806" xr:uid="{00000000-0005-0000-0000-000062030000}"/>
    <cellStyle name="Calculation 5 2" xfId="807" xr:uid="{00000000-0005-0000-0000-000063030000}"/>
    <cellStyle name="Calculation 5 2 2" xfId="21331" xr:uid="{00000000-0005-0000-0000-000064030000}"/>
    <cellStyle name="Calculation 5 2 2 2" xfId="22232" xr:uid="{AFC4F530-3A39-4C0E-9CB6-9562DFAEFBC7}"/>
    <cellStyle name="Calculation 5 2 3" xfId="21493" xr:uid="{D7FEE180-0905-4E5C-ADDC-C9960014CFD4}"/>
    <cellStyle name="Calculation 5 2 4" xfId="22478" xr:uid="{DE67C0F7-D1A7-412F-9F78-2A10E57D425A}"/>
    <cellStyle name="Calculation 5 2 5" xfId="22679" xr:uid="{C9576601-112E-4B4D-92C6-894D9EBF1F70}"/>
    <cellStyle name="Calculation 5 3" xfId="808" xr:uid="{00000000-0005-0000-0000-000065030000}"/>
    <cellStyle name="Calculation 5 3 2" xfId="21330" xr:uid="{00000000-0005-0000-0000-000066030000}"/>
    <cellStyle name="Calculation 5 3 2 2" xfId="22231" xr:uid="{4CDF7FBD-380B-4D57-9987-EA83E6C9EF2E}"/>
    <cellStyle name="Calculation 5 3 3" xfId="21494" xr:uid="{FED41848-B689-4089-A72C-11AA72C1F12B}"/>
    <cellStyle name="Calculation 5 3 4" xfId="22479" xr:uid="{EE478CED-5556-43DE-910C-4D8511CF99D7}"/>
    <cellStyle name="Calculation 5 3 5" xfId="22678" xr:uid="{E5EC2B08-6A96-4EAF-A7DC-9C83C12A8873}"/>
    <cellStyle name="Calculation 5 4" xfId="21332" xr:uid="{00000000-0005-0000-0000-000067030000}"/>
    <cellStyle name="Calculation 5 4 2" xfId="22233" xr:uid="{A69D5460-5A95-419A-B637-FDC26FC44885}"/>
    <cellStyle name="Calculation 5 5" xfId="21492" xr:uid="{8593F523-8DC7-450D-9A78-350242815A40}"/>
    <cellStyle name="Calculation 5 6" xfId="22477" xr:uid="{3FD0BDFD-1CC0-4957-8239-AB32320A6E80}"/>
    <cellStyle name="Calculation 5 7" xfId="22680" xr:uid="{CFADF004-EB8C-4095-8D07-4624CC504E8B}"/>
    <cellStyle name="Calculation 6" xfId="809" xr:uid="{00000000-0005-0000-0000-000068030000}"/>
    <cellStyle name="Calculation 6 2" xfId="810" xr:uid="{00000000-0005-0000-0000-000069030000}"/>
    <cellStyle name="Calculation 6 2 2" xfId="21328" xr:uid="{00000000-0005-0000-0000-00006A030000}"/>
    <cellStyle name="Calculation 6 2 2 2" xfId="22229" xr:uid="{6B8469F8-B64B-4E2B-977E-C3B182FBF2E4}"/>
    <cellStyle name="Calculation 6 2 3" xfId="21496" xr:uid="{DBC0B36C-2215-429B-8F9F-BAE81F1D4A95}"/>
    <cellStyle name="Calculation 6 2 4" xfId="22481" xr:uid="{31000BAC-B60B-4949-95FB-4676376CAAA0}"/>
    <cellStyle name="Calculation 6 2 5" xfId="22676" xr:uid="{AFCBC0D4-8869-4A52-BE1F-73C875E4D3F5}"/>
    <cellStyle name="Calculation 6 3" xfId="811" xr:uid="{00000000-0005-0000-0000-00006B030000}"/>
    <cellStyle name="Calculation 6 3 2" xfId="21327" xr:uid="{00000000-0005-0000-0000-00006C030000}"/>
    <cellStyle name="Calculation 6 3 2 2" xfId="22228" xr:uid="{9F9CCB12-18AC-42CD-A084-251D92BF3780}"/>
    <cellStyle name="Calculation 6 3 3" xfId="21497" xr:uid="{B3884BB6-6407-433E-BAE9-0F1E0BD05660}"/>
    <cellStyle name="Calculation 6 3 4" xfId="22482" xr:uid="{34E0DDD8-A6B2-4664-8273-33CB6B425F83}"/>
    <cellStyle name="Calculation 6 3 5" xfId="22675" xr:uid="{A02C7A52-F65F-47B9-89B1-F3EA6C9F46A6}"/>
    <cellStyle name="Calculation 6 4" xfId="21329" xr:uid="{00000000-0005-0000-0000-00006D030000}"/>
    <cellStyle name="Calculation 6 4 2" xfId="22230" xr:uid="{EB3AAE79-0A20-4D56-A0AE-6B48A1FEF762}"/>
    <cellStyle name="Calculation 6 5" xfId="21495" xr:uid="{0C6D4C8A-276B-4CA7-B0FE-1B3BD6578671}"/>
    <cellStyle name="Calculation 6 6" xfId="22480" xr:uid="{16D8CACF-F223-4C94-973E-53FA86F6ACE7}"/>
    <cellStyle name="Calculation 6 7" xfId="22677" xr:uid="{E7E542EA-81DD-4545-842D-3E7F27A6F6F2}"/>
    <cellStyle name="Calculation 7" xfId="812" xr:uid="{00000000-0005-0000-0000-00006E030000}"/>
    <cellStyle name="Calculation 7 2" xfId="21326" xr:uid="{00000000-0005-0000-0000-00006F030000}"/>
    <cellStyle name="Calculation 7 2 2" xfId="22227" xr:uid="{694C6ADB-32A5-4724-BC3B-26AB1A73D76C}"/>
    <cellStyle name="Calculation 7 3" xfId="21498" xr:uid="{E12DA4C1-A456-4957-BF5A-E85F2FB2A043}"/>
    <cellStyle name="Calculation 7 4" xfId="22483" xr:uid="{A5F5DE93-2AB0-41A8-AA74-408AD82F4C4D}"/>
    <cellStyle name="Calculation 7 5" xfId="22674" xr:uid="{903163EA-49F4-43D5-B652-B41329668EB1}"/>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0 2 2" xfId="22225" xr:uid="{4E7E2A1C-9618-4266-B3A7-94DF26B53A31}"/>
    <cellStyle name="Gia's 10 3" xfId="21500" xr:uid="{295E6D90-0226-44BF-8882-CEF8EB876D7B}"/>
    <cellStyle name="Gia's 10 4" xfId="22485" xr:uid="{54862203-6EAA-43E9-A311-01F9D06EF997}"/>
    <cellStyle name="Gia's 11" xfId="21325" xr:uid="{00000000-0005-0000-0000-00002C240000}"/>
    <cellStyle name="Gia's 11 2" xfId="22226" xr:uid="{1C14D5F8-809C-4F49-B18E-79859B9B23B0}"/>
    <cellStyle name="Gia's 12" xfId="21499" xr:uid="{CD28CC4B-F7D8-4CDC-9729-A7268318CCB3}"/>
    <cellStyle name="Gia's 13" xfId="22484" xr:uid="{A318189D-3C14-4352-8828-1B6DF21E8CD7}"/>
    <cellStyle name="Gia's 2" xfId="9187" xr:uid="{00000000-0005-0000-0000-00002D240000}"/>
    <cellStyle name="Gia's 2 2" xfId="21323" xr:uid="{00000000-0005-0000-0000-00002E240000}"/>
    <cellStyle name="Gia's 2 2 2" xfId="22224" xr:uid="{65CA1144-EB89-467C-8177-16CF3D4E2D80}"/>
    <cellStyle name="Gia's 2 3" xfId="21501" xr:uid="{275DDB16-9D44-458B-8A8E-55EEBEE1A109}"/>
    <cellStyle name="Gia's 2 4" xfId="22486" xr:uid="{EDACE5BF-265D-4F22-BC45-71763C40AE6A}"/>
    <cellStyle name="Gia's 3" xfId="9188" xr:uid="{00000000-0005-0000-0000-00002F240000}"/>
    <cellStyle name="Gia's 3 2" xfId="21322" xr:uid="{00000000-0005-0000-0000-000030240000}"/>
    <cellStyle name="Gia's 3 2 2" xfId="22223" xr:uid="{10113BD0-9131-497F-85CF-3046437DCE62}"/>
    <cellStyle name="Gia's 3 3" xfId="21502" xr:uid="{8ED3C307-80F0-4CE5-A5F2-177B8BB8A318}"/>
    <cellStyle name="Gia's 3 4" xfId="22487" xr:uid="{0762827F-083D-49A3-BD2E-87BBAFB395DE}"/>
    <cellStyle name="Gia's 4" xfId="9189" xr:uid="{00000000-0005-0000-0000-000031240000}"/>
    <cellStyle name="Gia's 4 2" xfId="21321" xr:uid="{00000000-0005-0000-0000-000032240000}"/>
    <cellStyle name="Gia's 4 2 2" xfId="22222" xr:uid="{32A1D1EB-B139-41CD-8350-A8B21EEBE88D}"/>
    <cellStyle name="Gia's 4 3" xfId="21503" xr:uid="{DF65B637-2F89-4D85-8CB5-24C1BA64A3C4}"/>
    <cellStyle name="Gia's 4 4" xfId="22488" xr:uid="{2CA4DD18-4B64-4DD8-ACC4-B9CE2D55FD5A}"/>
    <cellStyle name="Gia's 5" xfId="9190" xr:uid="{00000000-0005-0000-0000-000033240000}"/>
    <cellStyle name="Gia's 5 2" xfId="21320" xr:uid="{00000000-0005-0000-0000-000034240000}"/>
    <cellStyle name="Gia's 5 2 2" xfId="22221" xr:uid="{71FCF5E7-82F0-479F-ADA5-4D56F8967518}"/>
    <cellStyle name="Gia's 5 3" xfId="21504" xr:uid="{6FBD65D2-D271-4FB1-B711-CA2577B128F6}"/>
    <cellStyle name="Gia's 5 4" xfId="22489" xr:uid="{A30C2FC8-8332-421B-A35D-EB932467EE9C}"/>
    <cellStyle name="Gia's 6" xfId="9191" xr:uid="{00000000-0005-0000-0000-000035240000}"/>
    <cellStyle name="Gia's 6 2" xfId="21319" xr:uid="{00000000-0005-0000-0000-000036240000}"/>
    <cellStyle name="Gia's 6 2 2" xfId="22220" xr:uid="{7AE92B51-1B32-48DA-8B15-A3FEFEC4ACE9}"/>
    <cellStyle name="Gia's 6 3" xfId="21505" xr:uid="{01354BEC-3AE2-4E80-9FDF-6C8E549CE4F4}"/>
    <cellStyle name="Gia's 6 4" xfId="22490" xr:uid="{05068229-A1A3-4AE5-BAB9-B3BD58B70761}"/>
    <cellStyle name="Gia's 7" xfId="9192" xr:uid="{00000000-0005-0000-0000-000037240000}"/>
    <cellStyle name="Gia's 7 2" xfId="21318" xr:uid="{00000000-0005-0000-0000-000038240000}"/>
    <cellStyle name="Gia's 7 2 2" xfId="22219" xr:uid="{5806A5EA-07A6-4A3F-AC88-020B5CF02403}"/>
    <cellStyle name="Gia's 7 3" xfId="21506" xr:uid="{E86A85F1-289B-4CD0-87D7-A337D37A5CFD}"/>
    <cellStyle name="Gia's 7 4" xfId="22491" xr:uid="{93768433-7422-4567-9200-7E7AF5AE73C8}"/>
    <cellStyle name="Gia's 8" xfId="9193" xr:uid="{00000000-0005-0000-0000-000039240000}"/>
    <cellStyle name="Gia's 8 2" xfId="21317" xr:uid="{00000000-0005-0000-0000-00003A240000}"/>
    <cellStyle name="Gia's 8 2 2" xfId="22218" xr:uid="{3324E8B3-A585-4C7A-8A7C-1505D9585E63}"/>
    <cellStyle name="Gia's 8 3" xfId="21507" xr:uid="{5B315C5B-4435-4B3B-A7F4-A06D31162204}"/>
    <cellStyle name="Gia's 8 4" xfId="22492" xr:uid="{B1E7B471-3069-474E-B89C-0EE64D951D21}"/>
    <cellStyle name="Gia's 9" xfId="9194" xr:uid="{00000000-0005-0000-0000-00003B240000}"/>
    <cellStyle name="Gia's 9 2" xfId="21316" xr:uid="{00000000-0005-0000-0000-00003C240000}"/>
    <cellStyle name="Gia's 9 2 2" xfId="22217" xr:uid="{90919A5A-B9D0-4DF4-8EB0-EEDCAAE36B18}"/>
    <cellStyle name="Gia's 9 3" xfId="21508" xr:uid="{A826C1A4-767F-4235-A12F-6B4B43A122A6}"/>
    <cellStyle name="Gia's 9 4" xfId="22493" xr:uid="{50E2BB54-EB81-47E4-A0D0-2D40C6FEEF86}"/>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greyed 2 2" xfId="22216" xr:uid="{75EA40C3-10C6-4CA7-83D7-9B3D386EBA1D}"/>
    <cellStyle name="greyed 3" xfId="21509" xr:uid="{C4CF69B6-9989-4226-8DE3-DB1F861ED2BC}"/>
    <cellStyle name="greyed 4" xfId="22494" xr:uid="{C6044351-9E4D-46F1-A968-4678765F7D01}"/>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2 2 2" xfId="22214" xr:uid="{A4E49948-1450-490E-9187-4D5809C1A4B2}"/>
    <cellStyle name="Header2 2 3" xfId="21511" xr:uid="{77C0810E-F76B-43FF-AA62-8B1CC97F1DC3}"/>
    <cellStyle name="Header2 2 4" xfId="22496" xr:uid="{39B0603C-1FA4-4FBF-A37A-452AFC8FB52B}"/>
    <cellStyle name="Header2 2 5" xfId="22672" xr:uid="{66FBB03F-7A51-4DB5-BB13-EA5345B44DC0}"/>
    <cellStyle name="Header2 3" xfId="9227" xr:uid="{00000000-0005-0000-0000-00005F240000}"/>
    <cellStyle name="Header2 3 2" xfId="21312" xr:uid="{00000000-0005-0000-0000-000060240000}"/>
    <cellStyle name="Header2 3 2 2" xfId="22213" xr:uid="{E43E9D45-05AF-4FB3-87BB-34C3B9673BB6}"/>
    <cellStyle name="Header2 3 3" xfId="21512" xr:uid="{40FE1BBF-2EF4-4480-9FF3-7E0A0E70A7C5}"/>
    <cellStyle name="Header2 3 4" xfId="22497" xr:uid="{EFFF9E24-C956-464B-830D-34348B56E8B2}"/>
    <cellStyle name="Header2 3 5" xfId="22671" xr:uid="{C8FC345B-3FD2-41D5-83F3-61E4C1C17EA8}"/>
    <cellStyle name="Header2 4" xfId="21314" xr:uid="{00000000-0005-0000-0000-000061240000}"/>
    <cellStyle name="Header2 4 2" xfId="22215" xr:uid="{14D40996-8B49-401F-8007-0062A5FF075C}"/>
    <cellStyle name="Header2 5" xfId="21510" xr:uid="{00396469-573C-4B9E-8E3D-45D36C22AABB}"/>
    <cellStyle name="Header2 6" xfId="22495" xr:uid="{08F133C1-1442-49AF-B93B-2FE1B0DB7D9E}"/>
    <cellStyle name="Header2 7" xfId="22673" xr:uid="{0F1985AA-7B74-40CA-949A-6131E0F3F13F}"/>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eadingTable 2 2" xfId="22212" xr:uid="{AA8C2668-6803-4076-9F93-B2F7E3969C59}"/>
    <cellStyle name="HeadingTable 3" xfId="21513" xr:uid="{BBE2D8DF-FED1-4DC6-8373-968A6E137867}"/>
    <cellStyle name="HeadingTable 4" xfId="22498" xr:uid="{E1D6878E-08C8-4664-B64C-4D2DADDF1B0F}"/>
    <cellStyle name="highlightExposure" xfId="9323" xr:uid="{00000000-0005-0000-0000-0000C2240000}"/>
    <cellStyle name="highlightExposure 2" xfId="21310" xr:uid="{00000000-0005-0000-0000-0000C3240000}"/>
    <cellStyle name="highlightExposure 2 2" xfId="22211" xr:uid="{1460959F-9861-406F-BB34-50002E242EFB}"/>
    <cellStyle name="highlightExposure 3" xfId="21514" xr:uid="{1E15C85A-E2B1-4AAA-9804-F870F6D85142}"/>
    <cellStyle name="highlightExposure 4" xfId="22499" xr:uid="{FED022F9-C748-42D8-8ADE-23217D83C268}"/>
    <cellStyle name="highlightPercentage" xfId="9324" xr:uid="{00000000-0005-0000-0000-0000C4240000}"/>
    <cellStyle name="highlightPercentage 2" xfId="21309" xr:uid="{00000000-0005-0000-0000-0000C5240000}"/>
    <cellStyle name="highlightPercentage 2 2" xfId="22210" xr:uid="{B4D18A98-BDA1-4BE1-9A7C-66A887DB680E}"/>
    <cellStyle name="highlightPercentage 3" xfId="21515" xr:uid="{9850E166-A406-4FE2-9BFF-CA05AE117E45}"/>
    <cellStyle name="highlightPercentage 4" xfId="22500" xr:uid="{B70FA45C-828B-40C9-896E-3C1FC32F47CD}"/>
    <cellStyle name="highlightText" xfId="9325" xr:uid="{00000000-0005-0000-0000-0000C6240000}"/>
    <cellStyle name="highlightText 2" xfId="21308" xr:uid="{00000000-0005-0000-0000-0000C7240000}"/>
    <cellStyle name="highlightText 2 2" xfId="22209" xr:uid="{082BC4BD-6270-4CD9-8D35-BFE2973AA066}"/>
    <cellStyle name="highlightText 3" xfId="21516" xr:uid="{9D3F68DC-C071-4B3E-A2AB-3621CC2B614E}"/>
    <cellStyle name="highlightText 4" xfId="22501" xr:uid="{A008BE37-88A0-4AC4-A547-B8A67CF6624A}"/>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2 2 2" xfId="22207" xr:uid="{F2DA0756-63DE-424D-A80E-E699E911D66A}"/>
    <cellStyle name="Input 2 10 2 3" xfId="21518" xr:uid="{4EE2B051-A78D-4F44-BF36-40754EDE4049}"/>
    <cellStyle name="Input 2 10 2 4" xfId="22503" xr:uid="{202CC37B-DBBD-43BB-A972-BCBB1A5FAC2E}"/>
    <cellStyle name="Input 2 10 2 5" xfId="22669" xr:uid="{086A3AF5-6D46-4BE4-B9D9-4A1A836E7F9A}"/>
    <cellStyle name="Input 2 10 3" xfId="9336" xr:uid="{00000000-0005-0000-0000-0000D4240000}"/>
    <cellStyle name="Input 2 10 3 2" xfId="21305" xr:uid="{00000000-0005-0000-0000-0000D5240000}"/>
    <cellStyle name="Input 2 10 3 2 2" xfId="22206" xr:uid="{C00158A3-4B43-4C8B-96B3-41F384383148}"/>
    <cellStyle name="Input 2 10 3 3" xfId="21519" xr:uid="{C69AD1BA-E3DF-41E9-BAEB-4717B7A9D644}"/>
    <cellStyle name="Input 2 10 3 4" xfId="22504" xr:uid="{559C0754-B96C-4ECF-AD81-63466D3B4C71}"/>
    <cellStyle name="Input 2 10 3 5" xfId="22668" xr:uid="{8611375D-1DF0-49CA-A3E4-4ACCAF2463D2}"/>
    <cellStyle name="Input 2 10 4" xfId="9337" xr:uid="{00000000-0005-0000-0000-0000D6240000}"/>
    <cellStyle name="Input 2 10 4 2" xfId="21304" xr:uid="{00000000-0005-0000-0000-0000D7240000}"/>
    <cellStyle name="Input 2 10 4 2 2" xfId="22205" xr:uid="{CDDD4EA4-DDC7-4763-B1F3-722F49DFD844}"/>
    <cellStyle name="Input 2 10 4 3" xfId="21520" xr:uid="{870E69F7-D017-4F87-B780-A6D4C902EB4C}"/>
    <cellStyle name="Input 2 10 4 4" xfId="22505" xr:uid="{F0CF61DD-984D-42A3-B8B1-B4FB14906F73}"/>
    <cellStyle name="Input 2 10 4 5" xfId="22667" xr:uid="{D4E015C0-A5B3-4EEF-9B2C-E6A8C8383952}"/>
    <cellStyle name="Input 2 10 5" xfId="9338" xr:uid="{00000000-0005-0000-0000-0000D8240000}"/>
    <cellStyle name="Input 2 10 5 2" xfId="21303" xr:uid="{00000000-0005-0000-0000-0000D9240000}"/>
    <cellStyle name="Input 2 10 5 2 2" xfId="22204" xr:uid="{8A66B20F-8A6A-449F-8A46-62A0056BD0A8}"/>
    <cellStyle name="Input 2 10 5 3" xfId="21521" xr:uid="{3573BCDD-FDFF-459E-A7CB-943CB10CD2EE}"/>
    <cellStyle name="Input 2 10 5 4" xfId="22506" xr:uid="{9B28FB25-95F7-489D-8F38-8B1A5C3E04BC}"/>
    <cellStyle name="Input 2 10 5 5" xfId="22666" xr:uid="{CEF8C88E-668E-455B-AC45-47BC3ACF5A1D}"/>
    <cellStyle name="Input 2 11" xfId="9339" xr:uid="{00000000-0005-0000-0000-0000DA240000}"/>
    <cellStyle name="Input 2 11 2" xfId="9340" xr:uid="{00000000-0005-0000-0000-0000DB240000}"/>
    <cellStyle name="Input 2 11 2 2" xfId="21301" xr:uid="{00000000-0005-0000-0000-0000DC240000}"/>
    <cellStyle name="Input 2 11 2 2 2" xfId="22202" xr:uid="{C2579313-2E7E-4A22-B550-995B85DA9539}"/>
    <cellStyle name="Input 2 11 2 3" xfId="21523" xr:uid="{BF5960D3-D1B0-457A-9CCC-E09220C2B0F2}"/>
    <cellStyle name="Input 2 11 2 4" xfId="22508" xr:uid="{68527BC7-C4DD-40BE-8EF5-1611A6903DA2}"/>
    <cellStyle name="Input 2 11 2 5" xfId="22664" xr:uid="{91E2209F-53DB-487D-A948-46E6AA39AB2C}"/>
    <cellStyle name="Input 2 11 3" xfId="9341" xr:uid="{00000000-0005-0000-0000-0000DD240000}"/>
    <cellStyle name="Input 2 11 3 2" xfId="21300" xr:uid="{00000000-0005-0000-0000-0000DE240000}"/>
    <cellStyle name="Input 2 11 3 2 2" xfId="22201" xr:uid="{98391ADE-AEC0-40E1-9D0D-1E8F534F57D4}"/>
    <cellStyle name="Input 2 11 3 3" xfId="21524" xr:uid="{C2C27E82-D1C9-4C84-B746-2F7E8EE3B1FD}"/>
    <cellStyle name="Input 2 11 3 4" xfId="22509" xr:uid="{88303440-0F72-45EA-898D-975B277221FB}"/>
    <cellStyle name="Input 2 11 3 5" xfId="22663" xr:uid="{0D96FF67-3D55-4130-B793-AFD31620A076}"/>
    <cellStyle name="Input 2 11 4" xfId="9342" xr:uid="{00000000-0005-0000-0000-0000DF240000}"/>
    <cellStyle name="Input 2 11 4 2" xfId="21299" xr:uid="{00000000-0005-0000-0000-0000E0240000}"/>
    <cellStyle name="Input 2 11 4 2 2" xfId="22200" xr:uid="{ECDB693E-4CA2-47E6-ACDB-6F8CB2978756}"/>
    <cellStyle name="Input 2 11 4 3" xfId="21525" xr:uid="{0536EB59-8775-417E-BDAA-8ECF7F80E592}"/>
    <cellStyle name="Input 2 11 4 4" xfId="22510" xr:uid="{77B70058-7C89-4B26-9F3D-8217353AAF2D}"/>
    <cellStyle name="Input 2 11 4 5" xfId="22662" xr:uid="{7FF034E6-0F36-4A07-94C2-4D86915F6FEA}"/>
    <cellStyle name="Input 2 11 5" xfId="9343" xr:uid="{00000000-0005-0000-0000-0000E1240000}"/>
    <cellStyle name="Input 2 11 5 2" xfId="21298" xr:uid="{00000000-0005-0000-0000-0000E2240000}"/>
    <cellStyle name="Input 2 11 5 2 2" xfId="22199" xr:uid="{C7730280-A37F-44CB-A65E-8F7B544B2F7F}"/>
    <cellStyle name="Input 2 11 5 3" xfId="21526" xr:uid="{569A77BA-A918-4F25-8B61-DBFF34156136}"/>
    <cellStyle name="Input 2 11 5 4" xfId="22511" xr:uid="{CF90411A-B8DD-4162-9415-EFB6B83102F6}"/>
    <cellStyle name="Input 2 11 5 5" xfId="22661" xr:uid="{DB696884-B040-40D0-AC84-992592ED67CC}"/>
    <cellStyle name="Input 2 11 6" xfId="21302" xr:uid="{00000000-0005-0000-0000-0000E3240000}"/>
    <cellStyle name="Input 2 11 6 2" xfId="22203" xr:uid="{36258AB9-6DDB-46C6-B7EF-E059AB367382}"/>
    <cellStyle name="Input 2 11 7" xfId="21522" xr:uid="{A779F280-7D6E-4441-A19B-18A5FB83AF86}"/>
    <cellStyle name="Input 2 11 8" xfId="22507" xr:uid="{4EBE8286-4929-4CED-9F01-3E52E0650B06}"/>
    <cellStyle name="Input 2 11 9" xfId="22665" xr:uid="{5E31D067-2738-4E09-8E9B-DC031055A957}"/>
    <cellStyle name="Input 2 12" xfId="9344" xr:uid="{00000000-0005-0000-0000-0000E4240000}"/>
    <cellStyle name="Input 2 12 2" xfId="9345" xr:uid="{00000000-0005-0000-0000-0000E5240000}"/>
    <cellStyle name="Input 2 12 2 2" xfId="21296" xr:uid="{00000000-0005-0000-0000-0000E6240000}"/>
    <cellStyle name="Input 2 12 2 2 2" xfId="22197" xr:uid="{899C3B71-3C04-4A65-B8D7-DAFDBC449015}"/>
    <cellStyle name="Input 2 12 2 3" xfId="21528" xr:uid="{F35A310C-7EB6-47D9-B17C-3C00097378C7}"/>
    <cellStyle name="Input 2 12 2 4" xfId="22513" xr:uid="{A4D5497F-E694-43B1-9D91-9A11B849F73F}"/>
    <cellStyle name="Input 2 12 2 5" xfId="22659" xr:uid="{5438E56D-74A8-433F-8A6F-ED47371CCDBE}"/>
    <cellStyle name="Input 2 12 3" xfId="9346" xr:uid="{00000000-0005-0000-0000-0000E7240000}"/>
    <cellStyle name="Input 2 12 3 2" xfId="21295" xr:uid="{00000000-0005-0000-0000-0000E8240000}"/>
    <cellStyle name="Input 2 12 3 2 2" xfId="22196" xr:uid="{01A41289-3A25-465A-A6FA-679EC103C947}"/>
    <cellStyle name="Input 2 12 3 3" xfId="21529" xr:uid="{DB2CC10B-A552-4CE8-A63E-A1A6C6F463D3}"/>
    <cellStyle name="Input 2 12 3 4" xfId="22514" xr:uid="{B8E409DB-F127-4557-A79D-8B466D283D3B}"/>
    <cellStyle name="Input 2 12 3 5" xfId="22658" xr:uid="{7D2ECDBC-1211-4045-911B-4594EBFC10DB}"/>
    <cellStyle name="Input 2 12 4" xfId="9347" xr:uid="{00000000-0005-0000-0000-0000E9240000}"/>
    <cellStyle name="Input 2 12 4 2" xfId="21294" xr:uid="{00000000-0005-0000-0000-0000EA240000}"/>
    <cellStyle name="Input 2 12 4 2 2" xfId="22195" xr:uid="{8AC64072-EB1C-42C8-8866-347C9B75EE28}"/>
    <cellStyle name="Input 2 12 4 3" xfId="21530" xr:uid="{07C402FA-4092-4BB1-8372-4798F76A5F98}"/>
    <cellStyle name="Input 2 12 4 4" xfId="22515" xr:uid="{10E9B357-D735-4B57-86ED-5556BEE8D5C4}"/>
    <cellStyle name="Input 2 12 4 5" xfId="22657" xr:uid="{57699716-FC16-480C-8BFD-24EB53AC463B}"/>
    <cellStyle name="Input 2 12 5" xfId="9348" xr:uid="{00000000-0005-0000-0000-0000EB240000}"/>
    <cellStyle name="Input 2 12 5 2" xfId="21293" xr:uid="{00000000-0005-0000-0000-0000EC240000}"/>
    <cellStyle name="Input 2 12 5 2 2" xfId="22194" xr:uid="{43222C3E-3A11-43D8-8489-4FD7957A8024}"/>
    <cellStyle name="Input 2 12 5 3" xfId="21531" xr:uid="{B428766E-BF96-4274-AE0B-D267DF47578E}"/>
    <cellStyle name="Input 2 12 5 4" xfId="22516" xr:uid="{CA519FDB-43B7-4AE9-AA2E-261A1D345ED6}"/>
    <cellStyle name="Input 2 12 5 5" xfId="22656" xr:uid="{104DDF6E-5CD3-4412-90E9-EA6C30E09B3F}"/>
    <cellStyle name="Input 2 12 6" xfId="21297" xr:uid="{00000000-0005-0000-0000-0000ED240000}"/>
    <cellStyle name="Input 2 12 6 2" xfId="22198" xr:uid="{C58F58D9-8C69-404B-A394-0CEA415FC6DD}"/>
    <cellStyle name="Input 2 12 7" xfId="21527" xr:uid="{374702A0-FFD7-4D6A-B328-CD4B69163271}"/>
    <cellStyle name="Input 2 12 8" xfId="22512" xr:uid="{F9F3A976-AB62-4C97-AA85-113472D3752A}"/>
    <cellStyle name="Input 2 12 9" xfId="22660" xr:uid="{C5A6F4ED-4FDF-4D6C-9E8E-D839ACF9B178}"/>
    <cellStyle name="Input 2 13" xfId="9349" xr:uid="{00000000-0005-0000-0000-0000EE240000}"/>
    <cellStyle name="Input 2 13 2" xfId="9350" xr:uid="{00000000-0005-0000-0000-0000EF240000}"/>
    <cellStyle name="Input 2 13 2 2" xfId="21291" xr:uid="{00000000-0005-0000-0000-0000F0240000}"/>
    <cellStyle name="Input 2 13 2 2 2" xfId="22192" xr:uid="{0842708A-2F2B-42FC-8AE9-04C4BD212F4D}"/>
    <cellStyle name="Input 2 13 2 3" xfId="21533" xr:uid="{15539C53-98C0-47FB-9F0A-7A5B67A19CC6}"/>
    <cellStyle name="Input 2 13 2 4" xfId="22518" xr:uid="{B770BC51-6E3E-4A4A-BA1D-0403F46D0813}"/>
    <cellStyle name="Input 2 13 2 5" xfId="22654" xr:uid="{5A7354E2-C923-4851-9998-729DA77B6957}"/>
    <cellStyle name="Input 2 13 3" xfId="9351" xr:uid="{00000000-0005-0000-0000-0000F1240000}"/>
    <cellStyle name="Input 2 13 3 2" xfId="21290" xr:uid="{00000000-0005-0000-0000-0000F2240000}"/>
    <cellStyle name="Input 2 13 3 2 2" xfId="22191" xr:uid="{B63898F9-EAAE-4B4F-883E-DC3988E8BA25}"/>
    <cellStyle name="Input 2 13 3 3" xfId="21534" xr:uid="{141ACC3D-98D2-42D9-BF2F-6951CA20AA63}"/>
    <cellStyle name="Input 2 13 3 4" xfId="22519" xr:uid="{81DA2981-3AAB-4FB6-AAC8-F09A1422DCD1}"/>
    <cellStyle name="Input 2 13 3 5" xfId="22653" xr:uid="{DBE2CBBF-CFB9-481C-9531-EBC66BC3833B}"/>
    <cellStyle name="Input 2 13 4" xfId="9352" xr:uid="{00000000-0005-0000-0000-0000F3240000}"/>
    <cellStyle name="Input 2 13 4 2" xfId="21289" xr:uid="{00000000-0005-0000-0000-0000F4240000}"/>
    <cellStyle name="Input 2 13 4 2 2" xfId="22190" xr:uid="{B7B0EC33-60C4-4F47-8D24-97101615551E}"/>
    <cellStyle name="Input 2 13 4 3" xfId="21535" xr:uid="{C7C381D0-2497-4D10-84A2-5ECDDE3D76B0}"/>
    <cellStyle name="Input 2 13 4 4" xfId="22520" xr:uid="{2E0F02E6-D533-42AF-BFC2-C0E2B15E8F01}"/>
    <cellStyle name="Input 2 13 4 5" xfId="22652" xr:uid="{D9A55E5E-1B1F-42CF-BF85-1210CEADA62B}"/>
    <cellStyle name="Input 2 13 5" xfId="21292" xr:uid="{00000000-0005-0000-0000-0000F5240000}"/>
    <cellStyle name="Input 2 13 5 2" xfId="22193" xr:uid="{C112909A-1371-4998-B243-94537B60D8EB}"/>
    <cellStyle name="Input 2 13 6" xfId="21532" xr:uid="{7FD821DC-37C6-402D-809B-70DD678FF698}"/>
    <cellStyle name="Input 2 13 7" xfId="22517" xr:uid="{59BFB7A4-B2CE-41FC-A5B7-ED45401F5CD3}"/>
    <cellStyle name="Input 2 13 8" xfId="22655" xr:uid="{102A5AE4-3F34-455E-8962-1C5AA452FDB0}"/>
    <cellStyle name="Input 2 14" xfId="9353" xr:uid="{00000000-0005-0000-0000-0000F6240000}"/>
    <cellStyle name="Input 2 14 2" xfId="21288" xr:uid="{00000000-0005-0000-0000-0000F7240000}"/>
    <cellStyle name="Input 2 14 2 2" xfId="22189" xr:uid="{7DC87B43-8516-496E-BCB7-20EFE5408026}"/>
    <cellStyle name="Input 2 14 3" xfId="21536" xr:uid="{7D91BFA5-D9B8-40D8-9863-FCD6ED2E773E}"/>
    <cellStyle name="Input 2 14 4" xfId="22521" xr:uid="{FBAF567A-3E64-419F-ACD1-7779C6092DBD}"/>
    <cellStyle name="Input 2 14 5" xfId="22651" xr:uid="{9B3A41EB-4444-4603-99CD-25F129430884}"/>
    <cellStyle name="Input 2 15" xfId="9354" xr:uid="{00000000-0005-0000-0000-0000F8240000}"/>
    <cellStyle name="Input 2 15 2" xfId="21287" xr:uid="{00000000-0005-0000-0000-0000F9240000}"/>
    <cellStyle name="Input 2 15 2 2" xfId="22188" xr:uid="{05DA56E3-6CEC-458E-B48E-2C56DBB40E9F}"/>
    <cellStyle name="Input 2 15 3" xfId="21537" xr:uid="{91C4FF29-E0B2-441C-A94D-A26A0727B2F9}"/>
    <cellStyle name="Input 2 15 4" xfId="22522" xr:uid="{9CFB2F96-FDDA-4EB8-B716-976F350517F8}"/>
    <cellStyle name="Input 2 15 5" xfId="22650" xr:uid="{F2B43D3E-90CD-4E81-8CAC-09D21788BB96}"/>
    <cellStyle name="Input 2 16" xfId="9355" xr:uid="{00000000-0005-0000-0000-0000FA240000}"/>
    <cellStyle name="Input 2 16 2" xfId="21286" xr:uid="{00000000-0005-0000-0000-0000FB240000}"/>
    <cellStyle name="Input 2 16 2 2" xfId="22187" xr:uid="{FB97F2CF-F553-46D7-8102-AAE048F95F26}"/>
    <cellStyle name="Input 2 16 3" xfId="21538" xr:uid="{347766BD-53B8-480A-87CB-FBB7A698DB0B}"/>
    <cellStyle name="Input 2 16 4" xfId="22523" xr:uid="{1356AA60-2311-4DD5-B8DB-DE3E182C2593}"/>
    <cellStyle name="Input 2 16 5" xfId="22649" xr:uid="{B7745131-9AB7-4D28-B158-2803178FB655}"/>
    <cellStyle name="Input 2 17" xfId="21307" xr:uid="{00000000-0005-0000-0000-0000FC240000}"/>
    <cellStyle name="Input 2 17 2" xfId="22208" xr:uid="{A4BC8B23-EE1B-4422-B629-FB3D0C6AD9D6}"/>
    <cellStyle name="Input 2 18" xfId="21517" xr:uid="{C6A71672-7DEE-4BED-94D9-57C62DE070B1}"/>
    <cellStyle name="Input 2 19" xfId="22502" xr:uid="{7338BAEC-A4B5-4061-95BA-45EFB3DC3EA5}"/>
    <cellStyle name="Input 2 2" xfId="9356" xr:uid="{00000000-0005-0000-0000-0000FD240000}"/>
    <cellStyle name="Input 2 2 10" xfId="21285" xr:uid="{00000000-0005-0000-0000-0000FE240000}"/>
    <cellStyle name="Input 2 2 10 2" xfId="22186" xr:uid="{F0BA1BFD-572C-448E-8634-B588305AAC5F}"/>
    <cellStyle name="Input 2 2 11" xfId="21539" xr:uid="{8C95FA6C-5304-4427-9833-5A6295B807F1}"/>
    <cellStyle name="Input 2 2 12" xfId="22524" xr:uid="{D6EFBE06-D442-4DA4-8EE7-A5A11D532CDC}"/>
    <cellStyle name="Input 2 2 13" xfId="22648" xr:uid="{9C57D7E1-B572-44BE-9FE7-08EC0491113E}"/>
    <cellStyle name="Input 2 2 2" xfId="9357" xr:uid="{00000000-0005-0000-0000-0000FF240000}"/>
    <cellStyle name="Input 2 2 2 2" xfId="9358" xr:uid="{00000000-0005-0000-0000-000000250000}"/>
    <cellStyle name="Input 2 2 2 2 2" xfId="21283" xr:uid="{00000000-0005-0000-0000-000001250000}"/>
    <cellStyle name="Input 2 2 2 2 2 2" xfId="22184" xr:uid="{86F252ED-8F8C-4AC9-B2F0-42124DA4B1E8}"/>
    <cellStyle name="Input 2 2 2 2 3" xfId="21541" xr:uid="{5845C6DE-88F6-4921-8AE3-936E2987C0D8}"/>
    <cellStyle name="Input 2 2 2 2 4" xfId="22526" xr:uid="{A71BE32D-8E17-4138-ACB6-BAE46EFE8FE3}"/>
    <cellStyle name="Input 2 2 2 2 5" xfId="22646" xr:uid="{2A4905FE-6694-4F7D-B25D-5B9B9230A018}"/>
    <cellStyle name="Input 2 2 2 3" xfId="9359" xr:uid="{00000000-0005-0000-0000-000002250000}"/>
    <cellStyle name="Input 2 2 2 3 2" xfId="21282" xr:uid="{00000000-0005-0000-0000-000003250000}"/>
    <cellStyle name="Input 2 2 2 3 2 2" xfId="22183" xr:uid="{BDA5BCB5-543C-4634-8F0E-92045AD13535}"/>
    <cellStyle name="Input 2 2 2 3 3" xfId="21542" xr:uid="{AE04DD16-10FA-4C09-9553-2A13BF494FB3}"/>
    <cellStyle name="Input 2 2 2 3 4" xfId="22527" xr:uid="{3B56996A-8082-4399-B82C-509B416A7D8B}"/>
    <cellStyle name="Input 2 2 2 3 5" xfId="22645" xr:uid="{05D245DF-3F0C-485B-8B82-752E4B2FA804}"/>
    <cellStyle name="Input 2 2 2 4" xfId="9360" xr:uid="{00000000-0005-0000-0000-000004250000}"/>
    <cellStyle name="Input 2 2 2 4 2" xfId="21281" xr:uid="{00000000-0005-0000-0000-000005250000}"/>
    <cellStyle name="Input 2 2 2 4 2 2" xfId="22182" xr:uid="{06EEFFB3-C055-4BA1-BED8-F35E25C3A295}"/>
    <cellStyle name="Input 2 2 2 4 3" xfId="21543" xr:uid="{DA109F51-FB36-4C1F-9DAD-98029B776C4C}"/>
    <cellStyle name="Input 2 2 2 4 4" xfId="22528" xr:uid="{D83F9D7C-9918-4E28-89B3-394DA43A2328}"/>
    <cellStyle name="Input 2 2 2 4 5" xfId="22644" xr:uid="{72E2D231-C751-46E4-9EA0-6543A0434B42}"/>
    <cellStyle name="Input 2 2 2 5" xfId="21284" xr:uid="{00000000-0005-0000-0000-000006250000}"/>
    <cellStyle name="Input 2 2 2 5 2" xfId="22185" xr:uid="{1F48DB95-88DD-4008-982F-937B86736A37}"/>
    <cellStyle name="Input 2 2 2 6" xfId="21540" xr:uid="{1BC28B38-05CA-4904-AC82-5DBC2BD91AAD}"/>
    <cellStyle name="Input 2 2 2 7" xfId="22525" xr:uid="{CF645022-4EA1-428A-9337-D915906D233C}"/>
    <cellStyle name="Input 2 2 2 8" xfId="22647" xr:uid="{20C34468-8DD7-4EE6-A3C1-4BECF64801BE}"/>
    <cellStyle name="Input 2 2 3" xfId="9361" xr:uid="{00000000-0005-0000-0000-000007250000}"/>
    <cellStyle name="Input 2 2 3 2" xfId="9362" xr:uid="{00000000-0005-0000-0000-000008250000}"/>
    <cellStyle name="Input 2 2 3 2 2" xfId="21279" xr:uid="{00000000-0005-0000-0000-000009250000}"/>
    <cellStyle name="Input 2 2 3 2 2 2" xfId="22180" xr:uid="{E027AB5D-9BD3-4ACA-A32F-FA4B80DDA56C}"/>
    <cellStyle name="Input 2 2 3 2 3" xfId="21545" xr:uid="{1D5291A9-0F13-4C23-A409-A480CFAB1D7F}"/>
    <cellStyle name="Input 2 2 3 2 4" xfId="22530" xr:uid="{0EE8054D-26B6-4F4D-8ED9-201A24F2F2F9}"/>
    <cellStyle name="Input 2 2 3 2 5" xfId="22642" xr:uid="{60B6595A-B9A8-42ED-897B-F791593F1E99}"/>
    <cellStyle name="Input 2 2 3 3" xfId="9363" xr:uid="{00000000-0005-0000-0000-00000A250000}"/>
    <cellStyle name="Input 2 2 3 3 2" xfId="21278" xr:uid="{00000000-0005-0000-0000-00000B250000}"/>
    <cellStyle name="Input 2 2 3 3 2 2" xfId="22179" xr:uid="{F9096F52-3CCE-4EBB-8638-7AEDD1B48AAD}"/>
    <cellStyle name="Input 2 2 3 3 3" xfId="21546" xr:uid="{7146C3F4-4E5A-478B-9DAB-4D2FA92E8D12}"/>
    <cellStyle name="Input 2 2 3 3 4" xfId="22531" xr:uid="{8C7B0A61-69EE-4719-ACA1-49BA57278E71}"/>
    <cellStyle name="Input 2 2 3 3 5" xfId="22641" xr:uid="{7E4AE110-289D-4A56-AAAC-DC0CE7C1E224}"/>
    <cellStyle name="Input 2 2 3 4" xfId="9364" xr:uid="{00000000-0005-0000-0000-00000C250000}"/>
    <cellStyle name="Input 2 2 3 4 2" xfId="21277" xr:uid="{00000000-0005-0000-0000-00000D250000}"/>
    <cellStyle name="Input 2 2 3 4 2 2" xfId="22178" xr:uid="{532B5524-E3A6-46CE-94CB-D6495730EE81}"/>
    <cellStyle name="Input 2 2 3 4 3" xfId="21547" xr:uid="{5F8AF195-93F4-444F-B39C-DC19EF4D889E}"/>
    <cellStyle name="Input 2 2 3 4 4" xfId="22532" xr:uid="{E3F571E4-D8EB-4050-BF3A-983969D58D85}"/>
    <cellStyle name="Input 2 2 3 4 5" xfId="22640" xr:uid="{6E1C1A18-3E34-4751-A801-A793A8B4ECC7}"/>
    <cellStyle name="Input 2 2 3 5" xfId="21280" xr:uid="{00000000-0005-0000-0000-00000E250000}"/>
    <cellStyle name="Input 2 2 3 5 2" xfId="22181" xr:uid="{6C377DAF-E10F-4ECF-8A22-8A5E74A4280D}"/>
    <cellStyle name="Input 2 2 3 6" xfId="21544" xr:uid="{4003925E-5449-4CF6-B567-087F93753BD2}"/>
    <cellStyle name="Input 2 2 3 7" xfId="22529" xr:uid="{5BD07B32-7541-494F-89DF-A0CAB8AEADE9}"/>
    <cellStyle name="Input 2 2 3 8" xfId="22643" xr:uid="{E57A3A03-423F-417B-8B6F-5A952D929C14}"/>
    <cellStyle name="Input 2 2 4" xfId="9365" xr:uid="{00000000-0005-0000-0000-00000F250000}"/>
    <cellStyle name="Input 2 2 4 2" xfId="9366" xr:uid="{00000000-0005-0000-0000-000010250000}"/>
    <cellStyle name="Input 2 2 4 2 2" xfId="21275" xr:uid="{00000000-0005-0000-0000-000011250000}"/>
    <cellStyle name="Input 2 2 4 2 2 2" xfId="22176" xr:uid="{739662CA-0C1B-4771-8BFA-9363AB957A93}"/>
    <cellStyle name="Input 2 2 4 2 3" xfId="21549" xr:uid="{BCD7FDB3-D69B-4150-930A-3C5120ED373E}"/>
    <cellStyle name="Input 2 2 4 2 4" xfId="22534" xr:uid="{452EE1A2-A448-41C0-A3FF-7E0BF09C84DF}"/>
    <cellStyle name="Input 2 2 4 2 5" xfId="22638" xr:uid="{0B9E4E29-BA78-4A48-A959-79A0E294FFCD}"/>
    <cellStyle name="Input 2 2 4 3" xfId="9367" xr:uid="{00000000-0005-0000-0000-000012250000}"/>
    <cellStyle name="Input 2 2 4 3 2" xfId="21274" xr:uid="{00000000-0005-0000-0000-000013250000}"/>
    <cellStyle name="Input 2 2 4 3 2 2" xfId="22175" xr:uid="{04BB8939-A1EE-49C2-94E5-5DED8CC80CC2}"/>
    <cellStyle name="Input 2 2 4 3 3" xfId="21550" xr:uid="{9A2078F5-4B59-4EC5-BF8C-767D24B0441F}"/>
    <cellStyle name="Input 2 2 4 3 4" xfId="22535" xr:uid="{C28B8865-D86B-4722-81CD-F358660EDEC3}"/>
    <cellStyle name="Input 2 2 4 3 5" xfId="22637" xr:uid="{DC0751FC-61F1-42B7-90E2-B8E861E62EC3}"/>
    <cellStyle name="Input 2 2 4 4" xfId="9368" xr:uid="{00000000-0005-0000-0000-000014250000}"/>
    <cellStyle name="Input 2 2 4 4 2" xfId="21273" xr:uid="{00000000-0005-0000-0000-000015250000}"/>
    <cellStyle name="Input 2 2 4 4 2 2" xfId="22174" xr:uid="{85C36D94-8493-4778-B1B1-703D0E279AE5}"/>
    <cellStyle name="Input 2 2 4 4 3" xfId="21551" xr:uid="{2E6E6356-D7F5-48C3-9BFE-922FE2972569}"/>
    <cellStyle name="Input 2 2 4 4 4" xfId="22536" xr:uid="{2E2121D6-9441-44F7-BF45-7CEEC94608DE}"/>
    <cellStyle name="Input 2 2 4 4 5" xfId="22636" xr:uid="{471F47B4-3840-49C1-BFEF-335EFEBA4504}"/>
    <cellStyle name="Input 2 2 4 5" xfId="21276" xr:uid="{00000000-0005-0000-0000-000016250000}"/>
    <cellStyle name="Input 2 2 4 5 2" xfId="22177" xr:uid="{B71936AC-C2E1-426D-9386-07BFF1C6A46E}"/>
    <cellStyle name="Input 2 2 4 6" xfId="21548" xr:uid="{55460C99-8853-426D-89DD-595AB9F672AB}"/>
    <cellStyle name="Input 2 2 4 7" xfId="22533" xr:uid="{D46E3754-04E5-46E2-BC30-837079F0EDCC}"/>
    <cellStyle name="Input 2 2 4 8" xfId="22639" xr:uid="{401AFBD1-786E-46FE-85BF-85FBDE361DDD}"/>
    <cellStyle name="Input 2 2 5" xfId="9369" xr:uid="{00000000-0005-0000-0000-000017250000}"/>
    <cellStyle name="Input 2 2 5 2" xfId="9370" xr:uid="{00000000-0005-0000-0000-000018250000}"/>
    <cellStyle name="Input 2 2 5 2 2" xfId="21271" xr:uid="{00000000-0005-0000-0000-000019250000}"/>
    <cellStyle name="Input 2 2 5 2 2 2" xfId="22172" xr:uid="{F900C1C4-15FC-4EC8-8ED6-2913E897CB82}"/>
    <cellStyle name="Input 2 2 5 2 3" xfId="21553" xr:uid="{0F4579FD-B4FD-4A9F-B006-13D0EAE16285}"/>
    <cellStyle name="Input 2 2 5 2 4" xfId="22538" xr:uid="{E45A08B5-FB5E-440A-BAE2-C54EC3BCC850}"/>
    <cellStyle name="Input 2 2 5 2 5" xfId="22634" xr:uid="{FA1C877E-6194-4204-9C0A-1811CB85DBA3}"/>
    <cellStyle name="Input 2 2 5 3" xfId="9371" xr:uid="{00000000-0005-0000-0000-00001A250000}"/>
    <cellStyle name="Input 2 2 5 3 2" xfId="21270" xr:uid="{00000000-0005-0000-0000-00001B250000}"/>
    <cellStyle name="Input 2 2 5 3 2 2" xfId="22171" xr:uid="{2E1C6727-2078-46DE-89F3-6851D3697545}"/>
    <cellStyle name="Input 2 2 5 3 3" xfId="21554" xr:uid="{D0F2DF23-D8B8-4604-944B-5F7C65DAF710}"/>
    <cellStyle name="Input 2 2 5 3 4" xfId="22539" xr:uid="{83ABE141-7588-4766-AC15-13CB7729ECC5}"/>
    <cellStyle name="Input 2 2 5 3 5" xfId="22633" xr:uid="{C0DE9892-50D7-4436-9CE0-9ADF5FDEF561}"/>
    <cellStyle name="Input 2 2 5 4" xfId="9372" xr:uid="{00000000-0005-0000-0000-00001C250000}"/>
    <cellStyle name="Input 2 2 5 4 2" xfId="21269" xr:uid="{00000000-0005-0000-0000-00001D250000}"/>
    <cellStyle name="Input 2 2 5 4 2 2" xfId="22170" xr:uid="{5B37863B-ED30-433A-9AF4-842232D7A25C}"/>
    <cellStyle name="Input 2 2 5 4 3" xfId="21555" xr:uid="{4C30D5CB-9714-4BDE-A201-F446E47B582F}"/>
    <cellStyle name="Input 2 2 5 4 4" xfId="22540" xr:uid="{E97D6C50-E9C8-405A-AD22-16B590F44C1A}"/>
    <cellStyle name="Input 2 2 5 4 5" xfId="22632" xr:uid="{CC855E71-AC26-441E-949D-AAC29142F710}"/>
    <cellStyle name="Input 2 2 5 5" xfId="21272" xr:uid="{00000000-0005-0000-0000-00001E250000}"/>
    <cellStyle name="Input 2 2 5 5 2" xfId="22173" xr:uid="{45D2A7CB-D6D5-4BF4-97CE-CC84A2B5AA2A}"/>
    <cellStyle name="Input 2 2 5 6" xfId="21552" xr:uid="{4EA95A34-D48E-46D2-96D4-082CA8918B2D}"/>
    <cellStyle name="Input 2 2 5 7" xfId="22537" xr:uid="{C78F72AA-F5AE-459F-B32B-4AE0BA910FAC}"/>
    <cellStyle name="Input 2 2 5 8" xfId="22635" xr:uid="{2E539971-0381-4F8C-B559-231909997DE8}"/>
    <cellStyle name="Input 2 2 6" xfId="9373" xr:uid="{00000000-0005-0000-0000-00001F250000}"/>
    <cellStyle name="Input 2 2 6 2" xfId="21268" xr:uid="{00000000-0005-0000-0000-000020250000}"/>
    <cellStyle name="Input 2 2 6 2 2" xfId="22169" xr:uid="{B3751901-C0DE-471E-95C4-068D0E877B82}"/>
    <cellStyle name="Input 2 2 6 3" xfId="21556" xr:uid="{B9A21AD8-1D52-44AD-844C-35196802E6AF}"/>
    <cellStyle name="Input 2 2 6 4" xfId="22541" xr:uid="{E6AEB5CE-A80D-43CF-8AEB-7231957F8339}"/>
    <cellStyle name="Input 2 2 6 5" xfId="22631" xr:uid="{25A68DDA-B15A-4E6A-B6FA-8D60ABB0D256}"/>
    <cellStyle name="Input 2 2 7" xfId="9374" xr:uid="{00000000-0005-0000-0000-000021250000}"/>
    <cellStyle name="Input 2 2 7 2" xfId="21267" xr:uid="{00000000-0005-0000-0000-000022250000}"/>
    <cellStyle name="Input 2 2 7 2 2" xfId="22168" xr:uid="{F0986539-3490-4D42-AD07-CA48C2D111C3}"/>
    <cellStyle name="Input 2 2 7 3" xfId="21557" xr:uid="{579CA483-389B-49E2-B92E-8D9667340905}"/>
    <cellStyle name="Input 2 2 7 4" xfId="22542" xr:uid="{BBB3FB1A-EB0D-4ECE-808D-A1F778EB8130}"/>
    <cellStyle name="Input 2 2 7 5" xfId="22630" xr:uid="{08A71152-E3AA-4B0F-9577-219A814AE2C1}"/>
    <cellStyle name="Input 2 2 8" xfId="9375" xr:uid="{00000000-0005-0000-0000-000023250000}"/>
    <cellStyle name="Input 2 2 8 2" xfId="21266" xr:uid="{00000000-0005-0000-0000-000024250000}"/>
    <cellStyle name="Input 2 2 8 2 2" xfId="22167" xr:uid="{CBED99B9-DFC5-4E7C-97E4-FAA49FD2F80D}"/>
    <cellStyle name="Input 2 2 8 3" xfId="21558" xr:uid="{5E8AA520-8137-4A6F-AE4F-866FB4E4AE91}"/>
    <cellStyle name="Input 2 2 8 4" xfId="22543" xr:uid="{D8970BD1-39FF-4630-828F-8D7184D79366}"/>
    <cellStyle name="Input 2 2 8 5" xfId="22629" xr:uid="{94673BD6-9085-44E4-9546-300C1A66389B}"/>
    <cellStyle name="Input 2 2 9" xfId="9376" xr:uid="{00000000-0005-0000-0000-000025250000}"/>
    <cellStyle name="Input 2 2 9 2" xfId="21265" xr:uid="{00000000-0005-0000-0000-000026250000}"/>
    <cellStyle name="Input 2 2 9 2 2" xfId="22166" xr:uid="{CEBD6256-0CAF-4022-9D71-D8807A3FD847}"/>
    <cellStyle name="Input 2 2 9 3" xfId="21559" xr:uid="{11F26E3C-D4B6-4BEB-8BE0-82A8E6FFC6FA}"/>
    <cellStyle name="Input 2 2 9 4" xfId="22544" xr:uid="{F514793D-E392-4088-9B3B-533F18BC7453}"/>
    <cellStyle name="Input 2 2 9 5" xfId="22628" xr:uid="{7A855731-49B9-4B58-929D-14B0B3867739}"/>
    <cellStyle name="Input 2 20" xfId="22670" xr:uid="{457DEEA0-C48F-4C89-853D-FCAC677791B2}"/>
    <cellStyle name="Input 2 3" xfId="9377" xr:uid="{00000000-0005-0000-0000-000027250000}"/>
    <cellStyle name="Input 2 3 2" xfId="9378" xr:uid="{00000000-0005-0000-0000-000028250000}"/>
    <cellStyle name="Input 2 3 2 2" xfId="21264" xr:uid="{00000000-0005-0000-0000-000029250000}"/>
    <cellStyle name="Input 2 3 2 2 2" xfId="22165" xr:uid="{31D268FF-94F0-4EE3-9ED3-C3C5E684911A}"/>
    <cellStyle name="Input 2 3 2 3" xfId="21560" xr:uid="{663FD276-A9E4-47D4-8E12-D61EA6B4F682}"/>
    <cellStyle name="Input 2 3 2 4" xfId="22545" xr:uid="{6B982EBA-76C9-4885-B8E1-EC184B51144B}"/>
    <cellStyle name="Input 2 3 2 5" xfId="22627" xr:uid="{56009403-C2FE-4787-991E-D9792E0751A8}"/>
    <cellStyle name="Input 2 3 3" xfId="9379" xr:uid="{00000000-0005-0000-0000-00002A250000}"/>
    <cellStyle name="Input 2 3 3 2" xfId="21263" xr:uid="{00000000-0005-0000-0000-00002B250000}"/>
    <cellStyle name="Input 2 3 3 2 2" xfId="22164" xr:uid="{25FF2EBB-D219-43EF-A43F-7E24B175B42D}"/>
    <cellStyle name="Input 2 3 3 3" xfId="21561" xr:uid="{EEE1DF1C-25FF-4ED7-9346-1B2A70BED2CB}"/>
    <cellStyle name="Input 2 3 3 4" xfId="22546" xr:uid="{A539C928-8108-4130-8972-4F5F0A85327D}"/>
    <cellStyle name="Input 2 3 3 5" xfId="22626" xr:uid="{81570D5B-79AF-4079-A735-37C4AFEABD15}"/>
    <cellStyle name="Input 2 3 4" xfId="9380" xr:uid="{00000000-0005-0000-0000-00002C250000}"/>
    <cellStyle name="Input 2 3 4 2" xfId="21262" xr:uid="{00000000-0005-0000-0000-00002D250000}"/>
    <cellStyle name="Input 2 3 4 2 2" xfId="22163" xr:uid="{3D3E9D25-528F-483A-B7D4-E8CF162DC8BB}"/>
    <cellStyle name="Input 2 3 4 3" xfId="21562" xr:uid="{96BD7B30-6CDD-4272-ADE3-D80357B2AF75}"/>
    <cellStyle name="Input 2 3 4 4" xfId="22547" xr:uid="{713FBD84-8C7F-4DB4-B7C2-94EB4B872F2B}"/>
    <cellStyle name="Input 2 3 4 5" xfId="22625" xr:uid="{EB250DCA-A9A0-4960-896F-745D03519C1D}"/>
    <cellStyle name="Input 2 3 5" xfId="9381" xr:uid="{00000000-0005-0000-0000-00002E250000}"/>
    <cellStyle name="Input 2 3 5 2" xfId="21261" xr:uid="{00000000-0005-0000-0000-00002F250000}"/>
    <cellStyle name="Input 2 3 5 2 2" xfId="22162" xr:uid="{544F81FD-A3A5-4471-B4EF-B7F8E965E638}"/>
    <cellStyle name="Input 2 3 5 3" xfId="21563" xr:uid="{97C9D9B9-9653-4526-BC4F-9A62D4EDFBE5}"/>
    <cellStyle name="Input 2 3 5 4" xfId="22548" xr:uid="{2572404D-4079-4338-B5A9-EB72944C2BE1}"/>
    <cellStyle name="Input 2 3 5 5" xfId="22624" xr:uid="{959BD2B2-CDD6-4D28-9768-6CA55C582C47}"/>
    <cellStyle name="Input 2 4" xfId="9382" xr:uid="{00000000-0005-0000-0000-000030250000}"/>
    <cellStyle name="Input 2 4 2" xfId="9383" xr:uid="{00000000-0005-0000-0000-000031250000}"/>
    <cellStyle name="Input 2 4 2 2" xfId="21260" xr:uid="{00000000-0005-0000-0000-000032250000}"/>
    <cellStyle name="Input 2 4 2 2 2" xfId="22161" xr:uid="{1F98D7FD-E879-4672-843B-4BE2E867B8EB}"/>
    <cellStyle name="Input 2 4 2 3" xfId="21564" xr:uid="{AA1BEAD7-8D29-4B61-8C0D-9B601A6951C9}"/>
    <cellStyle name="Input 2 4 2 4" xfId="22549" xr:uid="{22CECE83-42C8-43B8-BCF4-1A8641A2ED0D}"/>
    <cellStyle name="Input 2 4 2 5" xfId="22623" xr:uid="{1E872E44-724D-47A8-8E81-4E931291FF7D}"/>
    <cellStyle name="Input 2 4 3" xfId="9384" xr:uid="{00000000-0005-0000-0000-000033250000}"/>
    <cellStyle name="Input 2 4 3 2" xfId="21259" xr:uid="{00000000-0005-0000-0000-000034250000}"/>
    <cellStyle name="Input 2 4 3 2 2" xfId="22160" xr:uid="{A0E668E3-35F9-4C59-86DD-2421374ACB0B}"/>
    <cellStyle name="Input 2 4 3 3" xfId="21565" xr:uid="{8D388518-14DB-4230-8C01-96B1857CE884}"/>
    <cellStyle name="Input 2 4 3 4" xfId="22550" xr:uid="{71F7593A-A223-4277-8A8F-584F42DD8714}"/>
    <cellStyle name="Input 2 4 3 5" xfId="22622" xr:uid="{6EA74331-1E9F-4597-B152-5801D18769FA}"/>
    <cellStyle name="Input 2 4 4" xfId="9385" xr:uid="{00000000-0005-0000-0000-000035250000}"/>
    <cellStyle name="Input 2 4 4 2" xfId="21258" xr:uid="{00000000-0005-0000-0000-000036250000}"/>
    <cellStyle name="Input 2 4 4 2 2" xfId="22159" xr:uid="{20DA8FE5-E1F1-4AE4-9321-BECED5F1C07E}"/>
    <cellStyle name="Input 2 4 4 3" xfId="21566" xr:uid="{FA558C78-89E0-427C-AEBC-BFD5E02FF30C}"/>
    <cellStyle name="Input 2 4 4 4" xfId="22551" xr:uid="{AECD60B1-4C51-4509-8BD9-745EC4B0EB25}"/>
    <cellStyle name="Input 2 4 4 5" xfId="22621" xr:uid="{72E6B412-DAD5-43B2-82E8-97386DB82BBE}"/>
    <cellStyle name="Input 2 4 5" xfId="9386" xr:uid="{00000000-0005-0000-0000-000037250000}"/>
    <cellStyle name="Input 2 4 5 2" xfId="21257" xr:uid="{00000000-0005-0000-0000-000038250000}"/>
    <cellStyle name="Input 2 4 5 2 2" xfId="22158" xr:uid="{164C4A18-DAC2-427B-AC85-ADDE086BC437}"/>
    <cellStyle name="Input 2 4 5 3" xfId="21567" xr:uid="{E75A1955-4BE1-4F6B-BFC3-B193313CF88F}"/>
    <cellStyle name="Input 2 4 5 4" xfId="22552" xr:uid="{25236F67-910A-4BFE-9ADC-3DFB2A470840}"/>
    <cellStyle name="Input 2 4 5 5" xfId="22620" xr:uid="{D69A4CFA-0F5D-4461-81C2-13F0FFDEF7A4}"/>
    <cellStyle name="Input 2 5" xfId="9387" xr:uid="{00000000-0005-0000-0000-000039250000}"/>
    <cellStyle name="Input 2 5 2" xfId="9388" xr:uid="{00000000-0005-0000-0000-00003A250000}"/>
    <cellStyle name="Input 2 5 2 2" xfId="21256" xr:uid="{00000000-0005-0000-0000-00003B250000}"/>
    <cellStyle name="Input 2 5 2 2 2" xfId="22157" xr:uid="{24670865-7806-414A-988D-8FFA4DC846C2}"/>
    <cellStyle name="Input 2 5 2 3" xfId="21568" xr:uid="{ABDF36E6-1148-4BA6-928D-F4606F1A0F6E}"/>
    <cellStyle name="Input 2 5 2 4" xfId="22553" xr:uid="{ECDA9ECE-F714-42D1-8BFF-65449DE5684E}"/>
    <cellStyle name="Input 2 5 2 5" xfId="22619" xr:uid="{8EB215E1-FD22-47FA-9691-2A22AFB5889C}"/>
    <cellStyle name="Input 2 5 3" xfId="9389" xr:uid="{00000000-0005-0000-0000-00003C250000}"/>
    <cellStyle name="Input 2 5 3 2" xfId="21255" xr:uid="{00000000-0005-0000-0000-00003D250000}"/>
    <cellStyle name="Input 2 5 3 2 2" xfId="22156" xr:uid="{1FDAFEF1-4A7F-4215-9D0E-3613B0913E45}"/>
    <cellStyle name="Input 2 5 3 3" xfId="21569" xr:uid="{E6944F1B-4DB8-47C9-BAC8-BE2CCC2A34B5}"/>
    <cellStyle name="Input 2 5 3 4" xfId="22554" xr:uid="{F5AD9940-2189-47B7-AF5D-9187BD2EB805}"/>
    <cellStyle name="Input 2 5 3 5" xfId="22618" xr:uid="{221803AC-9375-4D92-9D6D-BA381B1F0BFB}"/>
    <cellStyle name="Input 2 5 4" xfId="9390" xr:uid="{00000000-0005-0000-0000-00003E250000}"/>
    <cellStyle name="Input 2 5 4 2" xfId="21254" xr:uid="{00000000-0005-0000-0000-00003F250000}"/>
    <cellStyle name="Input 2 5 4 2 2" xfId="22155" xr:uid="{70C7E251-B7BB-40F2-9F31-30CB582634AD}"/>
    <cellStyle name="Input 2 5 4 3" xfId="21570" xr:uid="{F0C4DB8A-7387-48A1-B522-1BB97DC0ACB8}"/>
    <cellStyle name="Input 2 5 4 4" xfId="22555" xr:uid="{2669CA8A-DEA3-4F37-8F88-8FCD597E6735}"/>
    <cellStyle name="Input 2 5 4 5" xfId="22617" xr:uid="{A5891A55-96E0-4BA0-B11A-D4D1C5F42CA8}"/>
    <cellStyle name="Input 2 5 5" xfId="9391" xr:uid="{00000000-0005-0000-0000-000040250000}"/>
    <cellStyle name="Input 2 5 5 2" xfId="21253" xr:uid="{00000000-0005-0000-0000-000041250000}"/>
    <cellStyle name="Input 2 5 5 2 2" xfId="22154" xr:uid="{8923E2A6-AF4A-4B94-B824-448C16163459}"/>
    <cellStyle name="Input 2 5 5 3" xfId="21571" xr:uid="{888B5208-17C2-4C9D-A8C1-0722AA325F7A}"/>
    <cellStyle name="Input 2 5 5 4" xfId="22556" xr:uid="{D11729B4-59F2-4CD3-BDB1-684B083A73B1}"/>
    <cellStyle name="Input 2 5 5 5" xfId="22616" xr:uid="{F643F655-5CCB-497A-833F-A10CF62A3360}"/>
    <cellStyle name="Input 2 6" xfId="9392" xr:uid="{00000000-0005-0000-0000-000042250000}"/>
    <cellStyle name="Input 2 6 2" xfId="9393" xr:uid="{00000000-0005-0000-0000-000043250000}"/>
    <cellStyle name="Input 2 6 2 2" xfId="21252" xr:uid="{00000000-0005-0000-0000-000044250000}"/>
    <cellStyle name="Input 2 6 2 2 2" xfId="22153" xr:uid="{56EB4C03-AD7D-4BB9-936A-FE6ADC5C376E}"/>
    <cellStyle name="Input 2 6 2 3" xfId="21572" xr:uid="{C0F93619-B19C-49B2-9153-C11125FE1611}"/>
    <cellStyle name="Input 2 6 2 4" xfId="22557" xr:uid="{A907BF7D-68C0-4B2E-B006-F8E905A1DC23}"/>
    <cellStyle name="Input 2 6 2 5" xfId="22615" xr:uid="{6DFFC5AD-208F-4886-BFC2-59262C06E40B}"/>
    <cellStyle name="Input 2 6 3" xfId="9394" xr:uid="{00000000-0005-0000-0000-000045250000}"/>
    <cellStyle name="Input 2 6 3 2" xfId="21251" xr:uid="{00000000-0005-0000-0000-000046250000}"/>
    <cellStyle name="Input 2 6 3 2 2" xfId="22152" xr:uid="{AC642752-578B-436A-BDD9-813CA14F21C2}"/>
    <cellStyle name="Input 2 6 3 3" xfId="21573" xr:uid="{FC4C048A-8E88-4AFF-977E-CBB4943BFDCB}"/>
    <cellStyle name="Input 2 6 3 4" xfId="22558" xr:uid="{35F61FB1-1AAD-4EB1-A6ED-2EDF78A2FA88}"/>
    <cellStyle name="Input 2 6 3 5" xfId="22614" xr:uid="{DA4714AA-DA01-435F-BE1B-AE3A00352543}"/>
    <cellStyle name="Input 2 6 4" xfId="9395" xr:uid="{00000000-0005-0000-0000-000047250000}"/>
    <cellStyle name="Input 2 6 4 2" xfId="21250" xr:uid="{00000000-0005-0000-0000-000048250000}"/>
    <cellStyle name="Input 2 6 4 2 2" xfId="22151" xr:uid="{7EC60ACD-7C25-4F27-823B-FEBE37604783}"/>
    <cellStyle name="Input 2 6 4 3" xfId="21574" xr:uid="{5ECF7E48-CA59-473B-950B-E732ED7098BC}"/>
    <cellStyle name="Input 2 6 4 4" xfId="22559" xr:uid="{8E384D3B-08CA-46D6-B39F-E411FED7376A}"/>
    <cellStyle name="Input 2 6 4 5" xfId="22613" xr:uid="{9DEE29D3-E4B0-459B-9CCE-9FBDB18F7942}"/>
    <cellStyle name="Input 2 6 5" xfId="9396" xr:uid="{00000000-0005-0000-0000-000049250000}"/>
    <cellStyle name="Input 2 6 5 2" xfId="21249" xr:uid="{00000000-0005-0000-0000-00004A250000}"/>
    <cellStyle name="Input 2 6 5 2 2" xfId="22150" xr:uid="{8295B125-9751-409B-B5B6-AFD793448BF8}"/>
    <cellStyle name="Input 2 6 5 3" xfId="21575" xr:uid="{FC9319D3-8F6F-4216-9F6F-AE8DF606EFC0}"/>
    <cellStyle name="Input 2 6 5 4" xfId="22560" xr:uid="{F02D838C-CEC3-413F-B919-789C661A475F}"/>
    <cellStyle name="Input 2 6 5 5" xfId="22612" xr:uid="{748F7640-C6C1-4B50-86B0-864698DDE723}"/>
    <cellStyle name="Input 2 7" xfId="9397" xr:uid="{00000000-0005-0000-0000-00004B250000}"/>
    <cellStyle name="Input 2 7 2" xfId="9398" xr:uid="{00000000-0005-0000-0000-00004C250000}"/>
    <cellStyle name="Input 2 7 2 2" xfId="21248" xr:uid="{00000000-0005-0000-0000-00004D250000}"/>
    <cellStyle name="Input 2 7 2 2 2" xfId="22149" xr:uid="{8643BAA5-8A25-43B2-9F97-B0BAAF448D7C}"/>
    <cellStyle name="Input 2 7 2 3" xfId="21576" xr:uid="{6A6E7A06-46C9-48B9-9821-727DFBE61D48}"/>
    <cellStyle name="Input 2 7 2 4" xfId="22561" xr:uid="{C7723074-FEDE-4F60-96EC-936397A0BBD5}"/>
    <cellStyle name="Input 2 7 2 5" xfId="22611" xr:uid="{AE3A252A-31BD-479C-94B7-D86903D9EF8E}"/>
    <cellStyle name="Input 2 7 3" xfId="9399" xr:uid="{00000000-0005-0000-0000-00004E250000}"/>
    <cellStyle name="Input 2 7 3 2" xfId="21247" xr:uid="{00000000-0005-0000-0000-00004F250000}"/>
    <cellStyle name="Input 2 7 3 2 2" xfId="22148" xr:uid="{EF398424-7B42-4ED5-B71B-17CBB505D4AC}"/>
    <cellStyle name="Input 2 7 3 3" xfId="21577" xr:uid="{738641C7-E89E-464A-B652-6EFDFBD750CF}"/>
    <cellStyle name="Input 2 7 3 4" xfId="22562" xr:uid="{A582CE3B-45E5-41FB-8207-5FA439D1496E}"/>
    <cellStyle name="Input 2 7 3 5" xfId="22610" xr:uid="{7110782E-8D89-4A2A-8E63-FF72B2720F68}"/>
    <cellStyle name="Input 2 7 4" xfId="9400" xr:uid="{00000000-0005-0000-0000-000050250000}"/>
    <cellStyle name="Input 2 7 4 2" xfId="21246" xr:uid="{00000000-0005-0000-0000-000051250000}"/>
    <cellStyle name="Input 2 7 4 2 2" xfId="22147" xr:uid="{CD3F3B59-B7E4-462E-A360-A7BC1AEEE17D}"/>
    <cellStyle name="Input 2 7 4 3" xfId="21578" xr:uid="{B211875F-F8A4-4B87-99F7-A0621BBE7D98}"/>
    <cellStyle name="Input 2 7 4 4" xfId="22563" xr:uid="{7906279F-9D22-4D72-A139-BFC056AB2FE8}"/>
    <cellStyle name="Input 2 7 4 5" xfId="22609" xr:uid="{2CBD9A4F-4D24-452F-943D-430FF0419DB0}"/>
    <cellStyle name="Input 2 7 5" xfId="9401" xr:uid="{00000000-0005-0000-0000-000052250000}"/>
    <cellStyle name="Input 2 7 5 2" xfId="21245" xr:uid="{00000000-0005-0000-0000-000053250000}"/>
    <cellStyle name="Input 2 7 5 2 2" xfId="22146" xr:uid="{BABE2B52-F176-46FF-885D-6B2BDEEEC625}"/>
    <cellStyle name="Input 2 7 5 3" xfId="21579" xr:uid="{6F05571E-57B3-4195-8316-EBC6D57F416F}"/>
    <cellStyle name="Input 2 7 5 4" xfId="22564" xr:uid="{0D64A6A8-93F4-4170-B77C-CB19F9072FC7}"/>
    <cellStyle name="Input 2 7 5 5" xfId="22608" xr:uid="{93CE85BF-A3C8-46DB-A1D6-8EAAF7C79EF6}"/>
    <cellStyle name="Input 2 8" xfId="9402" xr:uid="{00000000-0005-0000-0000-000054250000}"/>
    <cellStyle name="Input 2 8 2" xfId="9403" xr:uid="{00000000-0005-0000-0000-000055250000}"/>
    <cellStyle name="Input 2 8 2 2" xfId="21244" xr:uid="{00000000-0005-0000-0000-000056250000}"/>
    <cellStyle name="Input 2 8 2 2 2" xfId="22145" xr:uid="{B4542BAB-9FF7-4C70-8E3F-C7E56F7BFC66}"/>
    <cellStyle name="Input 2 8 2 3" xfId="21580" xr:uid="{0B49EA1F-C958-4E38-BE42-0DE1F8C7D0AD}"/>
    <cellStyle name="Input 2 8 2 4" xfId="22565" xr:uid="{B8C9D1D4-8DA0-4583-AA97-D14C9F1214F6}"/>
    <cellStyle name="Input 2 8 2 5" xfId="22607" xr:uid="{11709C75-8A9B-460B-9CDA-2720A86376AE}"/>
    <cellStyle name="Input 2 8 3" xfId="9404" xr:uid="{00000000-0005-0000-0000-000057250000}"/>
    <cellStyle name="Input 2 8 3 2" xfId="21243" xr:uid="{00000000-0005-0000-0000-000058250000}"/>
    <cellStyle name="Input 2 8 3 2 2" xfId="22144" xr:uid="{31D6C5EE-38E2-47C6-90F2-EFA485040E18}"/>
    <cellStyle name="Input 2 8 3 3" xfId="21581" xr:uid="{397FCE5F-4A9E-40CE-9C0A-7D343F9AE849}"/>
    <cellStyle name="Input 2 8 3 4" xfId="22566" xr:uid="{C77CD697-DB4F-4114-9593-3AFC063931CD}"/>
    <cellStyle name="Input 2 8 3 5" xfId="22606" xr:uid="{8230C90E-BE30-4F88-B1A3-32C66353A8EC}"/>
    <cellStyle name="Input 2 8 4" xfId="9405" xr:uid="{00000000-0005-0000-0000-000059250000}"/>
    <cellStyle name="Input 2 8 4 2" xfId="21242" xr:uid="{00000000-0005-0000-0000-00005A250000}"/>
    <cellStyle name="Input 2 8 4 2 2" xfId="22143" xr:uid="{E54F8EFB-4DF0-46CC-948F-38A42196EAC3}"/>
    <cellStyle name="Input 2 8 4 3" xfId="21582" xr:uid="{FB98123B-0661-49AE-A380-72FBF596D9FF}"/>
    <cellStyle name="Input 2 8 4 4" xfId="22567" xr:uid="{F0DA500C-4081-423A-9D19-14E7B3D5088A}"/>
    <cellStyle name="Input 2 8 4 5" xfId="22605" xr:uid="{E242B3CF-B8F8-4DE6-B37F-3658881D01D7}"/>
    <cellStyle name="Input 2 8 5" xfId="9406" xr:uid="{00000000-0005-0000-0000-00005B250000}"/>
    <cellStyle name="Input 2 8 5 2" xfId="21241" xr:uid="{00000000-0005-0000-0000-00005C250000}"/>
    <cellStyle name="Input 2 8 5 2 2" xfId="22142" xr:uid="{435D2807-633A-4947-9181-3FC3DA06AB17}"/>
    <cellStyle name="Input 2 8 5 3" xfId="21583" xr:uid="{233CF130-04F9-4AC3-84C8-0FB91DEDE45A}"/>
    <cellStyle name="Input 2 8 5 4" xfId="22568" xr:uid="{75147110-EA43-409F-AA1E-436EE8CA9CA6}"/>
    <cellStyle name="Input 2 8 5 5" xfId="22604" xr:uid="{DB12C866-1D41-414A-A2B4-2F6A5A959357}"/>
    <cellStyle name="Input 2 9" xfId="9407" xr:uid="{00000000-0005-0000-0000-00005D250000}"/>
    <cellStyle name="Input 2 9 2" xfId="9408" xr:uid="{00000000-0005-0000-0000-00005E250000}"/>
    <cellStyle name="Input 2 9 2 2" xfId="21240" xr:uid="{00000000-0005-0000-0000-00005F250000}"/>
    <cellStyle name="Input 2 9 2 2 2" xfId="22141" xr:uid="{3DC034AE-6D1A-4D72-A0C4-04AD05A7D540}"/>
    <cellStyle name="Input 2 9 2 3" xfId="21584" xr:uid="{8145D1F4-473D-41CE-B5B0-4D00EA977FA6}"/>
    <cellStyle name="Input 2 9 2 4" xfId="22569" xr:uid="{24118A1F-5ADB-4B60-AD4D-E219F38FCC29}"/>
    <cellStyle name="Input 2 9 2 5" xfId="22603" xr:uid="{CC8DEF87-5C47-4F2A-93D7-32473486AB48}"/>
    <cellStyle name="Input 2 9 3" xfId="9409" xr:uid="{00000000-0005-0000-0000-000060250000}"/>
    <cellStyle name="Input 2 9 3 2" xfId="21239" xr:uid="{00000000-0005-0000-0000-000061250000}"/>
    <cellStyle name="Input 2 9 3 2 2" xfId="22140" xr:uid="{A09EA6F0-E9AD-4A8B-8F52-DFCF5FA93D1B}"/>
    <cellStyle name="Input 2 9 3 3" xfId="21585" xr:uid="{417889E2-87D9-4F10-9F6E-35F7F002D7D1}"/>
    <cellStyle name="Input 2 9 3 4" xfId="22570" xr:uid="{55FBB4E0-D307-496E-B2DF-9AD3710ADC60}"/>
    <cellStyle name="Input 2 9 3 5" xfId="22602" xr:uid="{0E3C91DB-5BF5-4EEB-92FC-8997C48900C3}"/>
    <cellStyle name="Input 2 9 4" xfId="9410" xr:uid="{00000000-0005-0000-0000-000062250000}"/>
    <cellStyle name="Input 2 9 4 2" xfId="21238" xr:uid="{00000000-0005-0000-0000-000063250000}"/>
    <cellStyle name="Input 2 9 4 2 2" xfId="22139" xr:uid="{7E0A937E-9279-4F2C-9DA8-27D9BE94043B}"/>
    <cellStyle name="Input 2 9 4 3" xfId="21586" xr:uid="{BBE25A06-C1DC-4E1E-847B-DC2BF4632EF2}"/>
    <cellStyle name="Input 2 9 4 4" xfId="22571" xr:uid="{775E8A0F-C426-4F11-A26E-AEF571C5C04B}"/>
    <cellStyle name="Input 2 9 4 5" xfId="22601" xr:uid="{F8002AC7-E2E6-40B2-A2E4-771A69AD8C38}"/>
    <cellStyle name="Input 2 9 5" xfId="9411" xr:uid="{00000000-0005-0000-0000-000064250000}"/>
    <cellStyle name="Input 2 9 5 2" xfId="21237" xr:uid="{00000000-0005-0000-0000-000065250000}"/>
    <cellStyle name="Input 2 9 5 2 2" xfId="22138" xr:uid="{C0A50FCE-EBFC-4A9C-B34C-06A15A8A2690}"/>
    <cellStyle name="Input 2 9 5 3" xfId="21587" xr:uid="{810DDE20-23A4-4C76-9BA5-54579CF1B3B9}"/>
    <cellStyle name="Input 2 9 5 4" xfId="22572" xr:uid="{21B22C30-C88E-4B1D-8C32-6F520795A4D9}"/>
    <cellStyle name="Input 2 9 5 5" xfId="22600" xr:uid="{7C1E1FB5-0B35-44A1-9A72-9A7D9D7AE7A8}"/>
    <cellStyle name="Input 3" xfId="9412" xr:uid="{00000000-0005-0000-0000-000066250000}"/>
    <cellStyle name="Input 3 2" xfId="9413" xr:uid="{00000000-0005-0000-0000-000067250000}"/>
    <cellStyle name="Input 3 2 2" xfId="21235" xr:uid="{00000000-0005-0000-0000-000068250000}"/>
    <cellStyle name="Input 3 2 2 2" xfId="22136" xr:uid="{07C3B986-02CB-4858-AD67-442D844CEB62}"/>
    <cellStyle name="Input 3 2 3" xfId="21589" xr:uid="{76FC32F4-3A76-47B0-980C-FAB4207B1AF8}"/>
    <cellStyle name="Input 3 2 4" xfId="22574" xr:uid="{0F88D4F6-B607-4034-B2BE-03B7AF37D8F1}"/>
    <cellStyle name="Input 3 2 5" xfId="22598" xr:uid="{869546D5-C3A8-4B58-B780-A03805100B57}"/>
    <cellStyle name="Input 3 3" xfId="9414" xr:uid="{00000000-0005-0000-0000-000069250000}"/>
    <cellStyle name="Input 3 3 2" xfId="21234" xr:uid="{00000000-0005-0000-0000-00006A250000}"/>
    <cellStyle name="Input 3 3 2 2" xfId="22135" xr:uid="{7B5C77E0-1ABB-447F-B249-9F0C365DB71E}"/>
    <cellStyle name="Input 3 3 3" xfId="21590" xr:uid="{83F509BE-884E-478E-A797-C900A95B08B8}"/>
    <cellStyle name="Input 3 3 4" xfId="22575" xr:uid="{8D761BEE-853F-4C53-A8D3-F3129D9AC120}"/>
    <cellStyle name="Input 3 3 5" xfId="22597" xr:uid="{7C0737A5-257D-4404-A8FF-FD628508ABE6}"/>
    <cellStyle name="Input 3 4" xfId="21236" xr:uid="{00000000-0005-0000-0000-00006B250000}"/>
    <cellStyle name="Input 3 4 2" xfId="22137" xr:uid="{B487CBEF-C397-436B-8530-1986DA3D8DEA}"/>
    <cellStyle name="Input 3 5" xfId="21588" xr:uid="{293286FA-3F66-417D-B648-2E5C838730CC}"/>
    <cellStyle name="Input 3 6" xfId="22573" xr:uid="{0A6C4E32-2BAD-4DA3-AE49-CAB7D8FE6F35}"/>
    <cellStyle name="Input 3 7" xfId="22599" xr:uid="{80A6507D-B330-4B6E-8D03-C7332C022F20}"/>
    <cellStyle name="Input 4" xfId="9415" xr:uid="{00000000-0005-0000-0000-00006C250000}"/>
    <cellStyle name="Input 4 2" xfId="9416" xr:uid="{00000000-0005-0000-0000-00006D250000}"/>
    <cellStyle name="Input 4 2 2" xfId="21232" xr:uid="{00000000-0005-0000-0000-00006E250000}"/>
    <cellStyle name="Input 4 2 2 2" xfId="22133" xr:uid="{09F05E0C-2635-43BC-B377-A520FE120DD5}"/>
    <cellStyle name="Input 4 2 3" xfId="21592" xr:uid="{A24A326E-334C-4E07-BCAA-1E1956DFF8E8}"/>
    <cellStyle name="Input 4 2 4" xfId="22577" xr:uid="{32BED3C8-4B5E-469A-BA76-59980105AB0E}"/>
    <cellStyle name="Input 4 2 5" xfId="22595" xr:uid="{B9032982-7F3C-4630-9868-5160A339242C}"/>
    <cellStyle name="Input 4 3" xfId="9417" xr:uid="{00000000-0005-0000-0000-00006F250000}"/>
    <cellStyle name="Input 4 3 2" xfId="21231" xr:uid="{00000000-0005-0000-0000-000070250000}"/>
    <cellStyle name="Input 4 3 2 2" xfId="22132" xr:uid="{5F0ECA13-97F6-4AB4-BE5B-D18AD7A08F33}"/>
    <cellStyle name="Input 4 3 3" xfId="21593" xr:uid="{99431174-CA6B-4A93-A384-FCD693FF18F7}"/>
    <cellStyle name="Input 4 3 4" xfId="22578" xr:uid="{C65C5612-AA58-4279-9CD4-CD10F8E21515}"/>
    <cellStyle name="Input 4 3 5" xfId="22594" xr:uid="{612EA314-2B8D-4622-A854-334FC6741638}"/>
    <cellStyle name="Input 4 4" xfId="21233" xr:uid="{00000000-0005-0000-0000-000071250000}"/>
    <cellStyle name="Input 4 4 2" xfId="22134" xr:uid="{EEB253DA-457C-4AC3-AA4F-F16D5091B7A0}"/>
    <cellStyle name="Input 4 5" xfId="21591" xr:uid="{7DA8E827-72B0-4A8D-97EB-F09B1212C0B3}"/>
    <cellStyle name="Input 4 6" xfId="22576" xr:uid="{332A8EEC-D856-4D46-B5C7-6A383DD50652}"/>
    <cellStyle name="Input 4 7" xfId="22596" xr:uid="{F4CB1B59-684E-48E6-9869-D8EBD7EE512C}"/>
    <cellStyle name="Input 5" xfId="9418" xr:uid="{00000000-0005-0000-0000-000072250000}"/>
    <cellStyle name="Input 5 2" xfId="9419" xr:uid="{00000000-0005-0000-0000-000073250000}"/>
    <cellStyle name="Input 5 2 2" xfId="21229" xr:uid="{00000000-0005-0000-0000-000074250000}"/>
    <cellStyle name="Input 5 2 2 2" xfId="22130" xr:uid="{343D603C-BE93-49DE-AE8A-59C07ECCC40B}"/>
    <cellStyle name="Input 5 2 3" xfId="21595" xr:uid="{FEE1902C-FCD1-409A-AD80-E9EE3F922C01}"/>
    <cellStyle name="Input 5 2 4" xfId="22580" xr:uid="{BFCD1AE6-2590-4AB3-A866-263A695F3601}"/>
    <cellStyle name="Input 5 2 5" xfId="22592" xr:uid="{30229B16-19AA-4E5D-9AE2-8079AB543743}"/>
    <cellStyle name="Input 5 3" xfId="9420" xr:uid="{00000000-0005-0000-0000-000075250000}"/>
    <cellStyle name="Input 5 3 2" xfId="21228" xr:uid="{00000000-0005-0000-0000-000076250000}"/>
    <cellStyle name="Input 5 3 2 2" xfId="22129" xr:uid="{9AD0A152-474B-4429-BD5E-0B89EAD10E09}"/>
    <cellStyle name="Input 5 3 3" xfId="21596" xr:uid="{A68DC330-B1C5-4702-AA7B-09442EA47382}"/>
    <cellStyle name="Input 5 3 4" xfId="22581" xr:uid="{0E040E01-1BF3-45BE-873C-3F562CEFDBC2}"/>
    <cellStyle name="Input 5 3 5" xfId="22591" xr:uid="{B9EEB7E0-9B71-4EBC-B4BC-A992A57110D6}"/>
    <cellStyle name="Input 5 4" xfId="21230" xr:uid="{00000000-0005-0000-0000-000077250000}"/>
    <cellStyle name="Input 5 4 2" xfId="22131" xr:uid="{3BD1C6A2-97CB-4748-829A-934184DC1C41}"/>
    <cellStyle name="Input 5 5" xfId="21594" xr:uid="{5AAE0EF7-1F24-499D-AC46-8F04F65B7C76}"/>
    <cellStyle name="Input 5 6" xfId="22579" xr:uid="{13DC66E2-C308-4348-B715-11EB8C12EF2A}"/>
    <cellStyle name="Input 5 7" xfId="22593" xr:uid="{B4DE237D-6B9B-435E-BEAF-ADB7D58AAAB3}"/>
    <cellStyle name="Input 6" xfId="9421" xr:uid="{00000000-0005-0000-0000-000078250000}"/>
    <cellStyle name="Input 6 2" xfId="9422" xr:uid="{00000000-0005-0000-0000-000079250000}"/>
    <cellStyle name="Input 6 2 2" xfId="21226" xr:uid="{00000000-0005-0000-0000-00007A250000}"/>
    <cellStyle name="Input 6 2 2 2" xfId="22127" xr:uid="{19E41289-5F48-4A0D-B40A-50C34005A3E3}"/>
    <cellStyle name="Input 6 2 3" xfId="21598" xr:uid="{2EB3CC33-34B9-4D44-8884-A1DB29BB7831}"/>
    <cellStyle name="Input 6 2 4" xfId="22583" xr:uid="{8CA4D29B-B693-4B5D-8C40-E45FBF0E0A15}"/>
    <cellStyle name="Input 6 2 5" xfId="22589" xr:uid="{C9024F43-E730-415D-9943-8B3B977BAA29}"/>
    <cellStyle name="Input 6 3" xfId="9423" xr:uid="{00000000-0005-0000-0000-00007B250000}"/>
    <cellStyle name="Input 6 3 2" xfId="21225" xr:uid="{00000000-0005-0000-0000-00007C250000}"/>
    <cellStyle name="Input 6 3 2 2" xfId="22126" xr:uid="{DD831AB9-CCE9-48A6-B978-27CECA061100}"/>
    <cellStyle name="Input 6 3 3" xfId="21599" xr:uid="{E3E80441-DEA1-43A7-9C5D-207DFDBA772D}"/>
    <cellStyle name="Input 6 3 4" xfId="22584" xr:uid="{F91E0D2B-3704-4915-AA6C-29E6C1C3E288}"/>
    <cellStyle name="Input 6 3 5" xfId="22588" xr:uid="{809AEBA7-B308-40A3-8301-EF9F9881C5BD}"/>
    <cellStyle name="Input 6 4" xfId="21227" xr:uid="{00000000-0005-0000-0000-00007D250000}"/>
    <cellStyle name="Input 6 4 2" xfId="22128" xr:uid="{F8E87523-1D15-4123-937E-F095A2C7B192}"/>
    <cellStyle name="Input 6 5" xfId="21597" xr:uid="{301B29B2-B839-461F-8333-32A82FCA2B9C}"/>
    <cellStyle name="Input 6 6" xfId="22582" xr:uid="{309CDAC8-D980-47F7-A76A-047C627B2E5E}"/>
    <cellStyle name="Input 6 7" xfId="22590" xr:uid="{80975D1F-5EFA-4A67-B3E9-B8160E523089}"/>
    <cellStyle name="Input 7" xfId="9424" xr:uid="{00000000-0005-0000-0000-00007E250000}"/>
    <cellStyle name="Input 7 2" xfId="21224" xr:uid="{00000000-0005-0000-0000-00007F250000}"/>
    <cellStyle name="Input 7 2 2" xfId="22125" xr:uid="{197F737A-7046-4AA8-A2D5-74F24CCA0982}"/>
    <cellStyle name="Input 7 3" xfId="21600" xr:uid="{68ACF052-198A-49B1-A0A4-A6319BB4E2F6}"/>
    <cellStyle name="Input 7 4" xfId="22585" xr:uid="{773A0C08-B3F2-4E68-A8D8-BBB9CD43DC6A}"/>
    <cellStyle name="Input 7 5" xfId="22587" xr:uid="{E455A4EE-7F73-42F3-8AB7-D99A4BAB1590}"/>
    <cellStyle name="inputExposure" xfId="9425" xr:uid="{00000000-0005-0000-0000-000080250000}"/>
    <cellStyle name="inputExposure 2" xfId="21223" xr:uid="{00000000-0005-0000-0000-000081250000}"/>
    <cellStyle name="inputExposure 2 2" xfId="22124" xr:uid="{A6C7033D-0938-45B3-84A5-2340B2E16A06}"/>
    <cellStyle name="inputExposure 3" xfId="21601" xr:uid="{1A81BACB-B0CC-410A-9C89-39E70D07035A}"/>
    <cellStyle name="inputExposure 4" xfId="22586" xr:uid="{FE7DEC0A-1808-46AD-98E6-BE828A85FB22}"/>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23 2" xfId="22311" xr:uid="{59CB2410-22B9-4532-AF84-38763D723377}"/>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2 2 2" xfId="22122" xr:uid="{CE47AE47-3493-46B3-A250-50E042C8329E}"/>
    <cellStyle name="Note 2 10 2 3" xfId="21603" xr:uid="{982E0697-04EF-4C9C-97BA-767D9023EE0A}"/>
    <cellStyle name="Note 2 10 2 4" xfId="22759" xr:uid="{B29978ED-0ECE-48B7-AAF9-CCEE41BA12AE}"/>
    <cellStyle name="Note 2 10 2 5" xfId="22398" xr:uid="{C2997532-211E-4F09-B29A-909609C87B38}"/>
    <cellStyle name="Note 2 10 3" xfId="20386" xr:uid="{00000000-0005-0000-0000-000061500000}"/>
    <cellStyle name="Note 2 10 3 2" xfId="21220" xr:uid="{00000000-0005-0000-0000-000062500000}"/>
    <cellStyle name="Note 2 10 3 2 2" xfId="22121" xr:uid="{B5A6BA19-EB84-4F22-AEB2-D83F8B8CE66E}"/>
    <cellStyle name="Note 2 10 3 3" xfId="21604" xr:uid="{5335AE2D-D027-474C-8E21-FA1626F33A71}"/>
    <cellStyle name="Note 2 10 3 4" xfId="22760" xr:uid="{4F2EEC4A-F69F-4B8B-83B3-761F64BD23C3}"/>
    <cellStyle name="Note 2 10 3 5" xfId="22397" xr:uid="{47EC1013-C552-4880-9C0B-8E9C0ECA2AC9}"/>
    <cellStyle name="Note 2 10 4" xfId="20387" xr:uid="{00000000-0005-0000-0000-000063500000}"/>
    <cellStyle name="Note 2 10 4 2" xfId="21219" xr:uid="{00000000-0005-0000-0000-000064500000}"/>
    <cellStyle name="Note 2 10 4 2 2" xfId="22120" xr:uid="{2CEED1E6-66B2-4656-A66C-6BE5CAA103AA}"/>
    <cellStyle name="Note 2 10 4 3" xfId="21605" xr:uid="{53A14061-0E10-473E-B9E4-3CDFC16AA431}"/>
    <cellStyle name="Note 2 10 4 4" xfId="22761" xr:uid="{84931536-D87D-4B54-95B5-D58761FC506F}"/>
    <cellStyle name="Note 2 10 4 5" xfId="22396" xr:uid="{20C90119-C6CE-46D5-841B-FC3F0717AC9B}"/>
    <cellStyle name="Note 2 10 5" xfId="20388" xr:uid="{00000000-0005-0000-0000-000065500000}"/>
    <cellStyle name="Note 2 10 5 2" xfId="21218" xr:uid="{00000000-0005-0000-0000-000066500000}"/>
    <cellStyle name="Note 2 10 5 2 2" xfId="22119" xr:uid="{5F3543CB-D696-4ED4-BDC7-4939BDDB3FC0}"/>
    <cellStyle name="Note 2 10 5 3" xfId="21606" xr:uid="{3C885D95-CF86-4AA0-A3C6-C86D27C7F87D}"/>
    <cellStyle name="Note 2 10 5 4" xfId="22762" xr:uid="{7B534209-01A6-48DE-B5BF-8B6315FAF23F}"/>
    <cellStyle name="Note 2 10 5 5" xfId="22395" xr:uid="{60FD6673-4717-4D7B-890E-5D959D7404FA}"/>
    <cellStyle name="Note 2 11" xfId="20389" xr:uid="{00000000-0005-0000-0000-000067500000}"/>
    <cellStyle name="Note 2 11 2" xfId="20390" xr:uid="{00000000-0005-0000-0000-000068500000}"/>
    <cellStyle name="Note 2 11 2 2" xfId="21217" xr:uid="{00000000-0005-0000-0000-000069500000}"/>
    <cellStyle name="Note 2 11 2 2 2" xfId="22118" xr:uid="{7628C186-2596-40DA-861A-965A3DEFECA9}"/>
    <cellStyle name="Note 2 11 2 3" xfId="21607" xr:uid="{61265D05-0DE3-4EEF-820F-047ED8F32466}"/>
    <cellStyle name="Note 2 11 2 4" xfId="22763" xr:uid="{156696B7-FD08-4554-82C3-AA8659364DC7}"/>
    <cellStyle name="Note 2 11 2 5" xfId="22394" xr:uid="{FA0D959D-99B0-4CDC-B66A-85268559BC66}"/>
    <cellStyle name="Note 2 11 3" xfId="20391" xr:uid="{00000000-0005-0000-0000-00006A500000}"/>
    <cellStyle name="Note 2 11 3 2" xfId="21216" xr:uid="{00000000-0005-0000-0000-00006B500000}"/>
    <cellStyle name="Note 2 11 3 2 2" xfId="22117" xr:uid="{60A7AF05-C095-4513-8549-213AE99FCB7B}"/>
    <cellStyle name="Note 2 11 3 3" xfId="21608" xr:uid="{B14C0983-F805-4054-ABD4-582165133865}"/>
    <cellStyle name="Note 2 11 3 4" xfId="22764" xr:uid="{16444BE2-0732-4C6B-AEDA-E7E337111AD9}"/>
    <cellStyle name="Note 2 11 3 5" xfId="22393" xr:uid="{3809B50B-0839-4D51-87B6-3B4DA2743164}"/>
    <cellStyle name="Note 2 11 4" xfId="20392" xr:uid="{00000000-0005-0000-0000-00006C500000}"/>
    <cellStyle name="Note 2 11 4 2" xfId="21215" xr:uid="{00000000-0005-0000-0000-00006D500000}"/>
    <cellStyle name="Note 2 11 4 2 2" xfId="22116" xr:uid="{61621E65-BA5E-49E6-A01B-7038A09A3103}"/>
    <cellStyle name="Note 2 11 4 3" xfId="21609" xr:uid="{9485326F-F3A5-40AB-8549-8DABEBF7CA62}"/>
    <cellStyle name="Note 2 11 4 4" xfId="22765" xr:uid="{C9A31A12-0B7E-4A6A-816E-0EAC82F81934}"/>
    <cellStyle name="Note 2 11 4 5" xfId="22392" xr:uid="{028C1BB6-EF24-4085-A25A-26982EBEFCEE}"/>
    <cellStyle name="Note 2 11 5" xfId="20393" xr:uid="{00000000-0005-0000-0000-00006E500000}"/>
    <cellStyle name="Note 2 11 5 2" xfId="21214" xr:uid="{00000000-0005-0000-0000-00006F500000}"/>
    <cellStyle name="Note 2 11 5 2 2" xfId="22115" xr:uid="{DC2E5000-7EF4-4505-A42A-03F0E4F86F52}"/>
    <cellStyle name="Note 2 11 5 3" xfId="21610" xr:uid="{EABF7A63-517B-4BB9-9659-0D638450C3FD}"/>
    <cellStyle name="Note 2 11 5 4" xfId="22766" xr:uid="{CBB55A9E-6103-49C2-9960-59573CA2A203}"/>
    <cellStyle name="Note 2 11 5 5" xfId="22391" xr:uid="{144C734A-C34C-4129-B032-C5296DEC9F35}"/>
    <cellStyle name="Note 2 12" xfId="20394" xr:uid="{00000000-0005-0000-0000-000070500000}"/>
    <cellStyle name="Note 2 12 2" xfId="20395" xr:uid="{00000000-0005-0000-0000-000071500000}"/>
    <cellStyle name="Note 2 12 2 2" xfId="21213" xr:uid="{00000000-0005-0000-0000-000072500000}"/>
    <cellStyle name="Note 2 12 2 2 2" xfId="22114" xr:uid="{23FB6192-1B88-49A1-B58B-2AF0A788A97D}"/>
    <cellStyle name="Note 2 12 2 3" xfId="21611" xr:uid="{71A5D224-E066-43C0-9191-2A8F289C5861}"/>
    <cellStyle name="Note 2 12 2 4" xfId="22767" xr:uid="{B00C77BD-1F03-4EB0-8015-6D3CBB565891}"/>
    <cellStyle name="Note 2 12 2 5" xfId="22390" xr:uid="{9D55FFEA-0ADC-42DD-AD9D-CE7314172FA4}"/>
    <cellStyle name="Note 2 12 3" xfId="20396" xr:uid="{00000000-0005-0000-0000-000073500000}"/>
    <cellStyle name="Note 2 12 3 2" xfId="21212" xr:uid="{00000000-0005-0000-0000-000074500000}"/>
    <cellStyle name="Note 2 12 3 2 2" xfId="22113" xr:uid="{7392334D-2614-4461-A5BD-BBAFE96F6FD0}"/>
    <cellStyle name="Note 2 12 3 3" xfId="21612" xr:uid="{161117CC-A7BE-46D9-8E15-3C1706B4C016}"/>
    <cellStyle name="Note 2 12 3 4" xfId="22768" xr:uid="{AF83CC57-6831-466C-B3BD-E4F67D7B8C33}"/>
    <cellStyle name="Note 2 12 3 5" xfId="22389" xr:uid="{3DA9487A-DF11-4F7E-85E4-27DAC6DC2000}"/>
    <cellStyle name="Note 2 12 4" xfId="20397" xr:uid="{00000000-0005-0000-0000-000075500000}"/>
    <cellStyle name="Note 2 12 4 2" xfId="21211" xr:uid="{00000000-0005-0000-0000-000076500000}"/>
    <cellStyle name="Note 2 12 4 2 2" xfId="22112" xr:uid="{ABF2B13A-3679-4A57-A8E6-C38F44F91870}"/>
    <cellStyle name="Note 2 12 4 3" xfId="21613" xr:uid="{097C6BA3-B12C-43EC-AF56-EC4928DD92B4}"/>
    <cellStyle name="Note 2 12 4 4" xfId="22769" xr:uid="{A044F028-4979-4E10-8469-4D3271E43B6A}"/>
    <cellStyle name="Note 2 12 4 5" xfId="22388" xr:uid="{B4AD37CC-1214-4AF2-BFF7-DF0825A97F07}"/>
    <cellStyle name="Note 2 12 5" xfId="20398" xr:uid="{00000000-0005-0000-0000-000077500000}"/>
    <cellStyle name="Note 2 12 5 2" xfId="21210" xr:uid="{00000000-0005-0000-0000-000078500000}"/>
    <cellStyle name="Note 2 12 5 2 2" xfId="22111" xr:uid="{560EF9E7-2B45-4B8F-AF70-EB1FDCFB5262}"/>
    <cellStyle name="Note 2 12 5 3" xfId="21614" xr:uid="{B52DEAA6-C986-4AA2-A342-78F63046AB2E}"/>
    <cellStyle name="Note 2 12 5 4" xfId="22770" xr:uid="{BA15E32C-E417-4FE9-B7F9-D1123D55B9BD}"/>
    <cellStyle name="Note 2 12 5 5" xfId="22387" xr:uid="{2D17255D-2CAB-4CCD-9D18-57D0483D23E4}"/>
    <cellStyle name="Note 2 13" xfId="20399" xr:uid="{00000000-0005-0000-0000-000079500000}"/>
    <cellStyle name="Note 2 13 2" xfId="20400" xr:uid="{00000000-0005-0000-0000-00007A500000}"/>
    <cellStyle name="Note 2 13 2 2" xfId="21209" xr:uid="{00000000-0005-0000-0000-00007B500000}"/>
    <cellStyle name="Note 2 13 2 2 2" xfId="22110" xr:uid="{49874CF7-93C3-4482-A123-29076326B70D}"/>
    <cellStyle name="Note 2 13 2 3" xfId="21615" xr:uid="{0CB81DF7-E35F-4D17-9DF2-3249045AD31E}"/>
    <cellStyle name="Note 2 13 2 4" xfId="22771" xr:uid="{2337D824-104F-4D86-A2FC-0B739A770CF1}"/>
    <cellStyle name="Note 2 13 2 5" xfId="22386" xr:uid="{BB7D5A5B-0728-4FC3-8978-0051536562A9}"/>
    <cellStyle name="Note 2 13 3" xfId="20401" xr:uid="{00000000-0005-0000-0000-00007C500000}"/>
    <cellStyle name="Note 2 13 3 2" xfId="21208" xr:uid="{00000000-0005-0000-0000-00007D500000}"/>
    <cellStyle name="Note 2 13 3 2 2" xfId="22109" xr:uid="{CE1F758B-3C91-4011-8CFB-387695B26677}"/>
    <cellStyle name="Note 2 13 3 3" xfId="21616" xr:uid="{7458A5CA-CA46-4A8D-9137-272C2E370E43}"/>
    <cellStyle name="Note 2 13 3 4" xfId="22772" xr:uid="{433322F5-B5E1-4A76-89B3-B4ADAD5B575C}"/>
    <cellStyle name="Note 2 13 3 5" xfId="22385" xr:uid="{C492ED33-E151-4644-AB39-8AC4F9E1ED59}"/>
    <cellStyle name="Note 2 13 4" xfId="20402" xr:uid="{00000000-0005-0000-0000-00007E500000}"/>
    <cellStyle name="Note 2 13 4 2" xfId="21207" xr:uid="{00000000-0005-0000-0000-00007F500000}"/>
    <cellStyle name="Note 2 13 4 2 2" xfId="22108" xr:uid="{F211793F-5A00-4A5F-93FC-0679CB12A098}"/>
    <cellStyle name="Note 2 13 4 3" xfId="21617" xr:uid="{6D8CD4DE-928F-4986-832F-78821E90F1A5}"/>
    <cellStyle name="Note 2 13 4 4" xfId="22773" xr:uid="{168C65CB-03A7-4BDB-8C3C-BE05B2CDAEA6}"/>
    <cellStyle name="Note 2 13 4 5" xfId="22384" xr:uid="{20B49A3D-9901-4C6C-9934-B6DE045AC6B6}"/>
    <cellStyle name="Note 2 13 5" xfId="20403" xr:uid="{00000000-0005-0000-0000-000080500000}"/>
    <cellStyle name="Note 2 13 5 2" xfId="21206" xr:uid="{00000000-0005-0000-0000-000081500000}"/>
    <cellStyle name="Note 2 13 5 2 2" xfId="22107" xr:uid="{EADAE196-86C7-4171-8396-74C39471CF7B}"/>
    <cellStyle name="Note 2 13 5 3" xfId="21618" xr:uid="{A049BE46-D1A7-4D2A-B40D-D60000834336}"/>
    <cellStyle name="Note 2 13 5 4" xfId="22774" xr:uid="{48EB8CC9-8A6C-4CE5-B386-1257B5366DA0}"/>
    <cellStyle name="Note 2 13 5 5" xfId="22383" xr:uid="{BD12ED05-6C51-440E-B295-646D0EB1990A}"/>
    <cellStyle name="Note 2 14" xfId="20404" xr:uid="{00000000-0005-0000-0000-000082500000}"/>
    <cellStyle name="Note 2 14 2" xfId="20405" xr:uid="{00000000-0005-0000-0000-000083500000}"/>
    <cellStyle name="Note 2 14 2 2" xfId="21204" xr:uid="{00000000-0005-0000-0000-000084500000}"/>
    <cellStyle name="Note 2 14 2 2 2" xfId="22105" xr:uid="{45CCF62C-ABD0-4BB0-9F41-B3F16D124DB8}"/>
    <cellStyle name="Note 2 14 2 3" xfId="21620" xr:uid="{DC4CE121-6E23-4EDA-9B77-DB7C0A290A25}"/>
    <cellStyle name="Note 2 14 2 4" xfId="22776" xr:uid="{82E0DD5C-26D4-4D6B-954C-E06D85C556A8}"/>
    <cellStyle name="Note 2 14 2 5" xfId="22381" xr:uid="{E0789664-4469-4C7A-8229-F8BE574725BB}"/>
    <cellStyle name="Note 2 14 3" xfId="21205" xr:uid="{00000000-0005-0000-0000-000085500000}"/>
    <cellStyle name="Note 2 14 3 2" xfId="22106" xr:uid="{29293986-433E-4A64-9BA1-B4349934D4E9}"/>
    <cellStyle name="Note 2 14 4" xfId="21619" xr:uid="{9841973D-0D35-4A3D-B6FC-CAEF9F3DC7A5}"/>
    <cellStyle name="Note 2 14 5" xfId="22775" xr:uid="{4936481D-6596-4899-A8AB-8EAB63C578BD}"/>
    <cellStyle name="Note 2 14 6" xfId="22382" xr:uid="{42F6E92C-2F83-4DA8-9D41-7C74953E32E3}"/>
    <cellStyle name="Note 2 15" xfId="20406" xr:uid="{00000000-0005-0000-0000-000086500000}"/>
    <cellStyle name="Note 2 15 2" xfId="20407" xr:uid="{00000000-0005-0000-0000-000087500000}"/>
    <cellStyle name="Note 2 15 2 2" xfId="21203" xr:uid="{00000000-0005-0000-0000-000088500000}"/>
    <cellStyle name="Note 2 15 2 2 2" xfId="22104" xr:uid="{774D567D-5DE7-449A-A30D-4ABDC600BAB2}"/>
    <cellStyle name="Note 2 15 2 3" xfId="21621" xr:uid="{9C531B94-873D-4DE7-9821-AB6809DDCAD2}"/>
    <cellStyle name="Note 2 15 2 4" xfId="22777" xr:uid="{5C83288B-70A9-4D21-BAF3-CFBC18980FAE}"/>
    <cellStyle name="Note 2 15 2 5" xfId="22380" xr:uid="{7BADC4D9-000F-4738-8297-E7BAAF44B00C}"/>
    <cellStyle name="Note 2 16" xfId="20408" xr:uid="{00000000-0005-0000-0000-000089500000}"/>
    <cellStyle name="Note 2 16 2" xfId="21202" xr:uid="{00000000-0005-0000-0000-00008A500000}"/>
    <cellStyle name="Note 2 16 2 2" xfId="22103" xr:uid="{D7CFA8D4-FB3C-4665-BE47-F6B4743818DA}"/>
    <cellStyle name="Note 2 16 3" xfId="21622" xr:uid="{331C1411-ED8C-43E6-B293-AA439F4BE79D}"/>
    <cellStyle name="Note 2 16 4" xfId="22778" xr:uid="{079B3F34-220F-4E59-832E-223E9CE6EF04}"/>
    <cellStyle name="Note 2 16 5" xfId="22379" xr:uid="{18783B27-53E3-4137-A2F9-CBA1F57722FC}"/>
    <cellStyle name="Note 2 17" xfId="20409" xr:uid="{00000000-0005-0000-0000-00008B500000}"/>
    <cellStyle name="Note 2 17 2" xfId="21201" xr:uid="{00000000-0005-0000-0000-00008C500000}"/>
    <cellStyle name="Note 2 17 2 2" xfId="22102" xr:uid="{1A0FC413-5E72-448B-824A-8512F18B7043}"/>
    <cellStyle name="Note 2 17 3" xfId="21623" xr:uid="{8BB77348-2426-4409-A109-79AE353B7DE9}"/>
    <cellStyle name="Note 2 17 4" xfId="22779" xr:uid="{281696D1-D8BF-4BDE-83A7-9524282EE352}"/>
    <cellStyle name="Note 2 17 5" xfId="22378" xr:uid="{823DF287-C76D-4281-9A35-F4ED4B3CEE9C}"/>
    <cellStyle name="Note 2 18" xfId="21222" xr:uid="{00000000-0005-0000-0000-00008D500000}"/>
    <cellStyle name="Note 2 18 2" xfId="22123" xr:uid="{1AFEFAD3-9268-4E82-ABD3-DB8F67D7D883}"/>
    <cellStyle name="Note 2 19" xfId="21602" xr:uid="{4432BE8A-8802-4258-B6BD-FC813F8C9DB3}"/>
    <cellStyle name="Note 2 2" xfId="20410" xr:uid="{00000000-0005-0000-0000-00008E500000}"/>
    <cellStyle name="Note 2 2 10" xfId="20411" xr:uid="{00000000-0005-0000-0000-00008F500000}"/>
    <cellStyle name="Note 2 2 10 2" xfId="21199" xr:uid="{00000000-0005-0000-0000-000090500000}"/>
    <cellStyle name="Note 2 2 10 2 2" xfId="22100" xr:uid="{90EE5599-4DF3-4418-8DAB-CCAE2D2FD4A7}"/>
    <cellStyle name="Note 2 2 10 3" xfId="21625" xr:uid="{D479210E-A8C1-41F8-9FCA-2E880E434E81}"/>
    <cellStyle name="Note 2 2 10 4" xfId="22781" xr:uid="{28C5386E-750E-476F-B641-96E3C95716ED}"/>
    <cellStyle name="Note 2 2 10 5" xfId="22376" xr:uid="{4C3F5822-30E4-400D-B466-39C87B6C211F}"/>
    <cellStyle name="Note 2 2 11" xfId="21200" xr:uid="{00000000-0005-0000-0000-000091500000}"/>
    <cellStyle name="Note 2 2 11 2" xfId="22101" xr:uid="{996D0129-40D1-4FF7-82F0-B30C5E65D1FB}"/>
    <cellStyle name="Note 2 2 12" xfId="21624" xr:uid="{DD1C561F-42B9-4E30-9BBB-318471818B90}"/>
    <cellStyle name="Note 2 2 13" xfId="22780" xr:uid="{0FFB30C2-83B1-41DE-A338-E9FF487B5EFF}"/>
    <cellStyle name="Note 2 2 14" xfId="22377" xr:uid="{8BA06DB4-C2BD-4912-B192-FC7360E6589F}"/>
    <cellStyle name="Note 2 2 2" xfId="20412" xr:uid="{00000000-0005-0000-0000-000092500000}"/>
    <cellStyle name="Note 2 2 2 2" xfId="20413" xr:uid="{00000000-0005-0000-0000-000093500000}"/>
    <cellStyle name="Note 2 2 2 2 2" xfId="21197" xr:uid="{00000000-0005-0000-0000-000094500000}"/>
    <cellStyle name="Note 2 2 2 2 2 2" xfId="22098" xr:uid="{0FC4C695-1686-4192-8561-0A34CED28982}"/>
    <cellStyle name="Note 2 2 2 2 3" xfId="21627" xr:uid="{72F14398-7279-446B-92BC-03BE54D1EC61}"/>
    <cellStyle name="Note 2 2 2 2 4" xfId="22783" xr:uid="{3964AE6A-066D-48AB-A5AD-B525343E3613}"/>
    <cellStyle name="Note 2 2 2 2 5" xfId="22374" xr:uid="{05611B04-6C1C-48FD-B7DA-31FCEAB61965}"/>
    <cellStyle name="Note 2 2 2 3" xfId="20414" xr:uid="{00000000-0005-0000-0000-000095500000}"/>
    <cellStyle name="Note 2 2 2 3 2" xfId="21196" xr:uid="{00000000-0005-0000-0000-000096500000}"/>
    <cellStyle name="Note 2 2 2 3 2 2" xfId="22097" xr:uid="{9645A736-B219-46C8-A70D-F67A9E3E9F71}"/>
    <cellStyle name="Note 2 2 2 3 3" xfId="21628" xr:uid="{252A4FB7-0123-4C99-A5D5-E0D455C4F4D7}"/>
    <cellStyle name="Note 2 2 2 3 4" xfId="22784" xr:uid="{077D0075-8838-42F0-AA08-0A3C89E79CF1}"/>
    <cellStyle name="Note 2 2 2 3 5" xfId="22373" xr:uid="{AE5183F1-3E53-4414-A20F-6A52EF95C451}"/>
    <cellStyle name="Note 2 2 2 4" xfId="20415" xr:uid="{00000000-0005-0000-0000-000097500000}"/>
    <cellStyle name="Note 2 2 2 4 2" xfId="21195" xr:uid="{00000000-0005-0000-0000-000098500000}"/>
    <cellStyle name="Note 2 2 2 4 2 2" xfId="22096" xr:uid="{AA55BB46-C6ED-41B8-ADA1-3E820B5EE88B}"/>
    <cellStyle name="Note 2 2 2 4 3" xfId="21629" xr:uid="{958471C7-E98F-4080-8395-555A08D5FFB8}"/>
    <cellStyle name="Note 2 2 2 4 4" xfId="22785" xr:uid="{55C49BB2-1E50-451F-9A41-1D6E82F11A5A}"/>
    <cellStyle name="Note 2 2 2 4 5" xfId="22372" xr:uid="{38A42DCF-D9C3-491B-995E-8968D5C30B6A}"/>
    <cellStyle name="Note 2 2 2 5" xfId="20416" xr:uid="{00000000-0005-0000-0000-000099500000}"/>
    <cellStyle name="Note 2 2 2 5 2" xfId="21194" xr:uid="{00000000-0005-0000-0000-00009A500000}"/>
    <cellStyle name="Note 2 2 2 5 2 2" xfId="22095" xr:uid="{760420F8-556D-4128-A1BF-67E0E06AAD91}"/>
    <cellStyle name="Note 2 2 2 5 3" xfId="21630" xr:uid="{56E1A592-7476-44B1-9150-72CF08E16136}"/>
    <cellStyle name="Note 2 2 2 5 4" xfId="22786" xr:uid="{9DEED6F4-25DB-49A2-9132-FB54FB66ADA3}"/>
    <cellStyle name="Note 2 2 2 5 5" xfId="22371" xr:uid="{E72EEC48-9064-48E4-83D6-039F711C14B9}"/>
    <cellStyle name="Note 2 2 2 6" xfId="21198" xr:uid="{00000000-0005-0000-0000-00009B500000}"/>
    <cellStyle name="Note 2 2 2 6 2" xfId="22099" xr:uid="{F0DFDE3C-25B3-484C-B783-86BC461FA0F3}"/>
    <cellStyle name="Note 2 2 2 7" xfId="21626" xr:uid="{92D976F8-3DDF-402F-A7DB-1CEA034E49D6}"/>
    <cellStyle name="Note 2 2 2 8" xfId="22782" xr:uid="{4DBE22C3-BFCD-4558-8EC0-B156DC585063}"/>
    <cellStyle name="Note 2 2 2 9" xfId="22375" xr:uid="{5A669484-8C81-4E2E-B638-C9145368485C}"/>
    <cellStyle name="Note 2 2 3" xfId="20417" xr:uid="{00000000-0005-0000-0000-00009C500000}"/>
    <cellStyle name="Note 2 2 3 2" xfId="20418" xr:uid="{00000000-0005-0000-0000-00009D500000}"/>
    <cellStyle name="Note 2 2 3 2 2" xfId="21193" xr:uid="{00000000-0005-0000-0000-00009E500000}"/>
    <cellStyle name="Note 2 2 3 2 2 2" xfId="22094" xr:uid="{F9C232A8-DFAF-429E-9551-C46119BA8206}"/>
    <cellStyle name="Note 2 2 3 2 3" xfId="21631" xr:uid="{206968FB-26FA-4E31-9C3E-4111CE77A5FF}"/>
    <cellStyle name="Note 2 2 3 2 4" xfId="22787" xr:uid="{2ABCA2E9-F9D4-4A29-9144-EB6329458EBB}"/>
    <cellStyle name="Note 2 2 3 2 5" xfId="22370" xr:uid="{3A33F4AB-B559-4291-8E64-33D47D1CFEEF}"/>
    <cellStyle name="Note 2 2 3 3" xfId="20419" xr:uid="{00000000-0005-0000-0000-00009F500000}"/>
    <cellStyle name="Note 2 2 3 3 2" xfId="21192" xr:uid="{00000000-0005-0000-0000-0000A0500000}"/>
    <cellStyle name="Note 2 2 3 3 2 2" xfId="22093" xr:uid="{3EDBCD81-25B8-42FD-B8F2-222F5469677E}"/>
    <cellStyle name="Note 2 2 3 3 3" xfId="21632" xr:uid="{7AC1EE4F-F4A2-44BC-8829-0F9AA74CB3AC}"/>
    <cellStyle name="Note 2 2 3 3 4" xfId="22788" xr:uid="{D2A01F47-B5E6-4B47-8000-044A24B3373C}"/>
    <cellStyle name="Note 2 2 3 3 5" xfId="22369" xr:uid="{D9EE905D-40A8-4126-BD71-12EF61813C03}"/>
    <cellStyle name="Note 2 2 3 4" xfId="20420" xr:uid="{00000000-0005-0000-0000-0000A1500000}"/>
    <cellStyle name="Note 2 2 3 4 2" xfId="21191" xr:uid="{00000000-0005-0000-0000-0000A2500000}"/>
    <cellStyle name="Note 2 2 3 4 2 2" xfId="22092" xr:uid="{0BD5AB58-0EFE-4AE0-B73F-B2FBF533517B}"/>
    <cellStyle name="Note 2 2 3 4 3" xfId="21633" xr:uid="{12AB44FE-B276-4BA9-8512-E98A61E32FF7}"/>
    <cellStyle name="Note 2 2 3 4 4" xfId="22789" xr:uid="{C27D4A7C-EB36-46ED-AE65-986862FC1858}"/>
    <cellStyle name="Note 2 2 3 4 5" xfId="22368" xr:uid="{44F8E88A-CAC5-4B87-9506-3654E82CB6F2}"/>
    <cellStyle name="Note 2 2 3 5" xfId="20421" xr:uid="{00000000-0005-0000-0000-0000A3500000}"/>
    <cellStyle name="Note 2 2 3 5 2" xfId="21190" xr:uid="{00000000-0005-0000-0000-0000A4500000}"/>
    <cellStyle name="Note 2 2 3 5 2 2" xfId="22091" xr:uid="{D07F5DFD-0983-469F-B1CA-0F0BF0455463}"/>
    <cellStyle name="Note 2 2 3 5 3" xfId="21634" xr:uid="{7096657B-DEB7-4314-A482-4CDE63609432}"/>
    <cellStyle name="Note 2 2 3 5 4" xfId="22790" xr:uid="{13058C00-3A36-417E-A1C4-AF600C72AB64}"/>
    <cellStyle name="Note 2 2 3 5 5" xfId="22367" xr:uid="{70344AA4-FB37-44C4-AD80-7F4234868170}"/>
    <cellStyle name="Note 2 2 4" xfId="20422" xr:uid="{00000000-0005-0000-0000-0000A5500000}"/>
    <cellStyle name="Note 2 2 4 2" xfId="20423" xr:uid="{00000000-0005-0000-0000-0000A6500000}"/>
    <cellStyle name="Note 2 2 4 2 2" xfId="21188" xr:uid="{00000000-0005-0000-0000-0000A7500000}"/>
    <cellStyle name="Note 2 2 4 2 2 2" xfId="22089" xr:uid="{20DE36DD-19B7-4B2A-A923-BC800AE8FAAD}"/>
    <cellStyle name="Note 2 2 4 2 3" xfId="21636" xr:uid="{F0005C5E-57BA-4C31-AB8C-DED0ED7CD33E}"/>
    <cellStyle name="Note 2 2 4 2 4" xfId="22792" xr:uid="{34F7D6D0-4CDE-4D0F-A467-C3451B601597}"/>
    <cellStyle name="Note 2 2 4 2 5" xfId="22365" xr:uid="{27B30E59-49B3-43C1-819D-C0F6B1B804A0}"/>
    <cellStyle name="Note 2 2 4 3" xfId="20424" xr:uid="{00000000-0005-0000-0000-0000A8500000}"/>
    <cellStyle name="Note 2 2 4 3 2" xfId="21187" xr:uid="{00000000-0005-0000-0000-0000A9500000}"/>
    <cellStyle name="Note 2 2 4 3 2 2" xfId="22088" xr:uid="{CAED98AF-6422-4B53-AE0D-36E2783598FC}"/>
    <cellStyle name="Note 2 2 4 3 3" xfId="21637" xr:uid="{75606CE1-11AB-4076-AD18-BCE160B89962}"/>
    <cellStyle name="Note 2 2 4 3 4" xfId="22793" xr:uid="{3920AAD9-01F2-4E12-BC5F-BE130616670A}"/>
    <cellStyle name="Note 2 2 4 3 5" xfId="22364" xr:uid="{3692437C-D00A-4C3A-804A-2BC9EBB2B1B1}"/>
    <cellStyle name="Note 2 2 4 4" xfId="20425" xr:uid="{00000000-0005-0000-0000-0000AA500000}"/>
    <cellStyle name="Note 2 2 4 4 2" xfId="21186" xr:uid="{00000000-0005-0000-0000-0000AB500000}"/>
    <cellStyle name="Note 2 2 4 4 2 2" xfId="22087" xr:uid="{6A937298-D743-4C44-A127-85EDA021DDF5}"/>
    <cellStyle name="Note 2 2 4 4 3" xfId="21638" xr:uid="{531DF910-ACFB-438F-BF7D-01B459183D24}"/>
    <cellStyle name="Note 2 2 4 4 4" xfId="22794" xr:uid="{AC3A9A6F-51A6-4341-A119-D69E9E0D4A86}"/>
    <cellStyle name="Note 2 2 4 4 5" xfId="22363" xr:uid="{8F027C77-E818-4B33-9F6A-93DEF510AA40}"/>
    <cellStyle name="Note 2 2 4 5" xfId="21189" xr:uid="{00000000-0005-0000-0000-0000AC500000}"/>
    <cellStyle name="Note 2 2 4 5 2" xfId="22090" xr:uid="{DA14EA7D-145F-4613-A8CF-DB9209198C56}"/>
    <cellStyle name="Note 2 2 4 6" xfId="21635" xr:uid="{BDE5026A-4527-48F2-B3E3-ADE0098F7B2A}"/>
    <cellStyle name="Note 2 2 4 7" xfId="22791" xr:uid="{0C2BF8ED-1A97-4964-BBF8-76FBAD530356}"/>
    <cellStyle name="Note 2 2 4 8" xfId="22366" xr:uid="{3FA6BEAB-7BE2-4213-9C49-FF3C4ABF29B3}"/>
    <cellStyle name="Note 2 2 5" xfId="20426" xr:uid="{00000000-0005-0000-0000-0000AD500000}"/>
    <cellStyle name="Note 2 2 5 2" xfId="20427" xr:uid="{00000000-0005-0000-0000-0000AE500000}"/>
    <cellStyle name="Note 2 2 5 2 2" xfId="21184" xr:uid="{00000000-0005-0000-0000-0000AF500000}"/>
    <cellStyle name="Note 2 2 5 2 2 2" xfId="22085" xr:uid="{E4982033-02CC-453D-817C-4C13EBBD2893}"/>
    <cellStyle name="Note 2 2 5 2 3" xfId="21640" xr:uid="{C90C2FAF-785A-40C4-BC29-B38612B64CED}"/>
    <cellStyle name="Note 2 2 5 2 4" xfId="22796" xr:uid="{F47907A1-535F-4468-8024-90159F3EA6F8}"/>
    <cellStyle name="Note 2 2 5 2 5" xfId="22361" xr:uid="{BE26530F-C3AD-444E-A4C1-56216FB3DDC2}"/>
    <cellStyle name="Note 2 2 5 3" xfId="20428" xr:uid="{00000000-0005-0000-0000-0000B0500000}"/>
    <cellStyle name="Note 2 2 5 3 2" xfId="21183" xr:uid="{00000000-0005-0000-0000-0000B1500000}"/>
    <cellStyle name="Note 2 2 5 3 2 2" xfId="22084" xr:uid="{882567B7-59CC-4DC2-A6EB-F11C390A8C15}"/>
    <cellStyle name="Note 2 2 5 3 3" xfId="21641" xr:uid="{FCE322F1-D7A3-474B-98C4-FBE6B2A9E42D}"/>
    <cellStyle name="Note 2 2 5 3 4" xfId="22797" xr:uid="{2B4904E1-5A81-4085-B29F-96E140B08DC0}"/>
    <cellStyle name="Note 2 2 5 3 5" xfId="22360" xr:uid="{83E8EF66-5CCC-4B03-B952-717B0D66A806}"/>
    <cellStyle name="Note 2 2 5 4" xfId="20429" xr:uid="{00000000-0005-0000-0000-0000B2500000}"/>
    <cellStyle name="Note 2 2 5 4 2" xfId="21182" xr:uid="{00000000-0005-0000-0000-0000B3500000}"/>
    <cellStyle name="Note 2 2 5 4 2 2" xfId="22083" xr:uid="{8F144638-DEB1-4B03-AE8E-DCB0AB3E56F8}"/>
    <cellStyle name="Note 2 2 5 4 3" xfId="21642" xr:uid="{0B322ADD-954C-4D96-B265-11D0516F890E}"/>
    <cellStyle name="Note 2 2 5 4 4" xfId="22798" xr:uid="{D1CEFA46-2E6C-406A-8AD6-DDBE0C1C205A}"/>
    <cellStyle name="Note 2 2 5 4 5" xfId="22359" xr:uid="{B16809DF-DFAD-4B12-8D19-F9AA36B2B612}"/>
    <cellStyle name="Note 2 2 5 5" xfId="21185" xr:uid="{00000000-0005-0000-0000-0000B4500000}"/>
    <cellStyle name="Note 2 2 5 5 2" xfId="22086" xr:uid="{73835EE2-3879-4EB6-BF52-574B4A900934}"/>
    <cellStyle name="Note 2 2 5 6" xfId="21639" xr:uid="{F72BD341-7C19-4728-8D5B-0E040D615D6B}"/>
    <cellStyle name="Note 2 2 5 7" xfId="22795" xr:uid="{7316423C-08F5-4DC2-81E3-EC92BC1ECB9E}"/>
    <cellStyle name="Note 2 2 5 8" xfId="22362" xr:uid="{81841309-23C2-436C-AB72-1CF07D269D42}"/>
    <cellStyle name="Note 2 2 6" xfId="20430" xr:uid="{00000000-0005-0000-0000-0000B5500000}"/>
    <cellStyle name="Note 2 2 6 2" xfId="21181" xr:uid="{00000000-0005-0000-0000-0000B6500000}"/>
    <cellStyle name="Note 2 2 6 2 2" xfId="22082" xr:uid="{D974DDB5-6D8A-4871-91E2-DDB2A3C0AC8D}"/>
    <cellStyle name="Note 2 2 6 3" xfId="21643" xr:uid="{7B23CA2B-7EE0-4E11-A333-9051F3E749ED}"/>
    <cellStyle name="Note 2 2 6 4" xfId="22799" xr:uid="{0AB494CE-C00B-4507-AEEF-9DFE0FAB8258}"/>
    <cellStyle name="Note 2 2 6 5" xfId="22358" xr:uid="{5B992A73-A133-4604-910A-B75EF5B94E93}"/>
    <cellStyle name="Note 2 2 7" xfId="20431" xr:uid="{00000000-0005-0000-0000-0000B7500000}"/>
    <cellStyle name="Note 2 2 7 2" xfId="21180" xr:uid="{00000000-0005-0000-0000-0000B8500000}"/>
    <cellStyle name="Note 2 2 7 2 2" xfId="22081" xr:uid="{458BE621-5B71-4554-B782-727EF2C5D838}"/>
    <cellStyle name="Note 2 2 7 3" xfId="21644" xr:uid="{19C8A708-F118-4791-8BB6-8AFC36FF12C3}"/>
    <cellStyle name="Note 2 2 7 4" xfId="22800" xr:uid="{5F2E5628-0393-4E7A-A45F-6A1993BBBB3A}"/>
    <cellStyle name="Note 2 2 7 5" xfId="22357" xr:uid="{21AE8DBE-45FA-44AF-902E-F4286F7182B2}"/>
    <cellStyle name="Note 2 2 8" xfId="20432" xr:uid="{00000000-0005-0000-0000-0000B9500000}"/>
    <cellStyle name="Note 2 2 8 2" xfId="21179" xr:uid="{00000000-0005-0000-0000-0000BA500000}"/>
    <cellStyle name="Note 2 2 8 2 2" xfId="22080" xr:uid="{77E22577-04CB-4994-AF62-2A86237C6924}"/>
    <cellStyle name="Note 2 2 8 3" xfId="21645" xr:uid="{DF2B708A-38C3-43D4-A9ED-7C208C607212}"/>
    <cellStyle name="Note 2 2 8 4" xfId="22801" xr:uid="{5E861868-462C-4273-B512-1D34B6AFA5CB}"/>
    <cellStyle name="Note 2 2 8 5" xfId="22356" xr:uid="{B77DDCE9-8313-4AE6-BA47-8AB933147672}"/>
    <cellStyle name="Note 2 2 9" xfId="20433" xr:uid="{00000000-0005-0000-0000-0000BB500000}"/>
    <cellStyle name="Note 2 2 9 2" xfId="21178" xr:uid="{00000000-0005-0000-0000-0000BC500000}"/>
    <cellStyle name="Note 2 2 9 2 2" xfId="22079" xr:uid="{1267EF7C-7FE7-472D-A099-AB9D37861891}"/>
    <cellStyle name="Note 2 2 9 3" xfId="21646" xr:uid="{558F8194-2887-4D91-86CF-9D872A454588}"/>
    <cellStyle name="Note 2 2 9 4" xfId="22802" xr:uid="{FBC932EC-DBAA-47CA-B95B-B68637E2FF65}"/>
    <cellStyle name="Note 2 2 9 5" xfId="22355" xr:uid="{DDDDD045-D3B9-4847-9286-8C6498BFC6F1}"/>
    <cellStyle name="Note 2 20" xfId="22758" xr:uid="{75E0F707-DD35-4B0A-BAD2-8484E7059AEB}"/>
    <cellStyle name="Note 2 21" xfId="22399" xr:uid="{DF773449-3091-44FB-AAD3-69C218327F22}"/>
    <cellStyle name="Note 2 3" xfId="20434" xr:uid="{00000000-0005-0000-0000-0000BD500000}"/>
    <cellStyle name="Note 2 3 2" xfId="20435" xr:uid="{00000000-0005-0000-0000-0000BE500000}"/>
    <cellStyle name="Note 2 3 2 2" xfId="21177" xr:uid="{00000000-0005-0000-0000-0000BF500000}"/>
    <cellStyle name="Note 2 3 2 2 2" xfId="22078" xr:uid="{44FE8E37-0109-4072-89A3-935F91C1F84A}"/>
    <cellStyle name="Note 2 3 2 3" xfId="21647" xr:uid="{DE51A3D5-B6A7-484F-9743-6539D9E3DB03}"/>
    <cellStyle name="Note 2 3 2 4" xfId="22803" xr:uid="{475337E4-A4B1-4DCF-AEDE-85DEC055F347}"/>
    <cellStyle name="Note 2 3 2 5" xfId="22354" xr:uid="{7B6F2343-7BFB-431B-88DC-993E611BD09A}"/>
    <cellStyle name="Note 2 3 3" xfId="20436" xr:uid="{00000000-0005-0000-0000-0000C0500000}"/>
    <cellStyle name="Note 2 3 3 2" xfId="21176" xr:uid="{00000000-0005-0000-0000-0000C1500000}"/>
    <cellStyle name="Note 2 3 3 2 2" xfId="22077" xr:uid="{6BC73552-31D2-4925-A2D7-6D93DBCB55C8}"/>
    <cellStyle name="Note 2 3 3 3" xfId="21648" xr:uid="{0038401D-326C-4B93-B39A-CD27CE04F955}"/>
    <cellStyle name="Note 2 3 3 4" xfId="22804" xr:uid="{983C7853-90CD-44DA-B7B2-3F105D7D83F6}"/>
    <cellStyle name="Note 2 3 3 5" xfId="22353" xr:uid="{FC8CE23D-61A7-4935-8BBA-0BAAD2A68F42}"/>
    <cellStyle name="Note 2 3 4" xfId="20437" xr:uid="{00000000-0005-0000-0000-0000C2500000}"/>
    <cellStyle name="Note 2 3 4 2" xfId="21175" xr:uid="{00000000-0005-0000-0000-0000C3500000}"/>
    <cellStyle name="Note 2 3 4 2 2" xfId="22076" xr:uid="{D3654192-86A8-4BEB-ABAE-5BCFAFC073C3}"/>
    <cellStyle name="Note 2 3 4 3" xfId="21649" xr:uid="{B1E742F4-389E-4295-AADD-B8FB64B22A6D}"/>
    <cellStyle name="Note 2 3 4 4" xfId="22805" xr:uid="{AEB0C022-3A6F-469F-BDAA-B8A325DCFDD6}"/>
    <cellStyle name="Note 2 3 4 5" xfId="22352" xr:uid="{18DF38E5-AB74-4667-A98E-D34344911839}"/>
    <cellStyle name="Note 2 3 5" xfId="20438" xr:uid="{00000000-0005-0000-0000-0000C4500000}"/>
    <cellStyle name="Note 2 3 5 2" xfId="21174" xr:uid="{00000000-0005-0000-0000-0000C5500000}"/>
    <cellStyle name="Note 2 3 5 2 2" xfId="22075" xr:uid="{8774AAE3-79A1-48EF-A4BB-094B11A2EBF6}"/>
    <cellStyle name="Note 2 3 5 3" xfId="21650" xr:uid="{ACB089A9-6C67-4E4D-8D09-FC3F99938C93}"/>
    <cellStyle name="Note 2 3 5 4" xfId="22806" xr:uid="{D40A5308-5647-4306-BA01-2DAC4F5D9456}"/>
    <cellStyle name="Note 2 3 5 5" xfId="22351" xr:uid="{67885802-D570-471B-9A7F-CA12DBE604DA}"/>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2 2 2 2" xfId="22074" xr:uid="{201EE831-7DD6-4114-AF40-73B934493D25}"/>
    <cellStyle name="Note 2 4 2 2 3" xfId="21651" xr:uid="{B840BA10-9375-483F-8555-A6DDB050C36A}"/>
    <cellStyle name="Note 2 4 2 2 4" xfId="22807" xr:uid="{FC3FFF48-BC2D-4360-8557-40FA34C85491}"/>
    <cellStyle name="Note 2 4 2 2 5" xfId="22350" xr:uid="{AA97458A-1EB8-440D-9505-E5A5CC4EBDB3}"/>
    <cellStyle name="Note 2 4 3" xfId="20442" xr:uid="{00000000-0005-0000-0000-0000CA500000}"/>
    <cellStyle name="Note 2 4 3 2" xfId="20443" xr:uid="{00000000-0005-0000-0000-0000CB500000}"/>
    <cellStyle name="Note 2 4 3 2 2" xfId="21172" xr:uid="{00000000-0005-0000-0000-0000CC500000}"/>
    <cellStyle name="Note 2 4 3 2 2 2" xfId="22073" xr:uid="{383021BF-5714-4161-8153-DEF94A0BA28C}"/>
    <cellStyle name="Note 2 4 3 2 3" xfId="21652" xr:uid="{891F3435-C15E-4F31-8A56-3ED228D790E3}"/>
    <cellStyle name="Note 2 4 3 2 4" xfId="22808" xr:uid="{194D15C1-A7EC-4499-BAB6-838C21F65512}"/>
    <cellStyle name="Note 2 4 3 2 5" xfId="22349" xr:uid="{97EFD08D-4FA4-44CB-BCAF-A9665ACECD0E}"/>
    <cellStyle name="Note 2 4 4" xfId="20444" xr:uid="{00000000-0005-0000-0000-0000CD500000}"/>
    <cellStyle name="Note 2 4 4 2" xfId="20445" xr:uid="{00000000-0005-0000-0000-0000CE500000}"/>
    <cellStyle name="Note 2 4 4 2 2" xfId="21171" xr:uid="{00000000-0005-0000-0000-0000CF500000}"/>
    <cellStyle name="Note 2 4 4 2 2 2" xfId="22072" xr:uid="{0EA37D07-AE4F-4BCC-AD8B-A55268BC2063}"/>
    <cellStyle name="Note 2 4 4 2 3" xfId="21653" xr:uid="{DADA0A57-F0E4-4272-AF65-DD84A9130E9B}"/>
    <cellStyle name="Note 2 4 4 2 4" xfId="22809" xr:uid="{BCF0EA8B-A851-4D95-BE69-66C5EB1A1D50}"/>
    <cellStyle name="Note 2 4 4 2 5" xfId="22348" xr:uid="{A0760FDC-C328-4320-9334-0BF3B4DFE58B}"/>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4 7 2 2" xfId="22071" xr:uid="{5864D654-8CC0-41CE-8B00-5EFFAE6E5536}"/>
    <cellStyle name="Note 2 4 7 3" xfId="21654" xr:uid="{E5E9169E-6BD5-4433-8927-2B7856CC3D61}"/>
    <cellStyle name="Note 2 4 7 4" xfId="22810" xr:uid="{F4AF2EBE-BAD3-4E29-9302-37DB9EF274B2}"/>
    <cellStyle name="Note 2 4 7 5" xfId="22347" xr:uid="{9BF7DD9F-D5F3-4956-8B20-B4557FAC02BB}"/>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2 2 2 2" xfId="22070" xr:uid="{A77931B2-B3D3-4C6A-9D5B-CFF903971B0F}"/>
    <cellStyle name="Note 2 5 2 2 3" xfId="21655" xr:uid="{D564333E-FAAE-4EDE-AA2D-AF4E697B9C36}"/>
    <cellStyle name="Note 2 5 2 2 4" xfId="22811" xr:uid="{32195795-5C74-4AEA-BADF-DAB028C6E50F}"/>
    <cellStyle name="Note 2 5 2 2 5" xfId="22346" xr:uid="{FE513654-0FF4-43B5-9D93-4305D4544F1D}"/>
    <cellStyle name="Note 2 5 3" xfId="20452" xr:uid="{00000000-0005-0000-0000-0000D8500000}"/>
    <cellStyle name="Note 2 5 3 2" xfId="20453" xr:uid="{00000000-0005-0000-0000-0000D9500000}"/>
    <cellStyle name="Note 2 5 3 2 2" xfId="21168" xr:uid="{00000000-0005-0000-0000-0000DA500000}"/>
    <cellStyle name="Note 2 5 3 2 2 2" xfId="22069" xr:uid="{386365F7-58CC-4816-A8FD-E34D9EA268F3}"/>
    <cellStyle name="Note 2 5 3 2 3" xfId="21656" xr:uid="{807126E1-3127-490E-B301-624523651EBA}"/>
    <cellStyle name="Note 2 5 3 2 4" xfId="22812" xr:uid="{3ACF5BD0-0920-4826-8DE3-192BE89863D6}"/>
    <cellStyle name="Note 2 5 3 2 5" xfId="22345" xr:uid="{A3F4C321-56BA-4903-8E94-983C2B0323C7}"/>
    <cellStyle name="Note 2 5 4" xfId="20454" xr:uid="{00000000-0005-0000-0000-0000DB500000}"/>
    <cellStyle name="Note 2 5 4 2" xfId="20455" xr:uid="{00000000-0005-0000-0000-0000DC500000}"/>
    <cellStyle name="Note 2 5 4 2 2" xfId="21167" xr:uid="{00000000-0005-0000-0000-0000DD500000}"/>
    <cellStyle name="Note 2 5 4 2 2 2" xfId="22068" xr:uid="{08CD03E9-12CB-4674-A8C8-1E553677F6FA}"/>
    <cellStyle name="Note 2 5 4 2 3" xfId="21657" xr:uid="{3A5C2205-CFB1-4F1E-95B1-EB64324095FD}"/>
    <cellStyle name="Note 2 5 4 2 4" xfId="22813" xr:uid="{91F4BB2E-A890-43AE-AC3D-CB150C9C8A2F}"/>
    <cellStyle name="Note 2 5 4 2 5" xfId="22344" xr:uid="{DE113C06-A6DB-4CB6-B2AA-BF381F03EDF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5 7 2 2" xfId="22067" xr:uid="{056C8363-F863-4E1D-B130-774F62DC837B}"/>
    <cellStyle name="Note 2 5 7 3" xfId="21658" xr:uid="{9D3F56D2-CF31-46C5-ACB3-B2FCD1BA4E5D}"/>
    <cellStyle name="Note 2 5 7 4" xfId="22814" xr:uid="{E192C4EF-22E3-4BFB-A861-5B6880021680}"/>
    <cellStyle name="Note 2 5 7 5" xfId="22343" xr:uid="{7178C063-C630-4439-A443-AB4907D41A9A}"/>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2 2 2 2" xfId="22066" xr:uid="{1AC8A858-D2C6-4C36-9E0D-7143AEF09FE8}"/>
    <cellStyle name="Note 2 6 2 2 3" xfId="21659" xr:uid="{A596B021-037E-4056-9827-07C68EF75A77}"/>
    <cellStyle name="Note 2 6 2 2 4" xfId="22815" xr:uid="{FCEAA1A8-F3E0-4F22-A46A-583FBB19B30A}"/>
    <cellStyle name="Note 2 6 2 2 5" xfId="22342" xr:uid="{D624EABA-2F6A-4DC2-867E-AFDE00F0EA25}"/>
    <cellStyle name="Note 2 6 3" xfId="20462" xr:uid="{00000000-0005-0000-0000-0000E6500000}"/>
    <cellStyle name="Note 2 6 3 2" xfId="20463" xr:uid="{00000000-0005-0000-0000-0000E7500000}"/>
    <cellStyle name="Note 2 6 3 2 2" xfId="21164" xr:uid="{00000000-0005-0000-0000-0000E8500000}"/>
    <cellStyle name="Note 2 6 3 2 2 2" xfId="22065" xr:uid="{4797C73D-9C27-44C7-B409-96C6E9C7A2A9}"/>
    <cellStyle name="Note 2 6 3 2 3" xfId="21660" xr:uid="{0229C04D-5C43-4C37-A1F8-20DD7961FA3C}"/>
    <cellStyle name="Note 2 6 3 2 4" xfId="22816" xr:uid="{9DA44F66-DF2B-473D-BC10-0ACBC0A7EC22}"/>
    <cellStyle name="Note 2 6 3 2 5" xfId="22341" xr:uid="{5FB61B0A-E78B-4DD3-B00A-E774510D8DDE}"/>
    <cellStyle name="Note 2 6 4" xfId="20464" xr:uid="{00000000-0005-0000-0000-0000E9500000}"/>
    <cellStyle name="Note 2 6 4 2" xfId="20465" xr:uid="{00000000-0005-0000-0000-0000EA500000}"/>
    <cellStyle name="Note 2 6 4 2 2" xfId="21163" xr:uid="{00000000-0005-0000-0000-0000EB500000}"/>
    <cellStyle name="Note 2 6 4 2 2 2" xfId="22064" xr:uid="{ED7F6031-6057-4D33-9376-1C4FB62016FD}"/>
    <cellStyle name="Note 2 6 4 2 3" xfId="21661" xr:uid="{4B3860C8-B632-46D5-96D7-9FBA4EEDFD88}"/>
    <cellStyle name="Note 2 6 4 2 4" xfId="22817" xr:uid="{1B43EADE-770C-4255-ADC1-9700A4A54AF3}"/>
    <cellStyle name="Note 2 6 4 2 5" xfId="22340" xr:uid="{DFF35CDC-2325-4992-8F37-623FF50B1121}"/>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6 7 2 2" xfId="22063" xr:uid="{9572942F-E9FF-4D57-B7F9-A9DA0C4D0AFA}"/>
    <cellStyle name="Note 2 6 7 3" xfId="21662" xr:uid="{C1E3FBB7-33A7-41E3-BB5A-8A4143176FF6}"/>
    <cellStyle name="Note 2 6 7 4" xfId="22818" xr:uid="{500204CD-EC9D-4DCE-BF73-8613F2BE5C70}"/>
    <cellStyle name="Note 2 6 7 5" xfId="22339" xr:uid="{FFCE5AEB-370F-4AEF-ADA9-DA4A7EE468B2}"/>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2 2 2 2" xfId="22062" xr:uid="{B32A53DF-C352-4BB0-BE19-4866EE92AF8D}"/>
    <cellStyle name="Note 2 7 2 2 3" xfId="21663" xr:uid="{BC318D7D-07AC-4506-9562-F8CA94D23895}"/>
    <cellStyle name="Note 2 7 2 2 4" xfId="22819" xr:uid="{39536207-D039-46DC-8EB9-8D86A227ADD4}"/>
    <cellStyle name="Note 2 7 2 2 5" xfId="22338" xr:uid="{204690CF-F8E2-4994-8E49-F296342865F7}"/>
    <cellStyle name="Note 2 7 3" xfId="20472" xr:uid="{00000000-0005-0000-0000-0000F4500000}"/>
    <cellStyle name="Note 2 7 3 2" xfId="20473" xr:uid="{00000000-0005-0000-0000-0000F5500000}"/>
    <cellStyle name="Note 2 7 3 2 2" xfId="21160" xr:uid="{00000000-0005-0000-0000-0000F6500000}"/>
    <cellStyle name="Note 2 7 3 2 2 2" xfId="22061" xr:uid="{C1AF25FC-2B07-47A3-B78B-0BA7FAECBA8B}"/>
    <cellStyle name="Note 2 7 3 2 3" xfId="21664" xr:uid="{BF542C82-59B8-4C86-94B9-0F498573A6FD}"/>
    <cellStyle name="Note 2 7 3 2 4" xfId="22820" xr:uid="{2A71885A-4230-4DE1-B5BA-DB11DCBBF104}"/>
    <cellStyle name="Note 2 7 3 2 5" xfId="22337" xr:uid="{A3205144-B847-427D-9EA4-23EB67B5BE45}"/>
    <cellStyle name="Note 2 7 4" xfId="20474" xr:uid="{00000000-0005-0000-0000-0000F7500000}"/>
    <cellStyle name="Note 2 7 4 2" xfId="20475" xr:uid="{00000000-0005-0000-0000-0000F8500000}"/>
    <cellStyle name="Note 2 7 4 2 2" xfId="21159" xr:uid="{00000000-0005-0000-0000-0000F9500000}"/>
    <cellStyle name="Note 2 7 4 2 2 2" xfId="22060" xr:uid="{123FB8D2-A451-41BB-B310-C3EE855ED83A}"/>
    <cellStyle name="Note 2 7 4 2 3" xfId="21665" xr:uid="{056CAD5E-7B32-4859-97E9-D9ECBC992851}"/>
    <cellStyle name="Note 2 7 4 2 4" xfId="22821" xr:uid="{F7470620-7EDD-4000-9AB2-9A42F870A5B4}"/>
    <cellStyle name="Note 2 7 4 2 5" xfId="22336" xr:uid="{FFB615E2-EF63-479D-A0CB-3C93E538B264}"/>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7 7 2 2" xfId="22059" xr:uid="{713FE47E-E302-40E3-8EA6-7BE7C5249C5F}"/>
    <cellStyle name="Note 2 7 7 3" xfId="21666" xr:uid="{D23D80AE-B381-4604-A1C9-D5D451616937}"/>
    <cellStyle name="Note 2 7 7 4" xfId="22822" xr:uid="{3F0979B6-646F-4A02-9780-D19AC2EC9D2C}"/>
    <cellStyle name="Note 2 7 7 5" xfId="22335" xr:uid="{25130714-EA94-4D02-8DCD-AB01A17D12F8}"/>
    <cellStyle name="Note 2 8" xfId="20479" xr:uid="{00000000-0005-0000-0000-0000FE500000}"/>
    <cellStyle name="Note 2 8 2" xfId="20480" xr:uid="{00000000-0005-0000-0000-0000FF500000}"/>
    <cellStyle name="Note 2 8 2 2" xfId="21157" xr:uid="{00000000-0005-0000-0000-000000510000}"/>
    <cellStyle name="Note 2 8 2 2 2" xfId="22058" xr:uid="{2B111E94-885F-40CA-8200-FCBD65660EAF}"/>
    <cellStyle name="Note 2 8 2 3" xfId="21667" xr:uid="{46DAD356-70A1-4362-BC73-D36CDEC4C1EF}"/>
    <cellStyle name="Note 2 8 2 4" xfId="22823" xr:uid="{4D294733-0432-4F1E-950C-7C6B5B45066D}"/>
    <cellStyle name="Note 2 8 2 5" xfId="22334" xr:uid="{E3C609BD-B0CB-432B-BB71-33403904D08D}"/>
    <cellStyle name="Note 2 8 3" xfId="20481" xr:uid="{00000000-0005-0000-0000-000001510000}"/>
    <cellStyle name="Note 2 8 3 2" xfId="21156" xr:uid="{00000000-0005-0000-0000-000002510000}"/>
    <cellStyle name="Note 2 8 3 2 2" xfId="22057" xr:uid="{A7C5DD33-0786-4B80-9649-FCDF7EB6C1CC}"/>
    <cellStyle name="Note 2 8 3 3" xfId="21668" xr:uid="{1391DC2F-0C14-49B6-9803-589CB21933F9}"/>
    <cellStyle name="Note 2 8 3 4" xfId="22824" xr:uid="{039D4D96-6CBE-4A9A-A3DA-3E53A5B3A512}"/>
    <cellStyle name="Note 2 8 3 5" xfId="22333" xr:uid="{501CFE60-2AA6-48B5-BD32-07AA7210B90D}"/>
    <cellStyle name="Note 2 8 4" xfId="20482" xr:uid="{00000000-0005-0000-0000-000003510000}"/>
    <cellStyle name="Note 2 8 4 2" xfId="21155" xr:uid="{00000000-0005-0000-0000-000004510000}"/>
    <cellStyle name="Note 2 8 4 2 2" xfId="22056" xr:uid="{C404BAD2-0FA9-4241-8AF6-E8C24C357B62}"/>
    <cellStyle name="Note 2 8 4 3" xfId="21669" xr:uid="{80F0BA74-349B-437B-BA26-1E585D6DB25E}"/>
    <cellStyle name="Note 2 8 4 4" xfId="22825" xr:uid="{0EB781D4-B007-4BB6-BF0F-16ACC4F5C541}"/>
    <cellStyle name="Note 2 8 4 5" xfId="22332" xr:uid="{D128D871-59D0-4985-A644-680DD3754E80}"/>
    <cellStyle name="Note 2 8 5" xfId="20483" xr:uid="{00000000-0005-0000-0000-000005510000}"/>
    <cellStyle name="Note 2 8 5 2" xfId="21154" xr:uid="{00000000-0005-0000-0000-000006510000}"/>
    <cellStyle name="Note 2 8 5 2 2" xfId="22055" xr:uid="{A7BE1946-C7FE-4E8D-9FE2-3FB9E0925AB3}"/>
    <cellStyle name="Note 2 8 5 3" xfId="21670" xr:uid="{5BE42C2A-F465-42CF-9101-4725F6699651}"/>
    <cellStyle name="Note 2 8 5 4" xfId="22826" xr:uid="{B0728784-7076-4106-A6D1-2351683F53AD}"/>
    <cellStyle name="Note 2 8 5 5" xfId="22331" xr:uid="{195B7565-22D4-4606-96E6-67666C83ED1A}"/>
    <cellStyle name="Note 2 9" xfId="20484" xr:uid="{00000000-0005-0000-0000-000007510000}"/>
    <cellStyle name="Note 2 9 2" xfId="20485" xr:uid="{00000000-0005-0000-0000-000008510000}"/>
    <cellStyle name="Note 2 9 2 2" xfId="21153" xr:uid="{00000000-0005-0000-0000-000009510000}"/>
    <cellStyle name="Note 2 9 2 2 2" xfId="22054" xr:uid="{C07909DB-3538-4858-B932-48D22956B5D4}"/>
    <cellStyle name="Note 2 9 2 3" xfId="21671" xr:uid="{C9D64297-8A0F-4D95-A563-AB2F917F9086}"/>
    <cellStyle name="Note 2 9 2 4" xfId="22827" xr:uid="{A7B368B8-EE8A-42DD-9F91-C305455BDFC5}"/>
    <cellStyle name="Note 2 9 2 5" xfId="22330" xr:uid="{88ACB1F7-BC3F-456C-9E59-AFF1D9A90DF0}"/>
    <cellStyle name="Note 2 9 3" xfId="20486" xr:uid="{00000000-0005-0000-0000-00000A510000}"/>
    <cellStyle name="Note 2 9 3 2" xfId="21152" xr:uid="{00000000-0005-0000-0000-00000B510000}"/>
    <cellStyle name="Note 2 9 3 2 2" xfId="22053" xr:uid="{E686496D-3DE2-42C1-B0A6-240E28DADCC8}"/>
    <cellStyle name="Note 2 9 3 3" xfId="21672" xr:uid="{6EEBDA12-E323-449A-8ECE-30ED0765E4C2}"/>
    <cellStyle name="Note 2 9 3 4" xfId="22828" xr:uid="{F658942E-7EB6-4039-96C5-20600881C7A6}"/>
    <cellStyle name="Note 2 9 3 5" xfId="22329" xr:uid="{52448547-AB7E-4093-A7C0-71E812AC6F5C}"/>
    <cellStyle name="Note 2 9 4" xfId="20487" xr:uid="{00000000-0005-0000-0000-00000C510000}"/>
    <cellStyle name="Note 2 9 4 2" xfId="21151" xr:uid="{00000000-0005-0000-0000-00000D510000}"/>
    <cellStyle name="Note 2 9 4 2 2" xfId="22052" xr:uid="{7D41900A-DFCB-45CF-9475-8D9F1B7BBF87}"/>
    <cellStyle name="Note 2 9 4 3" xfId="21673" xr:uid="{B26740D2-DC44-4D10-A6D8-451A382A3BAD}"/>
    <cellStyle name="Note 2 9 4 4" xfId="22829" xr:uid="{EAB6BD7E-37AD-4949-9D3B-4AC188FCBAA6}"/>
    <cellStyle name="Note 2 9 4 5" xfId="22328" xr:uid="{7A0D7740-312A-40C0-B086-DA4BB8FB2717}"/>
    <cellStyle name="Note 2 9 5" xfId="20488" xr:uid="{00000000-0005-0000-0000-00000E510000}"/>
    <cellStyle name="Note 2 9 5 2" xfId="21150" xr:uid="{00000000-0005-0000-0000-00000F510000}"/>
    <cellStyle name="Note 2 9 5 2 2" xfId="22051" xr:uid="{A5639D06-F093-419A-B180-7B304DC7FAC3}"/>
    <cellStyle name="Note 2 9 5 3" xfId="21674" xr:uid="{81EF3E42-2F60-4828-A2ED-D69CE40B8346}"/>
    <cellStyle name="Note 2 9 5 4" xfId="22830" xr:uid="{B9251CF3-0F95-4EBE-837F-33BCA369E99A}"/>
    <cellStyle name="Note 2 9 5 5" xfId="22327" xr:uid="{72F691CD-C4F2-4161-97B0-81177B8AD843}"/>
    <cellStyle name="Note 3 2" xfId="20489" xr:uid="{00000000-0005-0000-0000-000010510000}"/>
    <cellStyle name="Note 3 2 2" xfId="20490" xr:uid="{00000000-0005-0000-0000-000011510000}"/>
    <cellStyle name="Note 3 2 2 2" xfId="21148" xr:uid="{00000000-0005-0000-0000-000012510000}"/>
    <cellStyle name="Note 3 2 2 2 2" xfId="22049" xr:uid="{2E59CE3F-917C-4DFA-868F-7D2D113AF6AC}"/>
    <cellStyle name="Note 3 2 2 3" xfId="21676" xr:uid="{7C0478A5-C892-4BF7-84BC-D78D95D3F670}"/>
    <cellStyle name="Note 3 2 2 4" xfId="22832" xr:uid="{CAAD74B1-E22F-4FD4-A6EB-EDD701B80187}"/>
    <cellStyle name="Note 3 2 2 5" xfId="22325" xr:uid="{EE5DBA56-D97A-4141-B9A8-6ADD227679F9}"/>
    <cellStyle name="Note 3 2 3" xfId="20491" xr:uid="{00000000-0005-0000-0000-000013510000}"/>
    <cellStyle name="Note 3 2 4" xfId="21149" xr:uid="{00000000-0005-0000-0000-000014510000}"/>
    <cellStyle name="Note 3 2 4 2" xfId="22050" xr:uid="{8AF0E3AC-BD47-4630-A7F1-EC75CD29F771}"/>
    <cellStyle name="Note 3 2 5" xfId="21675" xr:uid="{5445FA8D-68E7-453A-A139-F98C6368054D}"/>
    <cellStyle name="Note 3 2 6" xfId="22831" xr:uid="{D14414AF-0671-403D-9E37-9AFDD8A19BF5}"/>
    <cellStyle name="Note 3 2 7" xfId="22326" xr:uid="{EF59B8D2-784C-4105-8FB4-54266C3968A1}"/>
    <cellStyle name="Note 3 3" xfId="20492" xr:uid="{00000000-0005-0000-0000-000015510000}"/>
    <cellStyle name="Note 3 3 2" xfId="20493" xr:uid="{00000000-0005-0000-0000-000016510000}"/>
    <cellStyle name="Note 3 3 3" xfId="21147" xr:uid="{00000000-0005-0000-0000-000017510000}"/>
    <cellStyle name="Note 3 3 3 2" xfId="22048" xr:uid="{44D57D58-A6F2-4A45-BF37-4C85A5F9F91B}"/>
    <cellStyle name="Note 3 3 4" xfId="21677" xr:uid="{0C5D6CAE-A55C-4C2E-8BEE-8440658476B5}"/>
    <cellStyle name="Note 3 3 5" xfId="22833" xr:uid="{F19FD57B-ABAC-4406-83DD-0AA3283EA6D0}"/>
    <cellStyle name="Note 3 3 6" xfId="22324" xr:uid="{B75E0BD2-4186-4B00-8BBF-0157C1FDA644}"/>
    <cellStyle name="Note 3 4" xfId="20494" xr:uid="{00000000-0005-0000-0000-000018510000}"/>
    <cellStyle name="Note 3 4 2" xfId="21146" xr:uid="{00000000-0005-0000-0000-000019510000}"/>
    <cellStyle name="Note 3 4 2 2" xfId="22047" xr:uid="{F92088E6-77F4-4607-B62B-7B3CA0E75E7A}"/>
    <cellStyle name="Note 3 4 3" xfId="21678" xr:uid="{92A52514-2AE3-45E7-91B8-A0D8B617709A}"/>
    <cellStyle name="Note 3 4 4" xfId="22834" xr:uid="{B14B6439-C94C-4042-A11E-5ED9E68FC623}"/>
    <cellStyle name="Note 3 4 5" xfId="22323" xr:uid="{642F3240-6456-4C69-BF21-6B4DF8294CC5}"/>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2 2 2" xfId="22045" xr:uid="{89F98DF5-46BA-4847-B47C-85210AC0EF2E}"/>
    <cellStyle name="Note 4 2 2 3" xfId="21680" xr:uid="{1EF9EA54-82A1-4A1D-B960-DA32956C8502}"/>
    <cellStyle name="Note 4 2 2 4" xfId="22836" xr:uid="{7EC40496-97AA-44EF-8119-7B4ED61718AD}"/>
    <cellStyle name="Note 4 2 2 5" xfId="22321" xr:uid="{28088132-2064-4F5E-BC11-FF9DFAF61CD6}"/>
    <cellStyle name="Note 4 2 3" xfId="20498" xr:uid="{00000000-0005-0000-0000-00001E510000}"/>
    <cellStyle name="Note 4 2 4" xfId="21145" xr:uid="{00000000-0005-0000-0000-00001F510000}"/>
    <cellStyle name="Note 4 2 4 2" xfId="22046" xr:uid="{D4EDCD6E-99EF-4462-A872-242980F39F28}"/>
    <cellStyle name="Note 4 2 5" xfId="21679" xr:uid="{C6054615-E696-443A-AA24-65B6FF8840DE}"/>
    <cellStyle name="Note 4 2 6" xfId="22835" xr:uid="{9494CA00-C445-4A40-B557-3312684A3524}"/>
    <cellStyle name="Note 4 2 7" xfId="22322" xr:uid="{8C4D17C1-51E5-47E7-9D16-29CEB47E2A28}"/>
    <cellStyle name="Note 4 3" xfId="20499" xr:uid="{00000000-0005-0000-0000-000020510000}"/>
    <cellStyle name="Note 4 4" xfId="20500" xr:uid="{00000000-0005-0000-0000-000021510000}"/>
    <cellStyle name="Note 4 4 2" xfId="21143" xr:uid="{00000000-0005-0000-0000-000022510000}"/>
    <cellStyle name="Note 4 4 2 2" xfId="22044" xr:uid="{4580D62E-3D30-48A1-99B4-2506E7B85FB6}"/>
    <cellStyle name="Note 4 4 3" xfId="21681" xr:uid="{795CF7BA-F3EB-4DF3-9D55-4CC336C79EDE}"/>
    <cellStyle name="Note 4 4 4" xfId="22837" xr:uid="{34EEF833-D20C-43FC-ACFE-5637E3F6503E}"/>
    <cellStyle name="Note 4 4 5" xfId="22320" xr:uid="{CFFA35AD-16B5-4657-8735-01EB567DDEE2}"/>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2 3 2" xfId="22042" xr:uid="{00EFD110-7A3F-45F8-B6BA-B5D46CA6C880}"/>
    <cellStyle name="Note 5 2 4" xfId="21683" xr:uid="{F4507C7A-4067-4BB8-9BBA-33F9064F5320}"/>
    <cellStyle name="Note 5 2 5" xfId="22839" xr:uid="{5C90354A-CBCF-4474-AF22-A88DA910A604}"/>
    <cellStyle name="Note 5 2 6" xfId="22318" xr:uid="{3C3E7B8E-419E-4F0F-8F70-3554F0F673CE}"/>
    <cellStyle name="Note 5 3" xfId="20505" xr:uid="{00000000-0005-0000-0000-000028510000}"/>
    <cellStyle name="Note 5 3 2" xfId="20506" xr:uid="{00000000-0005-0000-0000-000029510000}"/>
    <cellStyle name="Note 5 3 3" xfId="21140" xr:uid="{00000000-0005-0000-0000-00002A510000}"/>
    <cellStyle name="Note 5 3 3 2" xfId="22041" xr:uid="{B679CBE4-C847-4668-AB88-963349968E0C}"/>
    <cellStyle name="Note 5 3 4" xfId="21684" xr:uid="{2B42D8A6-7B5C-4FA2-998F-2930257F5313}"/>
    <cellStyle name="Note 5 3 5" xfId="22840" xr:uid="{32ED04FE-3F9B-445C-9109-C0554C47C93F}"/>
    <cellStyle name="Note 5 3 6" xfId="22317" xr:uid="{968B0FBE-47AB-40B0-A500-30DE40690567}"/>
    <cellStyle name="Note 5 4" xfId="20507" xr:uid="{00000000-0005-0000-0000-00002B510000}"/>
    <cellStyle name="Note 5 4 2" xfId="21139" xr:uid="{00000000-0005-0000-0000-00002C510000}"/>
    <cellStyle name="Note 5 4 2 2" xfId="22040" xr:uid="{1FF33526-54E0-4DDE-B32D-F10158BBA437}"/>
    <cellStyle name="Note 5 4 3" xfId="21685" xr:uid="{E417AEA4-40E4-438E-8E43-E93FD72CE73A}"/>
    <cellStyle name="Note 5 4 4" xfId="22841" xr:uid="{8995E3AD-C493-48C4-AC89-980B4B2ABAAD}"/>
    <cellStyle name="Note 5 4 5" xfId="22316" xr:uid="{6BA70EEC-C309-4A5D-BDF9-01C691ECDE4C}"/>
    <cellStyle name="Note 5 5" xfId="20508" xr:uid="{00000000-0005-0000-0000-00002D510000}"/>
    <cellStyle name="Note 5 6" xfId="21142" xr:uid="{00000000-0005-0000-0000-00002E510000}"/>
    <cellStyle name="Note 5 6 2" xfId="22043" xr:uid="{E49D7159-A72C-4AE8-A41E-CD2E352A0D89}"/>
    <cellStyle name="Note 5 7" xfId="21682" xr:uid="{69949F22-A8C9-4383-892D-FD5933BA69AB}"/>
    <cellStyle name="Note 5 8" xfId="22838" xr:uid="{D823DDAC-1000-4203-B24A-A4F2579FB0A1}"/>
    <cellStyle name="Note 5 9" xfId="22319" xr:uid="{91B86771-3CA2-4096-9B1C-1A0459F4F6CE}"/>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2 3 2" xfId="22038" xr:uid="{16712E17-336E-4AC5-95E2-FECB57F901A4}"/>
    <cellStyle name="Note 6 2 4" xfId="21687" xr:uid="{81C55B44-6731-41FF-95F2-B29E280E1681}"/>
    <cellStyle name="Note 6 2 5" xfId="22843" xr:uid="{86D70879-F4E4-49D4-B953-DFD5327740D6}"/>
    <cellStyle name="Note 6 2 6" xfId="22314" xr:uid="{161C6662-C815-439E-9985-551F5410A6D7}"/>
    <cellStyle name="Note 6 3" xfId="20512" xr:uid="{00000000-0005-0000-0000-000033510000}"/>
    <cellStyle name="Note 6 4" xfId="20513" xr:uid="{00000000-0005-0000-0000-000034510000}"/>
    <cellStyle name="Note 6 5" xfId="21138" xr:uid="{00000000-0005-0000-0000-000035510000}"/>
    <cellStyle name="Note 6 5 2" xfId="22039" xr:uid="{7FDD1094-55C7-4D7F-93DE-7215BBA7F703}"/>
    <cellStyle name="Note 6 6" xfId="21686" xr:uid="{07028CAB-AACD-411B-A790-A75137A008E4}"/>
    <cellStyle name="Note 6 7" xfId="22842" xr:uid="{475082D8-3199-4DF0-82BD-54D3DB5558D4}"/>
    <cellStyle name="Note 6 8" xfId="22315" xr:uid="{244D20C9-79D4-4BA8-AA80-224FF2D241D1}"/>
    <cellStyle name="Note 7" xfId="20514" xr:uid="{00000000-0005-0000-0000-000036510000}"/>
    <cellStyle name="Note 7 2" xfId="21136" xr:uid="{00000000-0005-0000-0000-000037510000}"/>
    <cellStyle name="Note 7 2 2" xfId="22037" xr:uid="{55428929-24CA-4E05-B114-32B0595B81C9}"/>
    <cellStyle name="Note 7 3" xfId="21688" xr:uid="{B0087A31-2B39-4BCC-B158-ACA008BF3F52}"/>
    <cellStyle name="Note 7 4" xfId="22844" xr:uid="{78E867E8-0332-4283-976D-5B7147D2EC89}"/>
    <cellStyle name="Note 7 5" xfId="22313" xr:uid="{6C5E1DE1-E856-4E1E-8984-A7A3C6551FAE}"/>
    <cellStyle name="Note 8" xfId="20515" xr:uid="{00000000-0005-0000-0000-000038510000}"/>
    <cellStyle name="Note 8 2" xfId="20516" xr:uid="{00000000-0005-0000-0000-000039510000}"/>
    <cellStyle name="Note 8 2 2" xfId="21134" xr:uid="{00000000-0005-0000-0000-00003A510000}"/>
    <cellStyle name="Note 8 2 2 2" xfId="22035" xr:uid="{A0BFC130-0327-46E6-8ACE-F2E1E0CF610F}"/>
    <cellStyle name="Note 8 2 3" xfId="21690" xr:uid="{59B6B574-BC9B-4D27-B98A-CC477A16B8A0}"/>
    <cellStyle name="Note 8 2 4" xfId="22846" xr:uid="{5B817AB1-062B-47DA-BC31-83323A959F90}"/>
    <cellStyle name="Note 8 2 5" xfId="22312" xr:uid="{E98F9C7C-5B07-46BE-90B6-1D934D0970DB}"/>
    <cellStyle name="Note 8 3" xfId="21135" xr:uid="{00000000-0005-0000-0000-00003B510000}"/>
    <cellStyle name="Note 8 3 2" xfId="22036" xr:uid="{5F6C22FA-98B3-4C32-AE48-219E64F614ED}"/>
    <cellStyle name="Note 8 4" xfId="21689" xr:uid="{734A7A79-9D64-4440-921F-E2DF9ABDAB34}"/>
    <cellStyle name="Note 8 5" xfId="22845" xr:uid="{62CF0A23-5AA9-40E2-BBB3-92543A01B86A}"/>
    <cellStyle name="Note 8 6" xfId="23019" xr:uid="{9507C94E-7997-467C-B11A-B8F304C43087}"/>
    <cellStyle name="Note 9" xfId="20517" xr:uid="{00000000-0005-0000-0000-00003C510000}"/>
    <cellStyle name="Note 9 2" xfId="21133" xr:uid="{00000000-0005-0000-0000-00003D510000}"/>
    <cellStyle name="Note 9 2 2" xfId="22034" xr:uid="{0534E3C1-73BE-4688-8B85-A832D9B25E1A}"/>
    <cellStyle name="Note 9 3" xfId="21691" xr:uid="{65A64DBA-8316-42CC-83D9-02E3DEBCFA35}"/>
    <cellStyle name="Note 9 4" xfId="22847" xr:uid="{5B3979A1-96A2-449C-8334-41D269A9177C}"/>
    <cellStyle name="Note 9 5" xfId="23020" xr:uid="{C4393D1E-E6A4-4F12-8F70-EB0577EDABC5}"/>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alExposure 2 2" xfId="22033" xr:uid="{2341FBC7-9F8C-42E7-B820-FDC23FF7818B}"/>
    <cellStyle name="optionalExposure 3" xfId="21692" xr:uid="{937240C3-66EF-442E-90FB-34BC5284EC00}"/>
    <cellStyle name="optionalExposure 4" xfId="22848" xr:uid="{729CDE41-5736-494F-AA18-92D7B7F74556}"/>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2 2 2" xfId="22031" xr:uid="{DF62D478-5501-4868-83E9-3B78072C90F9}"/>
    <cellStyle name="Output 2 10 2 3" xfId="21694" xr:uid="{61E89D40-9DFC-462F-9F0B-12746392DB02}"/>
    <cellStyle name="Output 2 10 2 4" xfId="22850" xr:uid="{2C00E910-EBA1-462B-A6F7-C0B2EC4A46E5}"/>
    <cellStyle name="Output 2 10 2 5" xfId="23022" xr:uid="{4045DFF5-8AFD-40CD-A478-9EADEE53BD52}"/>
    <cellStyle name="Output 2 10 3" xfId="20531" xr:uid="{00000000-0005-0000-0000-00004D510000}"/>
    <cellStyle name="Output 2 10 3 2" xfId="21129" xr:uid="{00000000-0005-0000-0000-00004E510000}"/>
    <cellStyle name="Output 2 10 3 2 2" xfId="22030" xr:uid="{385D5A38-FCFB-42FD-9A3B-E6EE4F7057BE}"/>
    <cellStyle name="Output 2 10 3 3" xfId="21695" xr:uid="{DD0C3460-92B7-4FAE-A13F-01CB51E4597C}"/>
    <cellStyle name="Output 2 10 3 4" xfId="22851" xr:uid="{86456129-A27D-43FB-9641-E483F83BC482}"/>
    <cellStyle name="Output 2 10 3 5" xfId="23023" xr:uid="{7C2452F1-1AD2-40C2-8069-C7F2F3C82228}"/>
    <cellStyle name="Output 2 10 4" xfId="20532" xr:uid="{00000000-0005-0000-0000-00004F510000}"/>
    <cellStyle name="Output 2 10 4 2" xfId="21128" xr:uid="{00000000-0005-0000-0000-000050510000}"/>
    <cellStyle name="Output 2 10 4 2 2" xfId="22029" xr:uid="{F7ABBAB6-D6A6-4597-937E-CECF5FCFF130}"/>
    <cellStyle name="Output 2 10 4 3" xfId="21696" xr:uid="{E181328C-B7B2-4DD4-B10A-DC86BF425F70}"/>
    <cellStyle name="Output 2 10 4 4" xfId="22852" xr:uid="{AB51C0D7-FA17-42CC-846E-B0B1A5F1761E}"/>
    <cellStyle name="Output 2 10 4 5" xfId="23024" xr:uid="{71DF2A0B-7377-48CD-BFA6-24D818366F57}"/>
    <cellStyle name="Output 2 10 5" xfId="20533" xr:uid="{00000000-0005-0000-0000-000051510000}"/>
    <cellStyle name="Output 2 10 5 2" xfId="21127" xr:uid="{00000000-0005-0000-0000-000052510000}"/>
    <cellStyle name="Output 2 10 5 2 2" xfId="22028" xr:uid="{100BE2DA-91FE-4E82-8DA4-1CD463C5E028}"/>
    <cellStyle name="Output 2 10 5 3" xfId="21697" xr:uid="{A9B2C146-BA6D-4811-B4D3-72A6484588C6}"/>
    <cellStyle name="Output 2 10 5 4" xfId="22853" xr:uid="{93A67A3B-1333-47BA-BD4F-F0557860FF67}"/>
    <cellStyle name="Output 2 10 5 5" xfId="23025" xr:uid="{0B176348-CDC1-4F1D-94E4-1BF2142A45D9}"/>
    <cellStyle name="Output 2 11" xfId="20534" xr:uid="{00000000-0005-0000-0000-000053510000}"/>
    <cellStyle name="Output 2 11 2" xfId="20535" xr:uid="{00000000-0005-0000-0000-000054510000}"/>
    <cellStyle name="Output 2 11 2 2" xfId="21125" xr:uid="{00000000-0005-0000-0000-000055510000}"/>
    <cellStyle name="Output 2 11 2 2 2" xfId="22026" xr:uid="{DB1C9E1F-88EC-407E-91C5-4FD80A9C47B8}"/>
    <cellStyle name="Output 2 11 2 3" xfId="21699" xr:uid="{1363BD25-0126-4D23-BA9E-21DE35FBE859}"/>
    <cellStyle name="Output 2 11 2 4" xfId="22855" xr:uid="{82DDA868-1243-4567-A078-6118675DC277}"/>
    <cellStyle name="Output 2 11 2 5" xfId="23027" xr:uid="{86CF2813-7A1D-4038-BE3C-CE1DDE0A7181}"/>
    <cellStyle name="Output 2 11 3" xfId="20536" xr:uid="{00000000-0005-0000-0000-000056510000}"/>
    <cellStyle name="Output 2 11 3 2" xfId="21124" xr:uid="{00000000-0005-0000-0000-000057510000}"/>
    <cellStyle name="Output 2 11 3 2 2" xfId="22025" xr:uid="{50792A9B-DC6A-4494-ABF6-337DFA3DC189}"/>
    <cellStyle name="Output 2 11 3 3" xfId="21700" xr:uid="{02C39908-32E8-447C-B4E8-269F767C96A9}"/>
    <cellStyle name="Output 2 11 3 4" xfId="22856" xr:uid="{4799B681-E588-475A-ACC6-6592CCED2F52}"/>
    <cellStyle name="Output 2 11 3 5" xfId="23028" xr:uid="{3149EC77-CD9C-41DC-9FC8-836009FF5A19}"/>
    <cellStyle name="Output 2 11 4" xfId="20537" xr:uid="{00000000-0005-0000-0000-000058510000}"/>
    <cellStyle name="Output 2 11 4 2" xfId="21123" xr:uid="{00000000-0005-0000-0000-000059510000}"/>
    <cellStyle name="Output 2 11 4 2 2" xfId="22024" xr:uid="{A0F4D240-1B6D-4CE6-96CF-EBCFF5CB33F1}"/>
    <cellStyle name="Output 2 11 4 3" xfId="21701" xr:uid="{816E38DA-A0C5-4575-B8A8-4D99E3388892}"/>
    <cellStyle name="Output 2 11 4 4" xfId="22857" xr:uid="{D7CB219E-899B-41E9-9EBE-E82F0AD6A2AD}"/>
    <cellStyle name="Output 2 11 4 5" xfId="23029" xr:uid="{7EB89CE3-3F2C-45FE-BA3C-6F8473E3D8FE}"/>
    <cellStyle name="Output 2 11 5" xfId="20538" xr:uid="{00000000-0005-0000-0000-00005A510000}"/>
    <cellStyle name="Output 2 11 5 2" xfId="21122" xr:uid="{00000000-0005-0000-0000-00005B510000}"/>
    <cellStyle name="Output 2 11 5 2 2" xfId="22023" xr:uid="{5618E7D4-CED8-4EFD-94B6-6C9396E6EA1C}"/>
    <cellStyle name="Output 2 11 5 3" xfId="21702" xr:uid="{17633AE9-E48B-4F27-99E7-D44C02680DFC}"/>
    <cellStyle name="Output 2 11 5 4" xfId="22858" xr:uid="{97788E1A-E476-4547-9842-783F1FE0E600}"/>
    <cellStyle name="Output 2 11 5 5" xfId="23030" xr:uid="{13CD8019-1AF7-47C1-8329-9DEF8C65B4D3}"/>
    <cellStyle name="Output 2 11 6" xfId="21126" xr:uid="{00000000-0005-0000-0000-00005C510000}"/>
    <cellStyle name="Output 2 11 6 2" xfId="22027" xr:uid="{56763095-9F03-4C59-9268-0AA347C930B2}"/>
    <cellStyle name="Output 2 11 7" xfId="21698" xr:uid="{19B222ED-0D7B-4CF8-A5B8-E491DE38CB84}"/>
    <cellStyle name="Output 2 11 8" xfId="22854" xr:uid="{311CECF4-32E0-49DC-B596-A32EA5AB04C0}"/>
    <cellStyle name="Output 2 11 9" xfId="23026" xr:uid="{A7AA9B60-02DD-44F9-8B4E-73A91F51F28D}"/>
    <cellStyle name="Output 2 12" xfId="20539" xr:uid="{00000000-0005-0000-0000-00005D510000}"/>
    <cellStyle name="Output 2 12 2" xfId="20540" xr:uid="{00000000-0005-0000-0000-00005E510000}"/>
    <cellStyle name="Output 2 12 2 2" xfId="21120" xr:uid="{00000000-0005-0000-0000-00005F510000}"/>
    <cellStyle name="Output 2 12 2 2 2" xfId="22021" xr:uid="{69E95C42-E25F-4589-8059-4A7A710397E1}"/>
    <cellStyle name="Output 2 12 2 3" xfId="21704" xr:uid="{36C63A0E-E400-4367-AB53-DF2E945C6FEF}"/>
    <cellStyle name="Output 2 12 2 4" xfId="22860" xr:uid="{C36F694A-0C5E-47CF-993A-AC0C9F4D5EB0}"/>
    <cellStyle name="Output 2 12 2 5" xfId="23032" xr:uid="{A731FF7C-1E9C-4982-9C6E-1F62159C7701}"/>
    <cellStyle name="Output 2 12 3" xfId="20541" xr:uid="{00000000-0005-0000-0000-000060510000}"/>
    <cellStyle name="Output 2 12 3 2" xfId="21119" xr:uid="{00000000-0005-0000-0000-000061510000}"/>
    <cellStyle name="Output 2 12 3 2 2" xfId="22020" xr:uid="{EA9584CD-F76F-4A76-8A62-AC8B05D9DF33}"/>
    <cellStyle name="Output 2 12 3 3" xfId="21705" xr:uid="{3832B954-CFFC-4ECB-BE5F-B946A0EE45EC}"/>
    <cellStyle name="Output 2 12 3 4" xfId="22861" xr:uid="{2D9DB922-000C-4D3D-B077-45A9E77CC20A}"/>
    <cellStyle name="Output 2 12 3 5" xfId="23033" xr:uid="{D5DD994A-695D-4862-A8F6-1C0774CF5AA2}"/>
    <cellStyle name="Output 2 12 4" xfId="20542" xr:uid="{00000000-0005-0000-0000-000062510000}"/>
    <cellStyle name="Output 2 12 4 2" xfId="21118" xr:uid="{00000000-0005-0000-0000-000063510000}"/>
    <cellStyle name="Output 2 12 4 2 2" xfId="22019" xr:uid="{C213A8A0-CA58-4233-955A-4A775F4AF09F}"/>
    <cellStyle name="Output 2 12 4 3" xfId="21706" xr:uid="{02C34042-FB8A-4D71-9441-C743F77BB981}"/>
    <cellStyle name="Output 2 12 4 4" xfId="22862" xr:uid="{0C53F401-D864-4AA9-BD50-BDA82910548E}"/>
    <cellStyle name="Output 2 12 4 5" xfId="23034" xr:uid="{40B3948D-B45A-4CA8-827B-506F54A16743}"/>
    <cellStyle name="Output 2 12 5" xfId="20543" xr:uid="{00000000-0005-0000-0000-000064510000}"/>
    <cellStyle name="Output 2 12 5 2" xfId="21117" xr:uid="{00000000-0005-0000-0000-000065510000}"/>
    <cellStyle name="Output 2 12 5 2 2" xfId="22018" xr:uid="{5E1516B2-CBF3-4D9B-84B4-BE4FD5944E4B}"/>
    <cellStyle name="Output 2 12 5 3" xfId="21707" xr:uid="{F4C755F5-243D-496F-812A-8518795D8F72}"/>
    <cellStyle name="Output 2 12 5 4" xfId="22863" xr:uid="{13EF3807-E082-4626-BFEC-AA7C88858C42}"/>
    <cellStyle name="Output 2 12 5 5" xfId="23035" xr:uid="{78BF4849-7165-4034-B454-41BC5CF9BDD1}"/>
    <cellStyle name="Output 2 12 6" xfId="21121" xr:uid="{00000000-0005-0000-0000-000066510000}"/>
    <cellStyle name="Output 2 12 6 2" xfId="22022" xr:uid="{32B8CA5D-C672-4E78-93E6-D1C9434F7FBA}"/>
    <cellStyle name="Output 2 12 7" xfId="21703" xr:uid="{AF92FE74-9949-425D-AAEE-CFCC50472BA0}"/>
    <cellStyle name="Output 2 12 8" xfId="22859" xr:uid="{C6D2C4EF-2A8D-4859-AE61-D6BB437F68E4}"/>
    <cellStyle name="Output 2 12 9" xfId="23031" xr:uid="{D2E274EB-13A1-4D1A-B561-FF2FC0972085}"/>
    <cellStyle name="Output 2 13" xfId="20544" xr:uid="{00000000-0005-0000-0000-000067510000}"/>
    <cellStyle name="Output 2 13 2" xfId="20545" xr:uid="{00000000-0005-0000-0000-000068510000}"/>
    <cellStyle name="Output 2 13 2 2" xfId="21115" xr:uid="{00000000-0005-0000-0000-000069510000}"/>
    <cellStyle name="Output 2 13 2 2 2" xfId="22016" xr:uid="{E59D508D-86FF-4AF2-9EC7-3B5B70387FB7}"/>
    <cellStyle name="Output 2 13 2 3" xfId="21709" xr:uid="{C0B2605E-D424-46AF-8C08-A9960BE1EABE}"/>
    <cellStyle name="Output 2 13 2 4" xfId="22865" xr:uid="{9F77380E-215B-43EE-BFCC-12D2802898B6}"/>
    <cellStyle name="Output 2 13 2 5" xfId="23037" xr:uid="{B456F365-AB8A-4412-96D6-D7894E6653AF}"/>
    <cellStyle name="Output 2 13 3" xfId="20546" xr:uid="{00000000-0005-0000-0000-00006A510000}"/>
    <cellStyle name="Output 2 13 3 2" xfId="21114" xr:uid="{00000000-0005-0000-0000-00006B510000}"/>
    <cellStyle name="Output 2 13 3 2 2" xfId="22015" xr:uid="{76A1ACEA-31D7-49CA-894D-82CCF049EAEA}"/>
    <cellStyle name="Output 2 13 3 3" xfId="21710" xr:uid="{CC99DFAA-BAD5-4DF6-BF43-BD3FF46509AE}"/>
    <cellStyle name="Output 2 13 3 4" xfId="22866" xr:uid="{6D4AB093-AA10-4473-9CE3-562D882C41DF}"/>
    <cellStyle name="Output 2 13 3 5" xfId="23038" xr:uid="{114EAB44-7966-439F-8A8C-813E510C2558}"/>
    <cellStyle name="Output 2 13 4" xfId="20547" xr:uid="{00000000-0005-0000-0000-00006C510000}"/>
    <cellStyle name="Output 2 13 4 2" xfId="21113" xr:uid="{00000000-0005-0000-0000-00006D510000}"/>
    <cellStyle name="Output 2 13 4 2 2" xfId="22014" xr:uid="{BA2B1EE1-98EC-493D-A18B-1E75807A8911}"/>
    <cellStyle name="Output 2 13 4 3" xfId="21711" xr:uid="{61D7C746-BDA7-4876-8D1A-5401F6AF7A35}"/>
    <cellStyle name="Output 2 13 4 4" xfId="22867" xr:uid="{40A1FBCF-A0AC-41D0-B1D1-B0955233B24E}"/>
    <cellStyle name="Output 2 13 4 5" xfId="23039" xr:uid="{F5D5422D-4646-4301-9BB1-EFDE33D90D44}"/>
    <cellStyle name="Output 2 13 5" xfId="21116" xr:uid="{00000000-0005-0000-0000-00006E510000}"/>
    <cellStyle name="Output 2 13 5 2" xfId="22017" xr:uid="{3E710958-2D9A-42B4-AFC9-7B21D0341486}"/>
    <cellStyle name="Output 2 13 6" xfId="21708" xr:uid="{9CB72546-AC7B-4F80-BD72-3B1387583C3B}"/>
    <cellStyle name="Output 2 13 7" xfId="22864" xr:uid="{F68850C5-F43C-4C5B-A730-E2040652C2DD}"/>
    <cellStyle name="Output 2 13 8" xfId="23036" xr:uid="{DF55E308-9D29-4544-BF8F-70EFEB464EE8}"/>
    <cellStyle name="Output 2 14" xfId="20548" xr:uid="{00000000-0005-0000-0000-00006F510000}"/>
    <cellStyle name="Output 2 14 2" xfId="21112" xr:uid="{00000000-0005-0000-0000-000070510000}"/>
    <cellStyle name="Output 2 14 2 2" xfId="22013" xr:uid="{870AE7C2-8E46-4434-9B43-18AE9BD2CE35}"/>
    <cellStyle name="Output 2 14 3" xfId="21712" xr:uid="{48D7C5B7-7643-4B8D-9458-4A6CCF5D3FAC}"/>
    <cellStyle name="Output 2 14 4" xfId="22868" xr:uid="{4B7EC9B4-E1DD-4267-A1F3-A8BC94DF0321}"/>
    <cellStyle name="Output 2 14 5" xfId="23040" xr:uid="{8B75AD79-6A9A-4706-BA41-4D07758AB11D}"/>
    <cellStyle name="Output 2 15" xfId="20549" xr:uid="{00000000-0005-0000-0000-000071510000}"/>
    <cellStyle name="Output 2 15 2" xfId="21111" xr:uid="{00000000-0005-0000-0000-000072510000}"/>
    <cellStyle name="Output 2 15 2 2" xfId="22012" xr:uid="{378A8F49-5C07-40A8-982B-1555084E31CF}"/>
    <cellStyle name="Output 2 15 3" xfId="21713" xr:uid="{82DC28BF-48D4-4275-AFEF-DE654DB75BC1}"/>
    <cellStyle name="Output 2 15 4" xfId="22869" xr:uid="{DFC29FCF-9A10-4CF6-9F28-FC8C039F4935}"/>
    <cellStyle name="Output 2 15 5" xfId="23041" xr:uid="{33C27CBF-FF66-465C-A622-280171B71FF9}"/>
    <cellStyle name="Output 2 16" xfId="20550" xr:uid="{00000000-0005-0000-0000-000073510000}"/>
    <cellStyle name="Output 2 16 2" xfId="21110" xr:uid="{00000000-0005-0000-0000-000074510000}"/>
    <cellStyle name="Output 2 16 2 2" xfId="22011" xr:uid="{94ABDDA0-92D3-4CA8-9874-447528C309D4}"/>
    <cellStyle name="Output 2 16 3" xfId="21714" xr:uid="{50DF1BA7-50FD-4D66-BD6B-D0FDC61ED0D4}"/>
    <cellStyle name="Output 2 16 4" xfId="22870" xr:uid="{9B35512F-C428-4B31-B246-A4B1A1699F68}"/>
    <cellStyle name="Output 2 16 5" xfId="23042" xr:uid="{7B74325C-1302-4FD1-BF20-4BCA5DD41539}"/>
    <cellStyle name="Output 2 17" xfId="21131" xr:uid="{00000000-0005-0000-0000-000075510000}"/>
    <cellStyle name="Output 2 17 2" xfId="22032" xr:uid="{F41BBB86-6DD3-4BA8-9C59-9AC7CDD87321}"/>
    <cellStyle name="Output 2 18" xfId="21693" xr:uid="{532A0F99-7658-4908-86B7-45D075984467}"/>
    <cellStyle name="Output 2 19" xfId="22849" xr:uid="{AEC0CB18-BD4F-4122-A155-9ED3E6828E76}"/>
    <cellStyle name="Output 2 2" xfId="20551" xr:uid="{00000000-0005-0000-0000-000076510000}"/>
    <cellStyle name="Output 2 2 10" xfId="21109" xr:uid="{00000000-0005-0000-0000-000077510000}"/>
    <cellStyle name="Output 2 2 10 2" xfId="22010" xr:uid="{712044D9-68C6-44EA-A197-DE34269C3662}"/>
    <cellStyle name="Output 2 2 11" xfId="21715" xr:uid="{56A8218E-FC52-46A1-8F60-0DDE659F8A19}"/>
    <cellStyle name="Output 2 2 12" xfId="22871" xr:uid="{16EC75F1-E01D-4A43-9DF4-CBFB7DA4D3E1}"/>
    <cellStyle name="Output 2 2 13" xfId="23043" xr:uid="{9AA40B78-3027-40A8-8F18-B38D166866B3}"/>
    <cellStyle name="Output 2 2 2" xfId="20552" xr:uid="{00000000-0005-0000-0000-000078510000}"/>
    <cellStyle name="Output 2 2 2 2" xfId="20553" xr:uid="{00000000-0005-0000-0000-000079510000}"/>
    <cellStyle name="Output 2 2 2 2 2" xfId="21107" xr:uid="{00000000-0005-0000-0000-00007A510000}"/>
    <cellStyle name="Output 2 2 2 2 2 2" xfId="22008" xr:uid="{AF4015D5-EC14-49AA-B8F0-02DC558B03AB}"/>
    <cellStyle name="Output 2 2 2 2 3" xfId="21717" xr:uid="{24EA498F-50C7-4496-B51F-B3202F0FB3FB}"/>
    <cellStyle name="Output 2 2 2 2 4" xfId="22873" xr:uid="{B76DF595-1F4E-4530-AA9D-D3175DC739D5}"/>
    <cellStyle name="Output 2 2 2 2 5" xfId="23045" xr:uid="{2310A363-1317-46AA-8B22-E37DF0D8D4F1}"/>
    <cellStyle name="Output 2 2 2 3" xfId="20554" xr:uid="{00000000-0005-0000-0000-00007B510000}"/>
    <cellStyle name="Output 2 2 2 3 2" xfId="21106" xr:uid="{00000000-0005-0000-0000-00007C510000}"/>
    <cellStyle name="Output 2 2 2 3 2 2" xfId="22007" xr:uid="{B75689E8-BE7D-4D61-BAEF-9AE4C0E2087B}"/>
    <cellStyle name="Output 2 2 2 3 3" xfId="21718" xr:uid="{B2303619-C5A0-4EAC-A43C-354370463973}"/>
    <cellStyle name="Output 2 2 2 3 4" xfId="22874" xr:uid="{2187DC6B-4BE3-4B15-8CD8-C88E8EA03A05}"/>
    <cellStyle name="Output 2 2 2 3 5" xfId="23046" xr:uid="{02918FE4-785D-41AA-A0D3-A1DC7F6C85CE}"/>
    <cellStyle name="Output 2 2 2 4" xfId="20555" xr:uid="{00000000-0005-0000-0000-00007D510000}"/>
    <cellStyle name="Output 2 2 2 4 2" xfId="21105" xr:uid="{00000000-0005-0000-0000-00007E510000}"/>
    <cellStyle name="Output 2 2 2 4 2 2" xfId="22006" xr:uid="{AF59E89D-2EA1-40DD-9922-57E4EB0562BA}"/>
    <cellStyle name="Output 2 2 2 4 3" xfId="21719" xr:uid="{8C785DA9-FBF2-49CD-B794-F4D48A80FA8B}"/>
    <cellStyle name="Output 2 2 2 4 4" xfId="22875" xr:uid="{B6935805-A9DB-48C2-B7E2-7E71B5B73323}"/>
    <cellStyle name="Output 2 2 2 4 5" xfId="23047" xr:uid="{9A352167-9830-4503-B33E-85416D9A2D3B}"/>
    <cellStyle name="Output 2 2 2 5" xfId="21108" xr:uid="{00000000-0005-0000-0000-00007F510000}"/>
    <cellStyle name="Output 2 2 2 5 2" xfId="22009" xr:uid="{EB91A76E-07C7-4CD1-8C26-B3B8F6FC640E}"/>
    <cellStyle name="Output 2 2 2 6" xfId="21716" xr:uid="{959E240E-1C5B-40B9-A67A-BBC0E68178E0}"/>
    <cellStyle name="Output 2 2 2 7" xfId="22872" xr:uid="{18920C31-D315-4F42-89B9-09381D30424B}"/>
    <cellStyle name="Output 2 2 2 8" xfId="23044" xr:uid="{D3FF3C74-5426-40FB-8F36-0504B92FFF11}"/>
    <cellStyle name="Output 2 2 3" xfId="20556" xr:uid="{00000000-0005-0000-0000-000080510000}"/>
    <cellStyle name="Output 2 2 3 2" xfId="20557" xr:uid="{00000000-0005-0000-0000-000081510000}"/>
    <cellStyle name="Output 2 2 3 2 2" xfId="21103" xr:uid="{00000000-0005-0000-0000-000082510000}"/>
    <cellStyle name="Output 2 2 3 2 2 2" xfId="22004" xr:uid="{423C64B4-59D6-4195-BDE6-5080ED0E0BDC}"/>
    <cellStyle name="Output 2 2 3 2 3" xfId="21721" xr:uid="{2C2AA892-AB5E-4E24-B916-A4D9BDD0421C}"/>
    <cellStyle name="Output 2 2 3 2 4" xfId="22877" xr:uid="{72C082F9-DFC7-4059-AF97-D579140CCFCC}"/>
    <cellStyle name="Output 2 2 3 2 5" xfId="23049" xr:uid="{A0774A95-F0D4-46FF-BC9D-AEBCDE4B65FD}"/>
    <cellStyle name="Output 2 2 3 3" xfId="20558" xr:uid="{00000000-0005-0000-0000-000083510000}"/>
    <cellStyle name="Output 2 2 3 3 2" xfId="21102" xr:uid="{00000000-0005-0000-0000-000084510000}"/>
    <cellStyle name="Output 2 2 3 3 2 2" xfId="22003" xr:uid="{2BE8E463-08B4-4883-894C-C1D43E01F2DA}"/>
    <cellStyle name="Output 2 2 3 3 3" xfId="21722" xr:uid="{2DF64FC1-D118-44DF-ACBE-5686DA0C6332}"/>
    <cellStyle name="Output 2 2 3 3 4" xfId="22878" xr:uid="{5A95F3AC-9963-4437-AAE7-1FF688EF2B7C}"/>
    <cellStyle name="Output 2 2 3 3 5" xfId="23050" xr:uid="{56EB022F-3165-4884-A675-CF8ADEE3FDB4}"/>
    <cellStyle name="Output 2 2 3 4" xfId="20559" xr:uid="{00000000-0005-0000-0000-000085510000}"/>
    <cellStyle name="Output 2 2 3 4 2" xfId="21101" xr:uid="{00000000-0005-0000-0000-000086510000}"/>
    <cellStyle name="Output 2 2 3 4 2 2" xfId="22002" xr:uid="{8FD37369-D9BD-4EBF-8456-FE37263404AF}"/>
    <cellStyle name="Output 2 2 3 4 3" xfId="21723" xr:uid="{0C5B261A-8FA6-4B78-9C14-1B0902FC17DE}"/>
    <cellStyle name="Output 2 2 3 4 4" xfId="22879" xr:uid="{E5422FDE-39CF-4ABB-B93A-0FCBF1100A83}"/>
    <cellStyle name="Output 2 2 3 4 5" xfId="23051" xr:uid="{709DA85C-0CDB-47EA-9C55-501FE513F7D4}"/>
    <cellStyle name="Output 2 2 3 5" xfId="21104" xr:uid="{00000000-0005-0000-0000-000087510000}"/>
    <cellStyle name="Output 2 2 3 5 2" xfId="22005" xr:uid="{590DEC34-DAF2-40F7-B29D-B8873F1111FC}"/>
    <cellStyle name="Output 2 2 3 6" xfId="21720" xr:uid="{D7BC6870-0214-4913-BFBC-5EF7BD3FBE34}"/>
    <cellStyle name="Output 2 2 3 7" xfId="22876" xr:uid="{934812BF-5D88-4376-9ABE-E54AB8454F3D}"/>
    <cellStyle name="Output 2 2 3 8" xfId="23048" xr:uid="{89C652EA-8C12-409A-95AB-CC0CEC7530C3}"/>
    <cellStyle name="Output 2 2 4" xfId="20560" xr:uid="{00000000-0005-0000-0000-000088510000}"/>
    <cellStyle name="Output 2 2 4 2" xfId="20561" xr:uid="{00000000-0005-0000-0000-000089510000}"/>
    <cellStyle name="Output 2 2 4 2 2" xfId="21099" xr:uid="{00000000-0005-0000-0000-00008A510000}"/>
    <cellStyle name="Output 2 2 4 2 2 2" xfId="22000" xr:uid="{F36571CE-921F-40EF-A0B5-6EE839D8EE2D}"/>
    <cellStyle name="Output 2 2 4 2 3" xfId="21725" xr:uid="{025C4DFA-97BE-4934-82AF-ED7C76AA45AE}"/>
    <cellStyle name="Output 2 2 4 2 4" xfId="22881" xr:uid="{2669A073-89B1-4CE3-981E-1EB83D530390}"/>
    <cellStyle name="Output 2 2 4 2 5" xfId="23053" xr:uid="{0222E770-D10D-400C-96A7-A04899A07E05}"/>
    <cellStyle name="Output 2 2 4 3" xfId="20562" xr:uid="{00000000-0005-0000-0000-00008B510000}"/>
    <cellStyle name="Output 2 2 4 3 2" xfId="21098" xr:uid="{00000000-0005-0000-0000-00008C510000}"/>
    <cellStyle name="Output 2 2 4 3 2 2" xfId="21999" xr:uid="{47932249-B7D9-49CC-9212-AB72068F08E1}"/>
    <cellStyle name="Output 2 2 4 3 3" xfId="21726" xr:uid="{DA8521D1-57F8-4929-8073-F55BBE7194B3}"/>
    <cellStyle name="Output 2 2 4 3 4" xfId="22882" xr:uid="{DE458814-1B15-4373-93A4-F4D72BEE5F40}"/>
    <cellStyle name="Output 2 2 4 3 5" xfId="23054" xr:uid="{EF7B0429-460F-4162-918F-A597F875B4BE}"/>
    <cellStyle name="Output 2 2 4 4" xfId="20563" xr:uid="{00000000-0005-0000-0000-00008D510000}"/>
    <cellStyle name="Output 2 2 4 4 2" xfId="21097" xr:uid="{00000000-0005-0000-0000-00008E510000}"/>
    <cellStyle name="Output 2 2 4 4 2 2" xfId="21998" xr:uid="{75074795-6E0B-46A4-B28F-546E40916B92}"/>
    <cellStyle name="Output 2 2 4 4 3" xfId="21727" xr:uid="{923CFA5D-C5C5-4064-9C90-9AC93D804A43}"/>
    <cellStyle name="Output 2 2 4 4 4" xfId="22883" xr:uid="{C9D8813F-A211-4CBD-8E99-5A7BE2ADA87D}"/>
    <cellStyle name="Output 2 2 4 4 5" xfId="23055" xr:uid="{7304F68F-0ECE-4365-A063-1B76EB3EA96E}"/>
    <cellStyle name="Output 2 2 4 5" xfId="21100" xr:uid="{00000000-0005-0000-0000-00008F510000}"/>
    <cellStyle name="Output 2 2 4 5 2" xfId="22001" xr:uid="{9FBFF596-7D14-4A3E-B30E-30B7E667E8C0}"/>
    <cellStyle name="Output 2 2 4 6" xfId="21724" xr:uid="{E575DBDE-BB64-4C54-9B4D-0BCC1103CB28}"/>
    <cellStyle name="Output 2 2 4 7" xfId="22880" xr:uid="{929AFBCF-D3F8-4687-AD6E-5A4C5B1B6CF5}"/>
    <cellStyle name="Output 2 2 4 8" xfId="23052" xr:uid="{5A358887-A83A-42D2-A0ED-4236277F3269}"/>
    <cellStyle name="Output 2 2 5" xfId="20564" xr:uid="{00000000-0005-0000-0000-000090510000}"/>
    <cellStyle name="Output 2 2 5 2" xfId="20565" xr:uid="{00000000-0005-0000-0000-000091510000}"/>
    <cellStyle name="Output 2 2 5 2 2" xfId="21095" xr:uid="{00000000-0005-0000-0000-000092510000}"/>
    <cellStyle name="Output 2 2 5 2 2 2" xfId="21996" xr:uid="{1EBC9A9B-4AAB-4C9E-83CB-2391B80047E7}"/>
    <cellStyle name="Output 2 2 5 2 3" xfId="21729" xr:uid="{BA16F6BB-5C2C-444D-9C62-D80F87F16E82}"/>
    <cellStyle name="Output 2 2 5 2 4" xfId="22885" xr:uid="{D4580741-F2F8-486F-9A81-6702B36CBD64}"/>
    <cellStyle name="Output 2 2 5 2 5" xfId="23057" xr:uid="{5CDF39CA-13E5-4206-AEA7-2786445D285C}"/>
    <cellStyle name="Output 2 2 5 3" xfId="20566" xr:uid="{00000000-0005-0000-0000-000093510000}"/>
    <cellStyle name="Output 2 2 5 3 2" xfId="21094" xr:uid="{00000000-0005-0000-0000-000094510000}"/>
    <cellStyle name="Output 2 2 5 3 2 2" xfId="21995" xr:uid="{172E61E8-86F8-4706-BC64-18798A23E835}"/>
    <cellStyle name="Output 2 2 5 3 3" xfId="21730" xr:uid="{EFDCD959-B7C5-477E-B81B-B31770B73561}"/>
    <cellStyle name="Output 2 2 5 3 4" xfId="22886" xr:uid="{FFA51CDF-0CF1-4A50-824F-B9B4669D9D1A}"/>
    <cellStyle name="Output 2 2 5 3 5" xfId="23058" xr:uid="{FE3EB54C-02D0-498D-B320-028A3E01C1F2}"/>
    <cellStyle name="Output 2 2 5 4" xfId="20567" xr:uid="{00000000-0005-0000-0000-000095510000}"/>
    <cellStyle name="Output 2 2 5 4 2" xfId="21093" xr:uid="{00000000-0005-0000-0000-000096510000}"/>
    <cellStyle name="Output 2 2 5 4 2 2" xfId="21994" xr:uid="{3E4D0528-C161-433E-95FD-2258074AD77B}"/>
    <cellStyle name="Output 2 2 5 4 3" xfId="21731" xr:uid="{55FAA74D-9880-4F2A-98C6-982BFEFFD65E}"/>
    <cellStyle name="Output 2 2 5 4 4" xfId="22887" xr:uid="{A484C28B-709B-429E-9FDF-4028DAD2E5FD}"/>
    <cellStyle name="Output 2 2 5 4 5" xfId="23059" xr:uid="{78EBDD2A-1897-4FF1-B718-871F1863113B}"/>
    <cellStyle name="Output 2 2 5 5" xfId="21096" xr:uid="{00000000-0005-0000-0000-000097510000}"/>
    <cellStyle name="Output 2 2 5 5 2" xfId="21997" xr:uid="{C0FDF5AF-4874-427C-84AA-B868EE59C684}"/>
    <cellStyle name="Output 2 2 5 6" xfId="21728" xr:uid="{696ED16E-7998-4ED3-A56C-A2EABC162622}"/>
    <cellStyle name="Output 2 2 5 7" xfId="22884" xr:uid="{DF9803F1-363B-4680-80C7-FE8A919273AD}"/>
    <cellStyle name="Output 2 2 5 8" xfId="23056" xr:uid="{3815D6AB-56BD-4E37-9034-6C1D0E094797}"/>
    <cellStyle name="Output 2 2 6" xfId="20568" xr:uid="{00000000-0005-0000-0000-000098510000}"/>
    <cellStyle name="Output 2 2 6 2" xfId="21092" xr:uid="{00000000-0005-0000-0000-000099510000}"/>
    <cellStyle name="Output 2 2 6 2 2" xfId="21993" xr:uid="{509DD4E9-9C08-419E-8848-F073DD3A82F9}"/>
    <cellStyle name="Output 2 2 6 3" xfId="21732" xr:uid="{862919C6-2384-489C-AF08-73E4EECB94E3}"/>
    <cellStyle name="Output 2 2 6 4" xfId="22888" xr:uid="{94E37EA0-67F2-4BDB-BFAF-E856DEC29EC2}"/>
    <cellStyle name="Output 2 2 6 5" xfId="23060" xr:uid="{87FFF79D-C5E8-4D38-89F4-27172D7BBB76}"/>
    <cellStyle name="Output 2 2 7" xfId="20569" xr:uid="{00000000-0005-0000-0000-00009A510000}"/>
    <cellStyle name="Output 2 2 7 2" xfId="21091" xr:uid="{00000000-0005-0000-0000-00009B510000}"/>
    <cellStyle name="Output 2 2 7 2 2" xfId="21992" xr:uid="{3060661E-9D77-4A8D-937A-D1FCC6BAB9A7}"/>
    <cellStyle name="Output 2 2 7 3" xfId="21733" xr:uid="{3029A0A4-F9D5-4265-B72E-71F40069E83E}"/>
    <cellStyle name="Output 2 2 7 4" xfId="22889" xr:uid="{8A677A21-EB23-4D13-B49A-76FA9CB84E05}"/>
    <cellStyle name="Output 2 2 7 5" xfId="23061" xr:uid="{4F587097-15F4-4A76-B255-735FEFDDDB7E}"/>
    <cellStyle name="Output 2 2 8" xfId="20570" xr:uid="{00000000-0005-0000-0000-00009C510000}"/>
    <cellStyle name="Output 2 2 8 2" xfId="21090" xr:uid="{00000000-0005-0000-0000-00009D510000}"/>
    <cellStyle name="Output 2 2 8 2 2" xfId="21991" xr:uid="{9A00E279-03F2-456A-B224-0878A99411DE}"/>
    <cellStyle name="Output 2 2 8 3" xfId="21734" xr:uid="{49395614-9CDA-43CB-9B1F-3FE5A358335D}"/>
    <cellStyle name="Output 2 2 8 4" xfId="22890" xr:uid="{38D13158-B3F6-4D12-87F4-ECC27602D62D}"/>
    <cellStyle name="Output 2 2 8 5" xfId="23062" xr:uid="{02F67DFD-9925-48C2-86A7-973941B792A2}"/>
    <cellStyle name="Output 2 2 9" xfId="20571" xr:uid="{00000000-0005-0000-0000-00009E510000}"/>
    <cellStyle name="Output 2 2 9 2" xfId="21089" xr:uid="{00000000-0005-0000-0000-00009F510000}"/>
    <cellStyle name="Output 2 2 9 2 2" xfId="21990" xr:uid="{4A9934AD-1550-4381-BB6A-8A1027799F94}"/>
    <cellStyle name="Output 2 2 9 3" xfId="21735" xr:uid="{D1005192-C77D-49CE-A332-65BD794C08E6}"/>
    <cellStyle name="Output 2 2 9 4" xfId="22891" xr:uid="{A0D4B79A-0405-49F8-AEED-41A713FF7988}"/>
    <cellStyle name="Output 2 2 9 5" xfId="23063" xr:uid="{EFB84B8E-B6F0-45E5-84AE-DD814890532C}"/>
    <cellStyle name="Output 2 20" xfId="23021" xr:uid="{15668CED-01D7-43A7-BCBF-A7E2CB8DFDD9}"/>
    <cellStyle name="Output 2 3" xfId="20572" xr:uid="{00000000-0005-0000-0000-0000A0510000}"/>
    <cellStyle name="Output 2 3 2" xfId="20573" xr:uid="{00000000-0005-0000-0000-0000A1510000}"/>
    <cellStyle name="Output 2 3 2 2" xfId="21088" xr:uid="{00000000-0005-0000-0000-0000A2510000}"/>
    <cellStyle name="Output 2 3 2 2 2" xfId="21989" xr:uid="{69D0C98F-E8EC-428F-944E-92989DA0F2F5}"/>
    <cellStyle name="Output 2 3 2 3" xfId="21736" xr:uid="{54149FAF-5201-4AB7-BC38-61734119C0F9}"/>
    <cellStyle name="Output 2 3 2 4" xfId="22892" xr:uid="{21CD8954-C120-4BE8-B795-8007C1A1EDB3}"/>
    <cellStyle name="Output 2 3 2 5" xfId="23064" xr:uid="{84BF0F4E-2FE3-4AF2-9CED-5D6336D36180}"/>
    <cellStyle name="Output 2 3 3" xfId="20574" xr:uid="{00000000-0005-0000-0000-0000A3510000}"/>
    <cellStyle name="Output 2 3 3 2" xfId="21087" xr:uid="{00000000-0005-0000-0000-0000A4510000}"/>
    <cellStyle name="Output 2 3 3 2 2" xfId="21988" xr:uid="{272CF3E7-9531-4E00-82E7-E42D8181C24D}"/>
    <cellStyle name="Output 2 3 3 3" xfId="21737" xr:uid="{4B776F61-9301-47B6-9B28-170B43D035DF}"/>
    <cellStyle name="Output 2 3 3 4" xfId="22893" xr:uid="{19A83245-9396-4EB6-BD0E-D06EF5862B4A}"/>
    <cellStyle name="Output 2 3 3 5" xfId="23065" xr:uid="{022B63B7-F5B2-4B89-84A0-58718E397838}"/>
    <cellStyle name="Output 2 3 4" xfId="20575" xr:uid="{00000000-0005-0000-0000-0000A5510000}"/>
    <cellStyle name="Output 2 3 4 2" xfId="21086" xr:uid="{00000000-0005-0000-0000-0000A6510000}"/>
    <cellStyle name="Output 2 3 4 2 2" xfId="21987" xr:uid="{CE3A0E9C-AC48-4105-BE44-B2F0C88DE4EF}"/>
    <cellStyle name="Output 2 3 4 3" xfId="21738" xr:uid="{00344D22-F121-43F0-AC72-B119A73AFB99}"/>
    <cellStyle name="Output 2 3 4 4" xfId="22894" xr:uid="{EAE70B50-1DFB-45DC-B1EC-A63C4F00F56F}"/>
    <cellStyle name="Output 2 3 4 5" xfId="23066" xr:uid="{011C2F16-F20F-48EE-9891-1868A4B1ED44}"/>
    <cellStyle name="Output 2 3 5" xfId="20576" xr:uid="{00000000-0005-0000-0000-0000A7510000}"/>
    <cellStyle name="Output 2 3 5 2" xfId="21085" xr:uid="{00000000-0005-0000-0000-0000A8510000}"/>
    <cellStyle name="Output 2 3 5 2 2" xfId="21986" xr:uid="{738A7514-0484-45CE-9812-C7B7D25D2A35}"/>
    <cellStyle name="Output 2 3 5 3" xfId="21739" xr:uid="{EEF75EC7-77D9-4776-9D77-D22DB8AF1F25}"/>
    <cellStyle name="Output 2 3 5 4" xfId="22895" xr:uid="{AC74EF41-6384-4C08-A8AB-9D8055043E79}"/>
    <cellStyle name="Output 2 3 5 5" xfId="23067" xr:uid="{75600760-6FF3-43C7-9CF2-3F4049CEBB91}"/>
    <cellStyle name="Output 2 4" xfId="20577" xr:uid="{00000000-0005-0000-0000-0000A9510000}"/>
    <cellStyle name="Output 2 4 2" xfId="20578" xr:uid="{00000000-0005-0000-0000-0000AA510000}"/>
    <cellStyle name="Output 2 4 2 2" xfId="21084" xr:uid="{00000000-0005-0000-0000-0000AB510000}"/>
    <cellStyle name="Output 2 4 2 2 2" xfId="21985" xr:uid="{6F0B8C8C-29BB-4465-B0BB-FBCB1DD2CDC7}"/>
    <cellStyle name="Output 2 4 2 3" xfId="21740" xr:uid="{8CC519AA-6625-4910-BC80-A117DAD6690D}"/>
    <cellStyle name="Output 2 4 2 4" xfId="22896" xr:uid="{01BF4525-4CA6-46E8-8E1C-EF82EB25991D}"/>
    <cellStyle name="Output 2 4 2 5" xfId="23068" xr:uid="{341E0CD6-85B1-42A7-A188-3BDDCF02750E}"/>
    <cellStyle name="Output 2 4 3" xfId="20579" xr:uid="{00000000-0005-0000-0000-0000AC510000}"/>
    <cellStyle name="Output 2 4 3 2" xfId="21083" xr:uid="{00000000-0005-0000-0000-0000AD510000}"/>
    <cellStyle name="Output 2 4 3 2 2" xfId="21984" xr:uid="{C9819711-EE90-4BC6-80D3-035DDFBDA2E8}"/>
    <cellStyle name="Output 2 4 3 3" xfId="21741" xr:uid="{86E91451-9507-4AD8-A52A-61886678E791}"/>
    <cellStyle name="Output 2 4 3 4" xfId="22897" xr:uid="{75499634-044C-4ABC-AB16-CB56BB05D85E}"/>
    <cellStyle name="Output 2 4 3 5" xfId="23069" xr:uid="{BDE76FBE-6B2E-4BFA-B39C-C868FA9E9290}"/>
    <cellStyle name="Output 2 4 4" xfId="20580" xr:uid="{00000000-0005-0000-0000-0000AE510000}"/>
    <cellStyle name="Output 2 4 4 2" xfId="21082" xr:uid="{00000000-0005-0000-0000-0000AF510000}"/>
    <cellStyle name="Output 2 4 4 2 2" xfId="21983" xr:uid="{FF602882-B047-47F3-80C0-BB900662D1DA}"/>
    <cellStyle name="Output 2 4 4 3" xfId="21742" xr:uid="{C792F038-19BB-4A6C-9DE9-6E52294CCB17}"/>
    <cellStyle name="Output 2 4 4 4" xfId="22898" xr:uid="{D9B19B19-E190-42D8-8EEB-B286CB0ED301}"/>
    <cellStyle name="Output 2 4 4 5" xfId="23070" xr:uid="{64BE3250-DB26-4938-B8D5-EA1E5FC8659C}"/>
    <cellStyle name="Output 2 4 5" xfId="20581" xr:uid="{00000000-0005-0000-0000-0000B0510000}"/>
    <cellStyle name="Output 2 4 5 2" xfId="21081" xr:uid="{00000000-0005-0000-0000-0000B1510000}"/>
    <cellStyle name="Output 2 4 5 2 2" xfId="21982" xr:uid="{846B656F-CDD5-46DE-87B7-C9A0340A6D0A}"/>
    <cellStyle name="Output 2 4 5 3" xfId="21743" xr:uid="{6CC4C4C8-FD36-4204-A631-543437BAC5A6}"/>
    <cellStyle name="Output 2 4 5 4" xfId="22899" xr:uid="{31FF00EE-3A54-45AA-918B-AC84A32A3A54}"/>
    <cellStyle name="Output 2 4 5 5" xfId="23071" xr:uid="{7A1B164C-2D8C-4FE0-82C2-C14C3C5349AA}"/>
    <cellStyle name="Output 2 5" xfId="20582" xr:uid="{00000000-0005-0000-0000-0000B2510000}"/>
    <cellStyle name="Output 2 5 2" xfId="20583" xr:uid="{00000000-0005-0000-0000-0000B3510000}"/>
    <cellStyle name="Output 2 5 2 2" xfId="21080" xr:uid="{00000000-0005-0000-0000-0000B4510000}"/>
    <cellStyle name="Output 2 5 2 2 2" xfId="21981" xr:uid="{79F64FCE-1FBA-468D-AC12-CDB47606FDF6}"/>
    <cellStyle name="Output 2 5 2 3" xfId="21744" xr:uid="{91D2E1F4-786D-478F-9B94-F0C6D17FD729}"/>
    <cellStyle name="Output 2 5 2 4" xfId="22900" xr:uid="{5AA61496-7F9A-4341-81AD-66A959623F9C}"/>
    <cellStyle name="Output 2 5 2 5" xfId="23072" xr:uid="{38FF6563-4F2E-462B-92CA-D6FC1F40871D}"/>
    <cellStyle name="Output 2 5 3" xfId="20584" xr:uid="{00000000-0005-0000-0000-0000B5510000}"/>
    <cellStyle name="Output 2 5 3 2" xfId="21079" xr:uid="{00000000-0005-0000-0000-0000B6510000}"/>
    <cellStyle name="Output 2 5 3 2 2" xfId="21980" xr:uid="{EF59773F-AE1D-438C-AB15-36F2ACB6B11B}"/>
    <cellStyle name="Output 2 5 3 3" xfId="21745" xr:uid="{86C22C40-7420-486A-8BBD-8BC966C3C0BC}"/>
    <cellStyle name="Output 2 5 3 4" xfId="22901" xr:uid="{572FB001-1A08-449D-AF7F-4A86E7C4A2D2}"/>
    <cellStyle name="Output 2 5 3 5" xfId="23073" xr:uid="{B2F9C1A3-37BA-4AE1-AD9C-F2C64EADE454}"/>
    <cellStyle name="Output 2 5 4" xfId="20585" xr:uid="{00000000-0005-0000-0000-0000B7510000}"/>
    <cellStyle name="Output 2 5 4 2" xfId="21078" xr:uid="{00000000-0005-0000-0000-0000B8510000}"/>
    <cellStyle name="Output 2 5 4 2 2" xfId="21979" xr:uid="{215BE8B2-45CD-47CF-9CBE-14EC0DC2BA40}"/>
    <cellStyle name="Output 2 5 4 3" xfId="21746" xr:uid="{3F5B602F-981F-4532-95DB-8C8B117469B4}"/>
    <cellStyle name="Output 2 5 4 4" xfId="22902" xr:uid="{81059790-C8DB-42B0-8C40-0460D60CDBB9}"/>
    <cellStyle name="Output 2 5 4 5" xfId="23074" xr:uid="{14E80240-0B59-4FBF-B91C-EFA0F41FC69D}"/>
    <cellStyle name="Output 2 5 5" xfId="20586" xr:uid="{00000000-0005-0000-0000-0000B9510000}"/>
    <cellStyle name="Output 2 5 5 2" xfId="21077" xr:uid="{00000000-0005-0000-0000-0000BA510000}"/>
    <cellStyle name="Output 2 5 5 2 2" xfId="21978" xr:uid="{2FC8C91E-DB0F-4FB1-908C-D3FB52CDFF89}"/>
    <cellStyle name="Output 2 5 5 3" xfId="21747" xr:uid="{6959D73A-000E-4FD9-A0CD-1E24BCB48FC9}"/>
    <cellStyle name="Output 2 5 5 4" xfId="22903" xr:uid="{2C66AEC6-1EAE-4D17-8213-CF3378734538}"/>
    <cellStyle name="Output 2 5 5 5" xfId="23075" xr:uid="{18036777-F398-403C-8215-10F0499103A5}"/>
    <cellStyle name="Output 2 6" xfId="20587" xr:uid="{00000000-0005-0000-0000-0000BB510000}"/>
    <cellStyle name="Output 2 6 2" xfId="20588" xr:uid="{00000000-0005-0000-0000-0000BC510000}"/>
    <cellStyle name="Output 2 6 2 2" xfId="21076" xr:uid="{00000000-0005-0000-0000-0000BD510000}"/>
    <cellStyle name="Output 2 6 2 2 2" xfId="21977" xr:uid="{268B7AEA-4854-48A9-99DD-226218032A72}"/>
    <cellStyle name="Output 2 6 2 3" xfId="21748" xr:uid="{EEF15026-C147-419F-AC71-E1127E4FC2DE}"/>
    <cellStyle name="Output 2 6 2 4" xfId="22904" xr:uid="{A8332F5C-3E4E-41CB-BC6C-3524ABDE0565}"/>
    <cellStyle name="Output 2 6 2 5" xfId="23076" xr:uid="{D6EF19F8-4944-4B49-9E3E-660F3D9FF143}"/>
    <cellStyle name="Output 2 6 3" xfId="20589" xr:uid="{00000000-0005-0000-0000-0000BE510000}"/>
    <cellStyle name="Output 2 6 3 2" xfId="21075" xr:uid="{00000000-0005-0000-0000-0000BF510000}"/>
    <cellStyle name="Output 2 6 3 2 2" xfId="21976" xr:uid="{33CF3D37-A54D-4B72-8F40-2F645B171306}"/>
    <cellStyle name="Output 2 6 3 3" xfId="21749" xr:uid="{0241292A-B444-4FB3-9FD8-68C02720981B}"/>
    <cellStyle name="Output 2 6 3 4" xfId="22905" xr:uid="{57721C56-7119-434F-905B-EEAC1717BA9D}"/>
    <cellStyle name="Output 2 6 3 5" xfId="23077" xr:uid="{E1EB5A5F-1A18-4572-85F1-FD4B773E970A}"/>
    <cellStyle name="Output 2 6 4" xfId="20590" xr:uid="{00000000-0005-0000-0000-0000C0510000}"/>
    <cellStyle name="Output 2 6 4 2" xfId="21074" xr:uid="{00000000-0005-0000-0000-0000C1510000}"/>
    <cellStyle name="Output 2 6 4 2 2" xfId="21975" xr:uid="{6516714D-B651-42CF-A8BC-ACB88206DC85}"/>
    <cellStyle name="Output 2 6 4 3" xfId="21750" xr:uid="{53A1B689-7C88-480D-991B-C9680797A040}"/>
    <cellStyle name="Output 2 6 4 4" xfId="22906" xr:uid="{CCC9D251-1D1D-483F-90A1-1FCDE73E0AE5}"/>
    <cellStyle name="Output 2 6 4 5" xfId="23078" xr:uid="{996BA9CE-03A4-40AB-9E01-990FA1C2C1B8}"/>
    <cellStyle name="Output 2 6 5" xfId="20591" xr:uid="{00000000-0005-0000-0000-0000C2510000}"/>
    <cellStyle name="Output 2 6 5 2" xfId="21073" xr:uid="{00000000-0005-0000-0000-0000C3510000}"/>
    <cellStyle name="Output 2 6 5 2 2" xfId="21974" xr:uid="{C1E48BFA-0528-40A4-A41C-21DFEFB1B29A}"/>
    <cellStyle name="Output 2 6 5 3" xfId="21751" xr:uid="{080887CE-42FD-4559-B602-20EE6FCA9022}"/>
    <cellStyle name="Output 2 6 5 4" xfId="22907" xr:uid="{AE540A93-D7FB-4D10-9E15-9A05C953377B}"/>
    <cellStyle name="Output 2 6 5 5" xfId="23079" xr:uid="{946CF686-1C15-4053-A955-0752E8F482D5}"/>
    <cellStyle name="Output 2 7" xfId="20592" xr:uid="{00000000-0005-0000-0000-0000C4510000}"/>
    <cellStyle name="Output 2 7 2" xfId="20593" xr:uid="{00000000-0005-0000-0000-0000C5510000}"/>
    <cellStyle name="Output 2 7 2 2" xfId="21072" xr:uid="{00000000-0005-0000-0000-0000C6510000}"/>
    <cellStyle name="Output 2 7 2 2 2" xfId="21973" xr:uid="{2A468FBA-FB69-4CCF-B187-1E8F9ADBFD2E}"/>
    <cellStyle name="Output 2 7 2 3" xfId="21752" xr:uid="{868B2E24-EB32-45ED-8130-8F9FEBC0321F}"/>
    <cellStyle name="Output 2 7 2 4" xfId="22908" xr:uid="{159B7AF5-11EA-4C00-B2BF-606D07D08FD5}"/>
    <cellStyle name="Output 2 7 2 5" xfId="23080" xr:uid="{6BD327B9-9544-4DDA-BA05-66221C0CB06B}"/>
    <cellStyle name="Output 2 7 3" xfId="20594" xr:uid="{00000000-0005-0000-0000-0000C7510000}"/>
    <cellStyle name="Output 2 7 3 2" xfId="21071" xr:uid="{00000000-0005-0000-0000-0000C8510000}"/>
    <cellStyle name="Output 2 7 3 2 2" xfId="21972" xr:uid="{67B35D03-575D-4D3F-819A-FF2156DBA0EB}"/>
    <cellStyle name="Output 2 7 3 3" xfId="21753" xr:uid="{52007C6D-7358-4E70-9D2B-81D2A1619B18}"/>
    <cellStyle name="Output 2 7 3 4" xfId="22909" xr:uid="{72C8A251-E323-4A92-B558-6BF22A8DE015}"/>
    <cellStyle name="Output 2 7 3 5" xfId="23081" xr:uid="{00BDF925-962D-44B5-8ABD-3F827EAB7C5D}"/>
    <cellStyle name="Output 2 7 4" xfId="20595" xr:uid="{00000000-0005-0000-0000-0000C9510000}"/>
    <cellStyle name="Output 2 7 4 2" xfId="21070" xr:uid="{00000000-0005-0000-0000-0000CA510000}"/>
    <cellStyle name="Output 2 7 4 2 2" xfId="21971" xr:uid="{09D19DA8-8FD3-4650-AC46-8F8E15A01018}"/>
    <cellStyle name="Output 2 7 4 3" xfId="21754" xr:uid="{22780105-D2C5-4790-8C71-701DB435AAF8}"/>
    <cellStyle name="Output 2 7 4 4" xfId="22910" xr:uid="{95CA467B-C959-4B4C-A26B-4F2B76D762A0}"/>
    <cellStyle name="Output 2 7 4 5" xfId="23082" xr:uid="{FBA56A35-E310-409F-A494-B5CC3AD847B6}"/>
    <cellStyle name="Output 2 7 5" xfId="20596" xr:uid="{00000000-0005-0000-0000-0000CB510000}"/>
    <cellStyle name="Output 2 7 5 2" xfId="21069" xr:uid="{00000000-0005-0000-0000-0000CC510000}"/>
    <cellStyle name="Output 2 7 5 2 2" xfId="21970" xr:uid="{D34423F0-6BD0-46DF-88AB-97EE0503CC9F}"/>
    <cellStyle name="Output 2 7 5 3" xfId="21755" xr:uid="{720317B7-46D8-4447-92FE-FFA273F9A65A}"/>
    <cellStyle name="Output 2 7 5 4" xfId="22911" xr:uid="{ABDA2874-71C8-4BB2-A2FF-FA3C1E116DE8}"/>
    <cellStyle name="Output 2 7 5 5" xfId="23083" xr:uid="{8B17D7A7-3643-481D-BAB8-131EAA9B13EB}"/>
    <cellStyle name="Output 2 8" xfId="20597" xr:uid="{00000000-0005-0000-0000-0000CD510000}"/>
    <cellStyle name="Output 2 8 2" xfId="20598" xr:uid="{00000000-0005-0000-0000-0000CE510000}"/>
    <cellStyle name="Output 2 8 2 2" xfId="21068" xr:uid="{00000000-0005-0000-0000-0000CF510000}"/>
    <cellStyle name="Output 2 8 2 2 2" xfId="21969" xr:uid="{86381743-6191-43AA-BFAF-DE9BDD3876B1}"/>
    <cellStyle name="Output 2 8 2 3" xfId="21756" xr:uid="{9BAEADA3-EBC3-4CC1-BEDC-6B233210E007}"/>
    <cellStyle name="Output 2 8 2 4" xfId="22912" xr:uid="{170E97FA-BA66-4361-83BF-9848A1E0DA03}"/>
    <cellStyle name="Output 2 8 2 5" xfId="23084" xr:uid="{9DFAFFA4-3DE6-4B86-9DB7-F1933AD324FB}"/>
    <cellStyle name="Output 2 8 3" xfId="20599" xr:uid="{00000000-0005-0000-0000-0000D0510000}"/>
    <cellStyle name="Output 2 8 3 2" xfId="21067" xr:uid="{00000000-0005-0000-0000-0000D1510000}"/>
    <cellStyle name="Output 2 8 3 2 2" xfId="21968" xr:uid="{AB5F6A16-66AC-43E8-BC04-BEF43D9BD89B}"/>
    <cellStyle name="Output 2 8 3 3" xfId="21757" xr:uid="{2E903F3B-7D96-4BAA-BBFB-26796B68D784}"/>
    <cellStyle name="Output 2 8 3 4" xfId="22913" xr:uid="{0C5FA160-8975-49A4-9B7A-3216E62C65FA}"/>
    <cellStyle name="Output 2 8 3 5" xfId="23085" xr:uid="{5F0033F6-F1F2-4B1F-80A2-08A8FA66A14B}"/>
    <cellStyle name="Output 2 8 4" xfId="20600" xr:uid="{00000000-0005-0000-0000-0000D2510000}"/>
    <cellStyle name="Output 2 8 4 2" xfId="21066" xr:uid="{00000000-0005-0000-0000-0000D3510000}"/>
    <cellStyle name="Output 2 8 4 2 2" xfId="21967" xr:uid="{9476C267-2A1F-447F-9A9E-35D7877B0219}"/>
    <cellStyle name="Output 2 8 4 3" xfId="21758" xr:uid="{7CA419C8-61E8-4DB4-945B-D48C81809083}"/>
    <cellStyle name="Output 2 8 4 4" xfId="22914" xr:uid="{26D4E829-B8CC-4B18-B1CE-66131549D506}"/>
    <cellStyle name="Output 2 8 4 5" xfId="23086" xr:uid="{D653FC38-3448-47E0-80DF-85649A2AE1FF}"/>
    <cellStyle name="Output 2 8 5" xfId="20601" xr:uid="{00000000-0005-0000-0000-0000D4510000}"/>
    <cellStyle name="Output 2 8 5 2" xfId="21065" xr:uid="{00000000-0005-0000-0000-0000D5510000}"/>
    <cellStyle name="Output 2 8 5 2 2" xfId="21966" xr:uid="{24B4AA7C-20D0-42D1-84A1-06975C9EAA94}"/>
    <cellStyle name="Output 2 8 5 3" xfId="21759" xr:uid="{C5B2C9BD-810B-425A-A8C5-D5592A20A156}"/>
    <cellStyle name="Output 2 8 5 4" xfId="22915" xr:uid="{F473C37F-3F22-493F-A902-71BE1E52241F}"/>
    <cellStyle name="Output 2 8 5 5" xfId="23087" xr:uid="{C79FA595-BA7F-47A6-A202-55051A04F426}"/>
    <cellStyle name="Output 2 9" xfId="20602" xr:uid="{00000000-0005-0000-0000-0000D6510000}"/>
    <cellStyle name="Output 2 9 2" xfId="20603" xr:uid="{00000000-0005-0000-0000-0000D7510000}"/>
    <cellStyle name="Output 2 9 2 2" xfId="21064" xr:uid="{00000000-0005-0000-0000-0000D8510000}"/>
    <cellStyle name="Output 2 9 2 2 2" xfId="21965" xr:uid="{DB958D1C-24C4-4D6C-A346-1ED8C6E2A19A}"/>
    <cellStyle name="Output 2 9 2 3" xfId="21760" xr:uid="{5AC49336-8E09-4D54-8665-467EA0ECB4B3}"/>
    <cellStyle name="Output 2 9 2 4" xfId="22916" xr:uid="{1C15A6BC-4D41-4674-9286-28A9F7689D6C}"/>
    <cellStyle name="Output 2 9 2 5" xfId="23088" xr:uid="{B288C265-BEE5-4F33-BE4B-8F7DFB5829B9}"/>
    <cellStyle name="Output 2 9 3" xfId="20604" xr:uid="{00000000-0005-0000-0000-0000D9510000}"/>
    <cellStyle name="Output 2 9 3 2" xfId="21063" xr:uid="{00000000-0005-0000-0000-0000DA510000}"/>
    <cellStyle name="Output 2 9 3 2 2" xfId="21964" xr:uid="{A25A9607-1F18-4A2D-B19C-4267AF23D523}"/>
    <cellStyle name="Output 2 9 3 3" xfId="21761" xr:uid="{12B29A01-441C-4C7E-A611-ADE12A213FA1}"/>
    <cellStyle name="Output 2 9 3 4" xfId="22917" xr:uid="{96DBFAC4-0D81-4652-9825-90226A228593}"/>
    <cellStyle name="Output 2 9 3 5" xfId="23089" xr:uid="{3358223B-CA48-4627-A5F1-FF2493BF1FA1}"/>
    <cellStyle name="Output 2 9 4" xfId="20605" xr:uid="{00000000-0005-0000-0000-0000DB510000}"/>
    <cellStyle name="Output 2 9 4 2" xfId="21062" xr:uid="{00000000-0005-0000-0000-0000DC510000}"/>
    <cellStyle name="Output 2 9 4 2 2" xfId="21963" xr:uid="{D2ADD816-277D-4FD4-9D2C-B0F38F3B5917}"/>
    <cellStyle name="Output 2 9 4 3" xfId="21762" xr:uid="{CC1815AD-DC28-459C-B5B5-7CBB41581598}"/>
    <cellStyle name="Output 2 9 4 4" xfId="22918" xr:uid="{2AA40D70-C2DE-41A6-BD53-D840C82F9F19}"/>
    <cellStyle name="Output 2 9 4 5" xfId="23090" xr:uid="{5C043714-FF38-4EBF-A3FF-0AFC574ECA27}"/>
    <cellStyle name="Output 2 9 5" xfId="20606" xr:uid="{00000000-0005-0000-0000-0000DD510000}"/>
    <cellStyle name="Output 2 9 5 2" xfId="21061" xr:uid="{00000000-0005-0000-0000-0000DE510000}"/>
    <cellStyle name="Output 2 9 5 2 2" xfId="21962" xr:uid="{4856127E-F6BF-4671-88A8-EAEAFD07EB00}"/>
    <cellStyle name="Output 2 9 5 3" xfId="21763" xr:uid="{2B337EF1-95C1-423E-96DF-4D1B680B4A95}"/>
    <cellStyle name="Output 2 9 5 4" xfId="22919" xr:uid="{CF268BC6-7C51-4F2A-99FB-3DA0341D86F3}"/>
    <cellStyle name="Output 2 9 5 5" xfId="23091" xr:uid="{12355067-AA85-40BA-A9AF-1B04F9EA0FD3}"/>
    <cellStyle name="Output 3" xfId="20607" xr:uid="{00000000-0005-0000-0000-0000DF510000}"/>
    <cellStyle name="Output 3 2" xfId="20608" xr:uid="{00000000-0005-0000-0000-0000E0510000}"/>
    <cellStyle name="Output 3 2 2" xfId="21059" xr:uid="{00000000-0005-0000-0000-0000E1510000}"/>
    <cellStyle name="Output 3 2 2 2" xfId="21960" xr:uid="{2EF38481-62DA-4B98-8052-11B2F8180B7C}"/>
    <cellStyle name="Output 3 2 3" xfId="21765" xr:uid="{1A556A93-FC63-4056-ABC3-4C78C11C2E67}"/>
    <cellStyle name="Output 3 2 4" xfId="22921" xr:uid="{B278C899-8475-4707-86B8-40D6C565E49D}"/>
    <cellStyle name="Output 3 2 5" xfId="23093" xr:uid="{86D785D7-3E7F-4A4F-84AB-E07561DD81C9}"/>
    <cellStyle name="Output 3 3" xfId="20609" xr:uid="{00000000-0005-0000-0000-0000E2510000}"/>
    <cellStyle name="Output 3 3 2" xfId="21058" xr:uid="{00000000-0005-0000-0000-0000E3510000}"/>
    <cellStyle name="Output 3 3 2 2" xfId="21959" xr:uid="{4359389A-AA8D-46EA-8F19-B41925718709}"/>
    <cellStyle name="Output 3 3 3" xfId="21766" xr:uid="{07C06F2A-5659-4450-938E-EAC836FE5B4E}"/>
    <cellStyle name="Output 3 3 4" xfId="22922" xr:uid="{E48F3AA8-37CE-45AE-A1C6-01C3552F1BC5}"/>
    <cellStyle name="Output 3 3 5" xfId="23094" xr:uid="{721959B5-0B23-4AA6-91DB-8B73E0AB5F6D}"/>
    <cellStyle name="Output 3 4" xfId="21060" xr:uid="{00000000-0005-0000-0000-0000E4510000}"/>
    <cellStyle name="Output 3 4 2" xfId="21961" xr:uid="{8984AF82-1E4A-4E7A-8375-772D6F85F205}"/>
    <cellStyle name="Output 3 5" xfId="21764" xr:uid="{49425B74-4815-4BF9-977B-D199F3A7EC9D}"/>
    <cellStyle name="Output 3 6" xfId="22920" xr:uid="{2F1DF81E-4FEC-488C-B34C-382F7605BAD8}"/>
    <cellStyle name="Output 3 7" xfId="23092" xr:uid="{0E675669-4832-42E6-B552-5C7E92E3D699}"/>
    <cellStyle name="Output 4" xfId="20610" xr:uid="{00000000-0005-0000-0000-0000E5510000}"/>
    <cellStyle name="Output 4 2" xfId="20611" xr:uid="{00000000-0005-0000-0000-0000E6510000}"/>
    <cellStyle name="Output 4 2 2" xfId="21056" xr:uid="{00000000-0005-0000-0000-0000E7510000}"/>
    <cellStyle name="Output 4 2 2 2" xfId="21957" xr:uid="{1FF7ACE3-1F65-4E4D-99A4-180BAE7445DE}"/>
    <cellStyle name="Output 4 2 3" xfId="21768" xr:uid="{47FC8606-BCF1-4B90-8838-C467E8F9EC19}"/>
    <cellStyle name="Output 4 2 4" xfId="22924" xr:uid="{5E62E5E0-F7C3-4B2C-AE15-35816A534212}"/>
    <cellStyle name="Output 4 2 5" xfId="23096" xr:uid="{F2D28FD1-E91D-4848-AB34-AB9C7535962D}"/>
    <cellStyle name="Output 4 3" xfId="20612" xr:uid="{00000000-0005-0000-0000-0000E8510000}"/>
    <cellStyle name="Output 4 3 2" xfId="21055" xr:uid="{00000000-0005-0000-0000-0000E9510000}"/>
    <cellStyle name="Output 4 3 2 2" xfId="21956" xr:uid="{A6E28244-D4D4-4DB2-B625-080C90CA6DFA}"/>
    <cellStyle name="Output 4 3 3" xfId="21769" xr:uid="{493DD9A4-3CAA-4EB9-BBA8-0DCC90F37F52}"/>
    <cellStyle name="Output 4 3 4" xfId="22925" xr:uid="{400AA0E6-9BB4-4E58-99CC-7A6CA4D85A37}"/>
    <cellStyle name="Output 4 3 5" xfId="23097" xr:uid="{D10A2E51-D742-4F2B-9F71-5C33FD3403FA}"/>
    <cellStyle name="Output 4 4" xfId="21057" xr:uid="{00000000-0005-0000-0000-0000EA510000}"/>
    <cellStyle name="Output 4 4 2" xfId="21958" xr:uid="{40730028-264F-428E-8918-2E20872A7A77}"/>
    <cellStyle name="Output 4 5" xfId="21767" xr:uid="{F02A8183-DAC2-4A08-8EEC-79187AE696C7}"/>
    <cellStyle name="Output 4 6" xfId="22923" xr:uid="{AD3971C6-41BA-461B-8E08-3469FEC5CCF5}"/>
    <cellStyle name="Output 4 7" xfId="23095" xr:uid="{5F6C624E-38D5-4A74-AAF2-280322CE3742}"/>
    <cellStyle name="Output 5" xfId="20613" xr:uid="{00000000-0005-0000-0000-0000EB510000}"/>
    <cellStyle name="Output 5 2" xfId="20614" xr:uid="{00000000-0005-0000-0000-0000EC510000}"/>
    <cellStyle name="Output 5 2 2" xfId="21053" xr:uid="{00000000-0005-0000-0000-0000ED510000}"/>
    <cellStyle name="Output 5 2 2 2" xfId="21954" xr:uid="{99B7F21F-3EE5-4E95-9761-960D646BE1A4}"/>
    <cellStyle name="Output 5 2 3" xfId="21771" xr:uid="{B074A827-EFAD-414A-9580-BEE3817B37D5}"/>
    <cellStyle name="Output 5 2 4" xfId="22927" xr:uid="{AEB7FE2C-0CA8-415E-AB5A-42ADD45EFD2F}"/>
    <cellStyle name="Output 5 2 5" xfId="23099" xr:uid="{7C661C74-B5CC-4F9F-89DA-09365B1853DD}"/>
    <cellStyle name="Output 5 3" xfId="20615" xr:uid="{00000000-0005-0000-0000-0000EE510000}"/>
    <cellStyle name="Output 5 3 2" xfId="21052" xr:uid="{00000000-0005-0000-0000-0000EF510000}"/>
    <cellStyle name="Output 5 3 2 2" xfId="21953" xr:uid="{611E0F5D-6AEF-4025-86E4-12172E2CBA08}"/>
    <cellStyle name="Output 5 3 3" xfId="21772" xr:uid="{363E2283-2B0D-45EE-82B6-B8D5A691D5CE}"/>
    <cellStyle name="Output 5 3 4" xfId="22928" xr:uid="{63272636-812B-4CF8-8E18-567F97797A2B}"/>
    <cellStyle name="Output 5 3 5" xfId="23100" xr:uid="{EA0C0386-AED8-4291-AB80-3BFB8B07D1E9}"/>
    <cellStyle name="Output 5 4" xfId="21054" xr:uid="{00000000-0005-0000-0000-0000F0510000}"/>
    <cellStyle name="Output 5 4 2" xfId="21955" xr:uid="{038B38B2-2D8B-4722-B5B2-C0101A147F5C}"/>
    <cellStyle name="Output 5 5" xfId="21770" xr:uid="{1CE72675-2A6A-4737-96A5-648A38317FBD}"/>
    <cellStyle name="Output 5 6" xfId="22926" xr:uid="{8BC42187-79FB-4BB3-BE19-58776665F148}"/>
    <cellStyle name="Output 5 7" xfId="23098" xr:uid="{F9A3630D-ECC5-4D65-8E61-8BB530F61C24}"/>
    <cellStyle name="Output 6" xfId="20616" xr:uid="{00000000-0005-0000-0000-0000F1510000}"/>
    <cellStyle name="Output 6 2" xfId="20617" xr:uid="{00000000-0005-0000-0000-0000F2510000}"/>
    <cellStyle name="Output 6 2 2" xfId="21050" xr:uid="{00000000-0005-0000-0000-0000F3510000}"/>
    <cellStyle name="Output 6 2 2 2" xfId="21951" xr:uid="{7B84CC02-2ECE-485D-AE45-58D8D01B79D4}"/>
    <cellStyle name="Output 6 2 3" xfId="21774" xr:uid="{9A1FFE2B-0CF1-45D4-B66B-88C74F5B3839}"/>
    <cellStyle name="Output 6 2 4" xfId="22930" xr:uid="{28BD6C49-CFA0-4EEE-B8B5-5577E9EFD161}"/>
    <cellStyle name="Output 6 2 5" xfId="23102" xr:uid="{7725DD12-4A45-4158-BDD1-BDD01C634BAE}"/>
    <cellStyle name="Output 6 3" xfId="20618" xr:uid="{00000000-0005-0000-0000-0000F4510000}"/>
    <cellStyle name="Output 6 3 2" xfId="21049" xr:uid="{00000000-0005-0000-0000-0000F5510000}"/>
    <cellStyle name="Output 6 3 2 2" xfId="21950" xr:uid="{82CBD7F8-27B1-4A35-8B22-792920391392}"/>
    <cellStyle name="Output 6 3 3" xfId="21775" xr:uid="{6ED70D97-6535-4BBD-908F-CDF59EE51E3A}"/>
    <cellStyle name="Output 6 3 4" xfId="22931" xr:uid="{97729F08-B213-4C72-8730-D033FB828B07}"/>
    <cellStyle name="Output 6 3 5" xfId="23103" xr:uid="{AC568863-7011-40E5-8B31-D679AE2C130A}"/>
    <cellStyle name="Output 6 4" xfId="21051" xr:uid="{00000000-0005-0000-0000-0000F6510000}"/>
    <cellStyle name="Output 6 4 2" xfId="21952" xr:uid="{EC72DC7A-344A-4747-85B0-4D014CDAEF0E}"/>
    <cellStyle name="Output 6 5" xfId="21773" xr:uid="{ACDC7A8B-4414-45AD-9398-BFD219999A1E}"/>
    <cellStyle name="Output 6 6" xfId="22929" xr:uid="{877F1B00-0E81-4D2C-BD2E-E200A01F5ACC}"/>
    <cellStyle name="Output 6 7" xfId="23101" xr:uid="{76C0720F-65A6-455F-9CC5-DDAF69911967}"/>
    <cellStyle name="Output 7" xfId="20619" xr:uid="{00000000-0005-0000-0000-0000F7510000}"/>
    <cellStyle name="Output 7 2" xfId="21048" xr:uid="{00000000-0005-0000-0000-0000F8510000}"/>
    <cellStyle name="Output 7 2 2" xfId="21949" xr:uid="{9C8E3DAB-289A-40D0-9AA9-A8DD3FADB888}"/>
    <cellStyle name="Output 7 3" xfId="21776" xr:uid="{2FC51BCA-AD57-499F-AA64-003CD22D331E}"/>
    <cellStyle name="Output 7 4" xfId="22932" xr:uid="{E48826D2-81BA-4A2D-A774-A7C6FD0DC76D}"/>
    <cellStyle name="Output 7 5" xfId="23104" xr:uid="{D81DCCA6-09C3-4ED6-9600-7E6E1802ECB1}"/>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Exposure 2 2" xfId="21948" xr:uid="{3DE5F683-AF9D-4C28-905D-8CF24BBA55B6}"/>
    <cellStyle name="showExposure 3" xfId="21777" xr:uid="{7934475A-7888-4992-96E4-E076EC0CB192}"/>
    <cellStyle name="showExposure 4" xfId="22933" xr:uid="{40202043-A595-40FE-BB48-1CEBE6F17105}"/>
    <cellStyle name="showParameterE" xfId="20787" xr:uid="{00000000-0005-0000-0000-0000A4520000}"/>
    <cellStyle name="showParameterE 2" xfId="21046" xr:uid="{00000000-0005-0000-0000-0000A5520000}"/>
    <cellStyle name="showParameterE 2 2" xfId="21947" xr:uid="{7812B65C-A65C-4047-9D2F-C02D8172E264}"/>
    <cellStyle name="showParameterE 3" xfId="21778" xr:uid="{79B6CAF7-9BEF-45E9-AD7F-B457D1B21DFA}"/>
    <cellStyle name="showParameterE 4" xfId="22934" xr:uid="{9CF41193-5697-4884-A2D1-FE0E6D797B48}"/>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2 2 2" xfId="21945" xr:uid="{34AD174F-1C53-4350-8C4A-8A1444022512}"/>
    <cellStyle name="Total 2 10 2 3" xfId="21780" xr:uid="{98F24E57-AEF3-4873-BD89-1B70710B9AF9}"/>
    <cellStyle name="Total 2 10 2 4" xfId="22936" xr:uid="{A4F43102-085E-4A43-97A8-58F47AC05912}"/>
    <cellStyle name="Total 2 10 2 5" xfId="23106" xr:uid="{81D2142C-FC1D-4F93-84B0-72E36CBB23B5}"/>
    <cellStyle name="Total 2 10 3" xfId="20826" xr:uid="{00000000-0005-0000-0000-0000CE520000}"/>
    <cellStyle name="Total 2 10 3 2" xfId="21043" xr:uid="{00000000-0005-0000-0000-0000CF520000}"/>
    <cellStyle name="Total 2 10 3 2 2" xfId="21944" xr:uid="{2D6F6969-E4A9-4781-93A0-5354C203D154}"/>
    <cellStyle name="Total 2 10 3 3" xfId="21781" xr:uid="{E806BFA0-F1DD-4385-BA45-3DF6791122AE}"/>
    <cellStyle name="Total 2 10 3 4" xfId="22937" xr:uid="{3F82DC84-91DD-4529-943A-BB859FEB5073}"/>
    <cellStyle name="Total 2 10 3 5" xfId="23107" xr:uid="{AB4417DE-5100-4E2A-9648-9A0ADC0152A2}"/>
    <cellStyle name="Total 2 10 4" xfId="20827" xr:uid="{00000000-0005-0000-0000-0000D0520000}"/>
    <cellStyle name="Total 2 10 4 2" xfId="21042" xr:uid="{00000000-0005-0000-0000-0000D1520000}"/>
    <cellStyle name="Total 2 10 4 2 2" xfId="21943" xr:uid="{F94B1C59-C11E-48A4-A34F-5468C2105470}"/>
    <cellStyle name="Total 2 10 4 3" xfId="21782" xr:uid="{83EFDC42-B64D-4ABE-AA54-ACAFD529154D}"/>
    <cellStyle name="Total 2 10 4 4" xfId="22938" xr:uid="{E9F63AA7-B7CD-40D1-BE5A-20A5ED5D54AC}"/>
    <cellStyle name="Total 2 10 4 5" xfId="23108" xr:uid="{BF464FBE-701D-4AE9-9D81-2C3F12AA7B63}"/>
    <cellStyle name="Total 2 10 5" xfId="20828" xr:uid="{00000000-0005-0000-0000-0000D2520000}"/>
    <cellStyle name="Total 2 10 5 2" xfId="21041" xr:uid="{00000000-0005-0000-0000-0000D3520000}"/>
    <cellStyle name="Total 2 10 5 2 2" xfId="21942" xr:uid="{0EBE6600-3AC3-432F-A466-58156D974FCA}"/>
    <cellStyle name="Total 2 10 5 3" xfId="21783" xr:uid="{55B2BCFF-4D5D-43D1-8FD1-5B7A8BD71D07}"/>
    <cellStyle name="Total 2 10 5 4" xfId="22939" xr:uid="{14093AB3-471C-43F2-9124-BBAE6101D170}"/>
    <cellStyle name="Total 2 10 5 5" xfId="23109" xr:uid="{785355B7-74E4-4797-AA92-A7F608C2AD61}"/>
    <cellStyle name="Total 2 11" xfId="20829" xr:uid="{00000000-0005-0000-0000-0000D4520000}"/>
    <cellStyle name="Total 2 11 2" xfId="20830" xr:uid="{00000000-0005-0000-0000-0000D5520000}"/>
    <cellStyle name="Total 2 11 2 2" xfId="21039" xr:uid="{00000000-0005-0000-0000-0000D6520000}"/>
    <cellStyle name="Total 2 11 2 2 2" xfId="21940" xr:uid="{35B0DE59-27FD-45E9-96AE-779C5808F89D}"/>
    <cellStyle name="Total 2 11 2 3" xfId="21785" xr:uid="{00D5653B-BDA0-43BC-9B7F-EB4CFB96C205}"/>
    <cellStyle name="Total 2 11 2 4" xfId="22941" xr:uid="{38B5F594-BDD9-4A27-8B67-9E8406115C72}"/>
    <cellStyle name="Total 2 11 2 5" xfId="23111" xr:uid="{BFEDE712-B4A1-4631-8705-5C409B5F0B1F}"/>
    <cellStyle name="Total 2 11 3" xfId="20831" xr:uid="{00000000-0005-0000-0000-0000D7520000}"/>
    <cellStyle name="Total 2 11 3 2" xfId="21038" xr:uid="{00000000-0005-0000-0000-0000D8520000}"/>
    <cellStyle name="Total 2 11 3 2 2" xfId="21939" xr:uid="{CBC02625-5F5E-455D-83FE-372FA2EEB811}"/>
    <cellStyle name="Total 2 11 3 3" xfId="21786" xr:uid="{F4E60CB3-EF52-4A8B-8C5E-5065EE90C6E1}"/>
    <cellStyle name="Total 2 11 3 4" xfId="22942" xr:uid="{5FFCE111-63E3-41DF-A586-334C074E3A64}"/>
    <cellStyle name="Total 2 11 3 5" xfId="23112" xr:uid="{4A5DFCD9-2E17-44A2-AAFC-1CCB61604349}"/>
    <cellStyle name="Total 2 11 4" xfId="20832" xr:uid="{00000000-0005-0000-0000-0000D9520000}"/>
    <cellStyle name="Total 2 11 4 2" xfId="21037" xr:uid="{00000000-0005-0000-0000-0000DA520000}"/>
    <cellStyle name="Total 2 11 4 2 2" xfId="21938" xr:uid="{4D091BEC-08F4-470E-B178-43E9FDE1846D}"/>
    <cellStyle name="Total 2 11 4 3" xfId="21787" xr:uid="{EE32EE6F-D359-4666-9AA0-29185B4570F0}"/>
    <cellStyle name="Total 2 11 4 4" xfId="22943" xr:uid="{C8210AF1-B4A5-4DC1-9683-9DC7002F6E1F}"/>
    <cellStyle name="Total 2 11 4 5" xfId="23113" xr:uid="{ADC21A38-0002-4FB8-B1B3-10E9DE83DB1A}"/>
    <cellStyle name="Total 2 11 5" xfId="20833" xr:uid="{00000000-0005-0000-0000-0000DB520000}"/>
    <cellStyle name="Total 2 11 5 2" xfId="21036" xr:uid="{00000000-0005-0000-0000-0000DC520000}"/>
    <cellStyle name="Total 2 11 5 2 2" xfId="21937" xr:uid="{B930F7F6-F3AE-4961-AD25-C4BED5D214A4}"/>
    <cellStyle name="Total 2 11 5 3" xfId="21788" xr:uid="{2A7BC087-2A97-4295-B30F-672FA7D64378}"/>
    <cellStyle name="Total 2 11 5 4" xfId="22944" xr:uid="{DD78B4B4-903A-4614-98BA-A4DF549ED7A4}"/>
    <cellStyle name="Total 2 11 5 5" xfId="23114" xr:uid="{B5732FBB-614A-4FF3-98D9-A3AF5D551350}"/>
    <cellStyle name="Total 2 11 6" xfId="21040" xr:uid="{00000000-0005-0000-0000-0000DD520000}"/>
    <cellStyle name="Total 2 11 6 2" xfId="21941" xr:uid="{9C1FF086-82AA-4DB5-B3DD-051971BFC0CC}"/>
    <cellStyle name="Total 2 11 7" xfId="21784" xr:uid="{3CF69923-8DF9-4399-BE50-D93EA1E5311B}"/>
    <cellStyle name="Total 2 11 8" xfId="22940" xr:uid="{BC74C6C2-5694-4672-B22B-7137A6A6AC3D}"/>
    <cellStyle name="Total 2 11 9" xfId="23110" xr:uid="{624029F0-ADBF-4C34-B4C1-CD4770C17136}"/>
    <cellStyle name="Total 2 12" xfId="20834" xr:uid="{00000000-0005-0000-0000-0000DE520000}"/>
    <cellStyle name="Total 2 12 2" xfId="20835" xr:uid="{00000000-0005-0000-0000-0000DF520000}"/>
    <cellStyle name="Total 2 12 2 2" xfId="21034" xr:uid="{00000000-0005-0000-0000-0000E0520000}"/>
    <cellStyle name="Total 2 12 2 2 2" xfId="21935" xr:uid="{E1124A7C-F175-4AD2-811C-3A09619FD513}"/>
    <cellStyle name="Total 2 12 2 3" xfId="21790" xr:uid="{5E6F399D-4B7D-4DE8-8EDD-C0148DC91144}"/>
    <cellStyle name="Total 2 12 2 4" xfId="22946" xr:uid="{2CFC03EB-C422-42CC-9106-308F0E366C95}"/>
    <cellStyle name="Total 2 12 2 5" xfId="23116" xr:uid="{8BAF3996-0F77-42DF-B5A4-60013A3F83DA}"/>
    <cellStyle name="Total 2 12 3" xfId="20836" xr:uid="{00000000-0005-0000-0000-0000E1520000}"/>
    <cellStyle name="Total 2 12 3 2" xfId="21033" xr:uid="{00000000-0005-0000-0000-0000E2520000}"/>
    <cellStyle name="Total 2 12 3 2 2" xfId="21934" xr:uid="{9D4F399E-4457-4054-835E-2308FFF47E40}"/>
    <cellStyle name="Total 2 12 3 3" xfId="21791" xr:uid="{AB5EE710-A930-4EA2-AFF3-4CB10C2894C0}"/>
    <cellStyle name="Total 2 12 3 4" xfId="22947" xr:uid="{5B7540B1-6455-4BCE-A588-E08EFAA6EBCD}"/>
    <cellStyle name="Total 2 12 3 5" xfId="23117" xr:uid="{6503B18D-2EA3-4AEF-A2A2-F93102468FA0}"/>
    <cellStyle name="Total 2 12 4" xfId="20837" xr:uid="{00000000-0005-0000-0000-0000E3520000}"/>
    <cellStyle name="Total 2 12 4 2" xfId="21032" xr:uid="{00000000-0005-0000-0000-0000E4520000}"/>
    <cellStyle name="Total 2 12 4 2 2" xfId="21933" xr:uid="{B49721FB-156C-4CD1-AD30-639F358BEF62}"/>
    <cellStyle name="Total 2 12 4 3" xfId="21792" xr:uid="{39BEEE79-5100-4699-89FA-8F7DEA062177}"/>
    <cellStyle name="Total 2 12 4 4" xfId="22948" xr:uid="{25CED4EE-4FAF-4A49-8EA7-00944EC31571}"/>
    <cellStyle name="Total 2 12 4 5" xfId="23118" xr:uid="{F33B27B5-F411-4CA5-84DA-5E5FA10F431C}"/>
    <cellStyle name="Total 2 12 5" xfId="20838" xr:uid="{00000000-0005-0000-0000-0000E5520000}"/>
    <cellStyle name="Total 2 12 5 2" xfId="21031" xr:uid="{00000000-0005-0000-0000-0000E6520000}"/>
    <cellStyle name="Total 2 12 5 2 2" xfId="21932" xr:uid="{B8E7DA38-B79A-453F-B8F6-E8DC39C51FFA}"/>
    <cellStyle name="Total 2 12 5 3" xfId="21793" xr:uid="{3C5F8C03-CBFF-414B-8288-368309A9D579}"/>
    <cellStyle name="Total 2 12 5 4" xfId="22949" xr:uid="{FE4EC712-309C-4E7F-9E25-27D800C913E3}"/>
    <cellStyle name="Total 2 12 5 5" xfId="23119" xr:uid="{E4AB051B-5DAE-4E4D-BBDF-0E627C268242}"/>
    <cellStyle name="Total 2 12 6" xfId="21035" xr:uid="{00000000-0005-0000-0000-0000E7520000}"/>
    <cellStyle name="Total 2 12 6 2" xfId="21936" xr:uid="{D9C94763-86B4-4D8A-86DD-6439A070E87E}"/>
    <cellStyle name="Total 2 12 7" xfId="21789" xr:uid="{EA3A2A9E-1ABB-4476-8ED8-E573F669BC1A}"/>
    <cellStyle name="Total 2 12 8" xfId="22945" xr:uid="{65D042DE-42C3-4D93-9830-9389701E514E}"/>
    <cellStyle name="Total 2 12 9" xfId="23115" xr:uid="{A48AE90C-5EF4-44AA-8B3E-0454C71002C2}"/>
    <cellStyle name="Total 2 13" xfId="20839" xr:uid="{00000000-0005-0000-0000-0000E8520000}"/>
    <cellStyle name="Total 2 13 2" xfId="20840" xr:uid="{00000000-0005-0000-0000-0000E9520000}"/>
    <cellStyle name="Total 2 13 2 2" xfId="21029" xr:uid="{00000000-0005-0000-0000-0000EA520000}"/>
    <cellStyle name="Total 2 13 2 2 2" xfId="21930" xr:uid="{257DEB45-1B15-46B3-AB7F-BE2CFF72F096}"/>
    <cellStyle name="Total 2 13 2 3" xfId="21795" xr:uid="{20FCBFB1-DAF2-478D-A5D9-BB19D5E74867}"/>
    <cellStyle name="Total 2 13 2 4" xfId="22951" xr:uid="{C6FDECD2-CC6A-4D5C-BC83-45538D43D92B}"/>
    <cellStyle name="Total 2 13 2 5" xfId="23121" xr:uid="{99FB34F6-65FA-4D6B-AFC7-327F84C46A08}"/>
    <cellStyle name="Total 2 13 3" xfId="20841" xr:uid="{00000000-0005-0000-0000-0000EB520000}"/>
    <cellStyle name="Total 2 13 3 2" xfId="21028" xr:uid="{00000000-0005-0000-0000-0000EC520000}"/>
    <cellStyle name="Total 2 13 3 2 2" xfId="21929" xr:uid="{B9989651-4D96-478C-8BED-8B4D5B049EB5}"/>
    <cellStyle name="Total 2 13 3 3" xfId="21796" xr:uid="{EEC5FC51-2948-4A47-98FE-29809FBA0967}"/>
    <cellStyle name="Total 2 13 3 4" xfId="22952" xr:uid="{D2A1127C-A745-4C04-9ED8-FDA50BF15C0D}"/>
    <cellStyle name="Total 2 13 3 5" xfId="23122" xr:uid="{D09D93A4-D62E-4EF3-A091-14D1DA68B74E}"/>
    <cellStyle name="Total 2 13 4" xfId="20842" xr:uid="{00000000-0005-0000-0000-0000ED520000}"/>
    <cellStyle name="Total 2 13 4 2" xfId="21027" xr:uid="{00000000-0005-0000-0000-0000EE520000}"/>
    <cellStyle name="Total 2 13 4 2 2" xfId="21928" xr:uid="{C07CCC54-CC7F-4DF9-9573-FD920E350CDC}"/>
    <cellStyle name="Total 2 13 4 3" xfId="21797" xr:uid="{B4A9E809-07C0-4565-BBA9-F95D8F66755A}"/>
    <cellStyle name="Total 2 13 4 4" xfId="22953" xr:uid="{B8D33BBC-204C-417F-A8E2-63A195339566}"/>
    <cellStyle name="Total 2 13 4 5" xfId="23123" xr:uid="{4257E9B9-E4AC-414F-9793-ED4293522508}"/>
    <cellStyle name="Total 2 13 5" xfId="21030" xr:uid="{00000000-0005-0000-0000-0000EF520000}"/>
    <cellStyle name="Total 2 13 5 2" xfId="21931" xr:uid="{F691812C-25DF-4739-8C99-32200CE8AF1C}"/>
    <cellStyle name="Total 2 13 6" xfId="21794" xr:uid="{245ABBEE-412A-420D-AB73-ADF8B3727D6F}"/>
    <cellStyle name="Total 2 13 7" xfId="22950" xr:uid="{6A9D674A-7271-4449-AE65-8FF0F7C105B5}"/>
    <cellStyle name="Total 2 13 8" xfId="23120" xr:uid="{7D58F071-0E66-46BD-AC26-FE2B08FE8862}"/>
    <cellStyle name="Total 2 14" xfId="20843" xr:uid="{00000000-0005-0000-0000-0000F0520000}"/>
    <cellStyle name="Total 2 14 2" xfId="21026" xr:uid="{00000000-0005-0000-0000-0000F1520000}"/>
    <cellStyle name="Total 2 14 2 2" xfId="21927" xr:uid="{E37D692D-18CF-4437-A908-4BCD08B4AD7F}"/>
    <cellStyle name="Total 2 14 3" xfId="21798" xr:uid="{BC581297-5375-451A-BC90-31402FAB00BC}"/>
    <cellStyle name="Total 2 14 4" xfId="22954" xr:uid="{4F4C858C-3CE9-401D-ACD8-1EA6BF757A45}"/>
    <cellStyle name="Total 2 14 5" xfId="23124" xr:uid="{BB473CE8-8CD1-4856-9FBA-097A6D33D57B}"/>
    <cellStyle name="Total 2 15" xfId="20844" xr:uid="{00000000-0005-0000-0000-0000F2520000}"/>
    <cellStyle name="Total 2 15 2" xfId="21025" xr:uid="{00000000-0005-0000-0000-0000F3520000}"/>
    <cellStyle name="Total 2 15 2 2" xfId="21926" xr:uid="{A40406DA-2B31-498B-AE05-8F12863C239B}"/>
    <cellStyle name="Total 2 15 3" xfId="21799" xr:uid="{71E0A9C0-C0C4-4FE3-9215-310CD674F303}"/>
    <cellStyle name="Total 2 15 4" xfId="22955" xr:uid="{09914E3F-CEB5-4902-851C-ACCB0D98063B}"/>
    <cellStyle name="Total 2 15 5" xfId="23125" xr:uid="{228FAF93-347F-425A-A139-2C591C305B8F}"/>
    <cellStyle name="Total 2 16" xfId="20845" xr:uid="{00000000-0005-0000-0000-0000F4520000}"/>
    <cellStyle name="Total 2 16 2" xfId="21024" xr:uid="{00000000-0005-0000-0000-0000F5520000}"/>
    <cellStyle name="Total 2 16 2 2" xfId="21925" xr:uid="{1B04776D-FDD3-4B1B-803E-C2DE4008EF7C}"/>
    <cellStyle name="Total 2 16 3" xfId="21800" xr:uid="{9C569445-036F-4312-AFB0-AF8B2DFE6006}"/>
    <cellStyle name="Total 2 16 4" xfId="22956" xr:uid="{E71319C2-E3A0-4311-8045-A4E6546202FB}"/>
    <cellStyle name="Total 2 16 5" xfId="23126" xr:uid="{2B7904B2-83C2-4563-8F6D-2CC06A81914D}"/>
    <cellStyle name="Total 2 17" xfId="21045" xr:uid="{00000000-0005-0000-0000-0000F6520000}"/>
    <cellStyle name="Total 2 17 2" xfId="21946" xr:uid="{508422E9-46D1-459D-AC0A-C43A4DBCE687}"/>
    <cellStyle name="Total 2 18" xfId="21779" xr:uid="{80D289AB-83FF-4C46-8AC9-1F992BAF5676}"/>
    <cellStyle name="Total 2 19" xfId="22935" xr:uid="{5588C4EF-8238-441D-B758-B73B1D6D5063}"/>
    <cellStyle name="Total 2 2" xfId="20846" xr:uid="{00000000-0005-0000-0000-0000F7520000}"/>
    <cellStyle name="Total 2 2 10" xfId="21023" xr:uid="{00000000-0005-0000-0000-0000F8520000}"/>
    <cellStyle name="Total 2 2 10 2" xfId="21924" xr:uid="{50073FFF-6B00-47AE-9974-D18BE4BC0FD1}"/>
    <cellStyle name="Total 2 2 11" xfId="21801" xr:uid="{CE213FB0-F49E-43D1-A4D0-EE37B480C3B7}"/>
    <cellStyle name="Total 2 2 12" xfId="22957" xr:uid="{9E75C47C-45B3-4BB8-ACD3-EF46415EA006}"/>
    <cellStyle name="Total 2 2 13" xfId="23127" xr:uid="{F2D6A3E0-7ECE-4595-B063-DDAFD0035820}"/>
    <cellStyle name="Total 2 2 2" xfId="20847" xr:uid="{00000000-0005-0000-0000-0000F9520000}"/>
    <cellStyle name="Total 2 2 2 2" xfId="20848" xr:uid="{00000000-0005-0000-0000-0000FA520000}"/>
    <cellStyle name="Total 2 2 2 2 2" xfId="21021" xr:uid="{00000000-0005-0000-0000-0000FB520000}"/>
    <cellStyle name="Total 2 2 2 2 2 2" xfId="21922" xr:uid="{A169788D-87E1-4EDD-8576-59AC7A98C01E}"/>
    <cellStyle name="Total 2 2 2 2 3" xfId="21803" xr:uid="{E308870E-733D-460C-A8E9-BE807D583B03}"/>
    <cellStyle name="Total 2 2 2 2 4" xfId="22959" xr:uid="{C0CDAA24-3403-4E05-A7C8-2B32ED9F9263}"/>
    <cellStyle name="Total 2 2 2 2 5" xfId="23129" xr:uid="{D417FF83-6DDB-4610-A1EE-C521BB506BE0}"/>
    <cellStyle name="Total 2 2 2 3" xfId="20849" xr:uid="{00000000-0005-0000-0000-0000FC520000}"/>
    <cellStyle name="Total 2 2 2 3 2" xfId="21020" xr:uid="{00000000-0005-0000-0000-0000FD520000}"/>
    <cellStyle name="Total 2 2 2 3 2 2" xfId="21921" xr:uid="{36B32B4C-F5AB-4600-BCC7-91822B4760A9}"/>
    <cellStyle name="Total 2 2 2 3 3" xfId="21804" xr:uid="{529D0908-A19B-4C5A-9517-E9396E7BF8E9}"/>
    <cellStyle name="Total 2 2 2 3 4" xfId="22960" xr:uid="{6449A159-4BCE-4938-8D8B-BCC3995A3A7A}"/>
    <cellStyle name="Total 2 2 2 3 5" xfId="23130" xr:uid="{1D881F3F-5C87-4B18-A84C-B550E4B7208A}"/>
    <cellStyle name="Total 2 2 2 4" xfId="20850" xr:uid="{00000000-0005-0000-0000-0000FE520000}"/>
    <cellStyle name="Total 2 2 2 4 2" xfId="21019" xr:uid="{00000000-0005-0000-0000-0000FF520000}"/>
    <cellStyle name="Total 2 2 2 4 2 2" xfId="21920" xr:uid="{70FF33AB-D763-40B2-BDA0-55E51B6FDDBB}"/>
    <cellStyle name="Total 2 2 2 4 3" xfId="21805" xr:uid="{8BB80BAB-9443-4843-BBC3-C45ED3171857}"/>
    <cellStyle name="Total 2 2 2 4 4" xfId="22961" xr:uid="{661C81DD-81ED-4DE3-8742-C3CF4A9468D6}"/>
    <cellStyle name="Total 2 2 2 4 5" xfId="23131" xr:uid="{6CBE1C6E-7C69-43C7-91F5-45D665723827}"/>
    <cellStyle name="Total 2 2 2 5" xfId="21022" xr:uid="{00000000-0005-0000-0000-000000530000}"/>
    <cellStyle name="Total 2 2 2 5 2" xfId="21923" xr:uid="{C5F0C5CE-3C43-4EE2-A8D1-E079636EC60F}"/>
    <cellStyle name="Total 2 2 2 6" xfId="21802" xr:uid="{C1E093F0-F27B-4C18-92F1-73E74D04F3CD}"/>
    <cellStyle name="Total 2 2 2 7" xfId="22958" xr:uid="{5C8F2B3E-8335-40C4-A64B-8F9CC28D7A94}"/>
    <cellStyle name="Total 2 2 2 8" xfId="23128" xr:uid="{BDED2850-13AC-4DD8-899E-2EFBAC8EA4EA}"/>
    <cellStyle name="Total 2 2 3" xfId="20851" xr:uid="{00000000-0005-0000-0000-000001530000}"/>
    <cellStyle name="Total 2 2 3 2" xfId="20852" xr:uid="{00000000-0005-0000-0000-000002530000}"/>
    <cellStyle name="Total 2 2 3 2 2" xfId="21017" xr:uid="{00000000-0005-0000-0000-000003530000}"/>
    <cellStyle name="Total 2 2 3 2 2 2" xfId="21918" xr:uid="{6F0A9136-4E91-445D-8F8A-4A331A1ED6D5}"/>
    <cellStyle name="Total 2 2 3 2 3" xfId="21807" xr:uid="{38A05898-DA2C-4DB2-B6C9-6DC47AC96CF4}"/>
    <cellStyle name="Total 2 2 3 2 4" xfId="22963" xr:uid="{AD5B69D3-6131-4985-88B1-074200894D8E}"/>
    <cellStyle name="Total 2 2 3 2 5" xfId="23133" xr:uid="{B9931A13-6ED5-4729-8999-4CFBDC8B47EE}"/>
    <cellStyle name="Total 2 2 3 3" xfId="20853" xr:uid="{00000000-0005-0000-0000-000004530000}"/>
    <cellStyle name="Total 2 2 3 3 2" xfId="21016" xr:uid="{00000000-0005-0000-0000-000005530000}"/>
    <cellStyle name="Total 2 2 3 3 2 2" xfId="21917" xr:uid="{1F92AE26-5A0C-4305-853F-32639C46DB81}"/>
    <cellStyle name="Total 2 2 3 3 3" xfId="21808" xr:uid="{C8D917CD-E587-4C07-AA63-95E5C3A7207D}"/>
    <cellStyle name="Total 2 2 3 3 4" xfId="22964" xr:uid="{51D9756C-D2E7-4DD6-9E52-688D620D741D}"/>
    <cellStyle name="Total 2 2 3 3 5" xfId="23134" xr:uid="{0E3068A3-F65D-45A7-9C89-4C14E28C9E48}"/>
    <cellStyle name="Total 2 2 3 4" xfId="20854" xr:uid="{00000000-0005-0000-0000-000006530000}"/>
    <cellStyle name="Total 2 2 3 4 2" xfId="21015" xr:uid="{00000000-0005-0000-0000-000007530000}"/>
    <cellStyle name="Total 2 2 3 4 2 2" xfId="21916" xr:uid="{2ABCAB16-1775-4C5A-A21E-01557A23C917}"/>
    <cellStyle name="Total 2 2 3 4 3" xfId="21809" xr:uid="{250D02C6-CF80-478C-8B5C-B13A340A34B5}"/>
    <cellStyle name="Total 2 2 3 4 4" xfId="22965" xr:uid="{7C640E7A-E764-4AC4-A5E0-8091E9D444EE}"/>
    <cellStyle name="Total 2 2 3 4 5" xfId="23135" xr:uid="{CDEEB751-C665-4262-A480-BC8E2A29547B}"/>
    <cellStyle name="Total 2 2 3 5" xfId="21018" xr:uid="{00000000-0005-0000-0000-000008530000}"/>
    <cellStyle name="Total 2 2 3 5 2" xfId="21919" xr:uid="{FF09AF4D-DD90-4853-9741-11574B9AB2FA}"/>
    <cellStyle name="Total 2 2 3 6" xfId="21806" xr:uid="{FCC06EBF-E503-4544-92C5-2A595A9193F8}"/>
    <cellStyle name="Total 2 2 3 7" xfId="22962" xr:uid="{24F51DA1-CCD4-45AB-B2E1-550D6013E831}"/>
    <cellStyle name="Total 2 2 3 8" xfId="23132" xr:uid="{03E8EE6B-D2E5-4FE1-B4A0-F3E0CD18050D}"/>
    <cellStyle name="Total 2 2 4" xfId="20855" xr:uid="{00000000-0005-0000-0000-000009530000}"/>
    <cellStyle name="Total 2 2 4 2" xfId="20856" xr:uid="{00000000-0005-0000-0000-00000A530000}"/>
    <cellStyle name="Total 2 2 4 2 2" xfId="21013" xr:uid="{00000000-0005-0000-0000-00000B530000}"/>
    <cellStyle name="Total 2 2 4 2 2 2" xfId="21914" xr:uid="{6E7A3DDE-65F3-4BC0-B93B-BD89F96FF0AA}"/>
    <cellStyle name="Total 2 2 4 2 3" xfId="21811" xr:uid="{17E8D835-3AAE-4344-8680-02B99E6C99F5}"/>
    <cellStyle name="Total 2 2 4 2 4" xfId="22967" xr:uid="{FC0ABCE4-E322-408D-A0CC-69B2AF93513D}"/>
    <cellStyle name="Total 2 2 4 2 5" xfId="23137" xr:uid="{2C04A30E-16B9-4D5A-9762-B09C1C839419}"/>
    <cellStyle name="Total 2 2 4 3" xfId="20857" xr:uid="{00000000-0005-0000-0000-00000C530000}"/>
    <cellStyle name="Total 2 2 4 3 2" xfId="21012" xr:uid="{00000000-0005-0000-0000-00000D530000}"/>
    <cellStyle name="Total 2 2 4 3 2 2" xfId="21913" xr:uid="{58F2B467-3379-45AD-9929-3F33B9C85460}"/>
    <cellStyle name="Total 2 2 4 3 3" xfId="21812" xr:uid="{A8BA3BB8-3393-4FBA-BC42-F0142E05C188}"/>
    <cellStyle name="Total 2 2 4 3 4" xfId="22968" xr:uid="{A72CFA8C-E8FA-4D6B-880B-6DC26CA7308F}"/>
    <cellStyle name="Total 2 2 4 3 5" xfId="23138" xr:uid="{4987948B-DFD6-43B0-84D6-BC0EBF13B2F1}"/>
    <cellStyle name="Total 2 2 4 4" xfId="20858" xr:uid="{00000000-0005-0000-0000-00000E530000}"/>
    <cellStyle name="Total 2 2 4 4 2" xfId="21011" xr:uid="{00000000-0005-0000-0000-00000F530000}"/>
    <cellStyle name="Total 2 2 4 4 2 2" xfId="21912" xr:uid="{8B89358D-0BC9-43CB-B9B3-4AB32E24C86B}"/>
    <cellStyle name="Total 2 2 4 4 3" xfId="21813" xr:uid="{BC40B008-22B9-461F-96D4-C2349B1F7396}"/>
    <cellStyle name="Total 2 2 4 4 4" xfId="22969" xr:uid="{4DA5B835-F985-4C4E-B4D6-F7CAA4A5A9FF}"/>
    <cellStyle name="Total 2 2 4 4 5" xfId="23139" xr:uid="{B2004634-16E4-4211-B49B-0C737940968A}"/>
    <cellStyle name="Total 2 2 4 5" xfId="21014" xr:uid="{00000000-0005-0000-0000-000010530000}"/>
    <cellStyle name="Total 2 2 4 5 2" xfId="21915" xr:uid="{23946ECF-8A4C-4FEE-B8BB-5C8815C16401}"/>
    <cellStyle name="Total 2 2 4 6" xfId="21810" xr:uid="{EB0597CD-596A-4AED-B1FC-C30E44F5A3C5}"/>
    <cellStyle name="Total 2 2 4 7" xfId="22966" xr:uid="{89BFFC83-18D1-451C-9746-DEF01633C3BD}"/>
    <cellStyle name="Total 2 2 4 8" xfId="23136" xr:uid="{69612A48-D1E8-4184-A593-5F94E5F676CF}"/>
    <cellStyle name="Total 2 2 5" xfId="20859" xr:uid="{00000000-0005-0000-0000-000011530000}"/>
    <cellStyle name="Total 2 2 5 2" xfId="20860" xr:uid="{00000000-0005-0000-0000-000012530000}"/>
    <cellStyle name="Total 2 2 5 2 2" xfId="21009" xr:uid="{00000000-0005-0000-0000-000013530000}"/>
    <cellStyle name="Total 2 2 5 2 2 2" xfId="21910" xr:uid="{7A864CAB-8EE4-4379-B0F8-400E367F3579}"/>
    <cellStyle name="Total 2 2 5 2 3" xfId="21815" xr:uid="{9C38848B-BDA9-440E-9203-85C5D7B94B4D}"/>
    <cellStyle name="Total 2 2 5 2 4" xfId="22971" xr:uid="{1C11662C-A26F-486D-BA4C-A204AEAEC1CA}"/>
    <cellStyle name="Total 2 2 5 2 5" xfId="23141" xr:uid="{0E8C6FFE-055B-4EA4-8CA5-8EA65575D1E2}"/>
    <cellStyle name="Total 2 2 5 3" xfId="20861" xr:uid="{00000000-0005-0000-0000-000014530000}"/>
    <cellStyle name="Total 2 2 5 3 2" xfId="21008" xr:uid="{00000000-0005-0000-0000-000015530000}"/>
    <cellStyle name="Total 2 2 5 3 2 2" xfId="21909" xr:uid="{80564F6E-5F16-4FDA-B3E5-525FE878F990}"/>
    <cellStyle name="Total 2 2 5 3 3" xfId="21816" xr:uid="{5DB83BAF-2B8D-42B4-80DE-63731AAA972D}"/>
    <cellStyle name="Total 2 2 5 3 4" xfId="22972" xr:uid="{5D20F6C2-AD01-4EC0-AA8C-AEB702304A2B}"/>
    <cellStyle name="Total 2 2 5 3 5" xfId="23142" xr:uid="{C9287F83-A113-47A4-BA4E-4C5C05936184}"/>
    <cellStyle name="Total 2 2 5 4" xfId="20862" xr:uid="{00000000-0005-0000-0000-000016530000}"/>
    <cellStyle name="Total 2 2 5 4 2" xfId="21007" xr:uid="{00000000-0005-0000-0000-000017530000}"/>
    <cellStyle name="Total 2 2 5 4 2 2" xfId="21908" xr:uid="{8D2CA595-F51C-402A-AFB5-F3213646FCDD}"/>
    <cellStyle name="Total 2 2 5 4 3" xfId="21817" xr:uid="{53154B9E-AA78-4BFA-8E37-DB7E19AAA0E9}"/>
    <cellStyle name="Total 2 2 5 4 4" xfId="22973" xr:uid="{2CA9C8B1-1A5E-4E3A-A0A6-01DB76E28FA7}"/>
    <cellStyle name="Total 2 2 5 4 5" xfId="23143" xr:uid="{A8B4E7FF-5D49-47A6-8B70-C53FEE75C242}"/>
    <cellStyle name="Total 2 2 5 5" xfId="21010" xr:uid="{00000000-0005-0000-0000-000018530000}"/>
    <cellStyle name="Total 2 2 5 5 2" xfId="21911" xr:uid="{D74F022B-47B5-4389-9AE0-D955B5A1663D}"/>
    <cellStyle name="Total 2 2 5 6" xfId="21814" xr:uid="{5EEC32CD-AB52-46C5-A8A1-3B97FE5CFF17}"/>
    <cellStyle name="Total 2 2 5 7" xfId="22970" xr:uid="{23E0FACE-6932-483F-A3A2-57CD0E4054EF}"/>
    <cellStyle name="Total 2 2 5 8" xfId="23140" xr:uid="{7383E148-9ABF-48C6-9B45-71A4C331A893}"/>
    <cellStyle name="Total 2 2 6" xfId="20863" xr:uid="{00000000-0005-0000-0000-000019530000}"/>
    <cellStyle name="Total 2 2 6 2" xfId="21006" xr:uid="{00000000-0005-0000-0000-00001A530000}"/>
    <cellStyle name="Total 2 2 6 2 2" xfId="21907" xr:uid="{A73B0A1B-626C-4152-86A6-C58634177B83}"/>
    <cellStyle name="Total 2 2 6 3" xfId="21818" xr:uid="{AADD3A67-A8DD-4119-A5AD-CA472C6344B9}"/>
    <cellStyle name="Total 2 2 6 4" xfId="22974" xr:uid="{BEB685AB-C62C-46EE-A8A9-6E071B342825}"/>
    <cellStyle name="Total 2 2 6 5" xfId="23144" xr:uid="{07FAD4A3-AF47-46AD-8F04-DE7E04A060DE}"/>
    <cellStyle name="Total 2 2 7" xfId="20864" xr:uid="{00000000-0005-0000-0000-00001B530000}"/>
    <cellStyle name="Total 2 2 7 2" xfId="21005" xr:uid="{00000000-0005-0000-0000-00001C530000}"/>
    <cellStyle name="Total 2 2 7 2 2" xfId="21906" xr:uid="{DB9787E4-4CBD-4D96-B700-BB3E8A9FFC1D}"/>
    <cellStyle name="Total 2 2 7 3" xfId="21819" xr:uid="{4583FEFE-6C3F-4EC6-BDFB-AC4163975916}"/>
    <cellStyle name="Total 2 2 7 4" xfId="22975" xr:uid="{75C8E31E-6C05-42BE-B446-FE1BB6C2EB23}"/>
    <cellStyle name="Total 2 2 7 5" xfId="23145" xr:uid="{F1B0019B-0085-49A6-AA16-53CD735D50C4}"/>
    <cellStyle name="Total 2 2 8" xfId="20865" xr:uid="{00000000-0005-0000-0000-00001D530000}"/>
    <cellStyle name="Total 2 2 8 2" xfId="21004" xr:uid="{00000000-0005-0000-0000-00001E530000}"/>
    <cellStyle name="Total 2 2 8 2 2" xfId="21905" xr:uid="{7ADA76B2-88AF-474B-9BF8-54A4767CEB10}"/>
    <cellStyle name="Total 2 2 8 3" xfId="21820" xr:uid="{F89D9907-A07B-4EFD-9FCE-51798C6CA119}"/>
    <cellStyle name="Total 2 2 8 4" xfId="22976" xr:uid="{068A029B-C88D-442D-AC9A-E2B257D69F50}"/>
    <cellStyle name="Total 2 2 8 5" xfId="23146" xr:uid="{A19C3BF3-6171-422E-8D77-5A766D35C472}"/>
    <cellStyle name="Total 2 2 9" xfId="20866" xr:uid="{00000000-0005-0000-0000-00001F530000}"/>
    <cellStyle name="Total 2 2 9 2" xfId="21003" xr:uid="{00000000-0005-0000-0000-000020530000}"/>
    <cellStyle name="Total 2 2 9 2 2" xfId="21904" xr:uid="{0E809A4F-A7C6-4625-8300-43126812B5CD}"/>
    <cellStyle name="Total 2 2 9 3" xfId="21821" xr:uid="{80A95BD9-247F-426E-BC70-8B417306947C}"/>
    <cellStyle name="Total 2 2 9 4" xfId="22977" xr:uid="{E6BDD2E7-2776-446D-8DD6-0D7D865DF8DA}"/>
    <cellStyle name="Total 2 2 9 5" xfId="23147" xr:uid="{8742A333-3821-4E61-B564-5B5A365C8CE5}"/>
    <cellStyle name="Total 2 20" xfId="23105" xr:uid="{09E5602F-3FEC-4C63-9E19-A3DDCF1A0747}"/>
    <cellStyle name="Total 2 3" xfId="20867" xr:uid="{00000000-0005-0000-0000-000021530000}"/>
    <cellStyle name="Total 2 3 2" xfId="20868" xr:uid="{00000000-0005-0000-0000-000022530000}"/>
    <cellStyle name="Total 2 3 2 2" xfId="21002" xr:uid="{00000000-0005-0000-0000-000023530000}"/>
    <cellStyle name="Total 2 3 2 2 2" xfId="21903" xr:uid="{29F7FE77-EBC3-42B4-BA49-95C3A7ED803B}"/>
    <cellStyle name="Total 2 3 2 3" xfId="21822" xr:uid="{231D9AD1-9FFD-4E27-837F-1198B8F76804}"/>
    <cellStyle name="Total 2 3 2 4" xfId="22978" xr:uid="{C264FA87-7BA3-4FCD-B09E-B5CB132FADBA}"/>
    <cellStyle name="Total 2 3 2 5" xfId="23148" xr:uid="{A3487479-80CD-4355-AE8B-4B432F7488AE}"/>
    <cellStyle name="Total 2 3 3" xfId="20869" xr:uid="{00000000-0005-0000-0000-000024530000}"/>
    <cellStyle name="Total 2 3 3 2" xfId="21001" xr:uid="{00000000-0005-0000-0000-000025530000}"/>
    <cellStyle name="Total 2 3 3 2 2" xfId="21902" xr:uid="{96561C46-CB60-4513-BB2B-60976FFF2E75}"/>
    <cellStyle name="Total 2 3 3 3" xfId="21823" xr:uid="{3D8A9DB2-B0F9-4D1A-829E-96097DFE0CFF}"/>
    <cellStyle name="Total 2 3 3 4" xfId="22979" xr:uid="{E2714C63-D576-4753-9221-4A96F5181505}"/>
    <cellStyle name="Total 2 3 3 5" xfId="23149" xr:uid="{73246701-66B2-4063-8CCF-413859CE561C}"/>
    <cellStyle name="Total 2 3 4" xfId="20870" xr:uid="{00000000-0005-0000-0000-000026530000}"/>
    <cellStyle name="Total 2 3 4 2" xfId="21000" xr:uid="{00000000-0005-0000-0000-000027530000}"/>
    <cellStyle name="Total 2 3 4 2 2" xfId="21901" xr:uid="{285BEC1D-D7CD-4501-9A6A-6EEC94F7028C}"/>
    <cellStyle name="Total 2 3 4 3" xfId="21824" xr:uid="{0BCD2BCB-3685-4598-B3BC-60DEBA5C09E9}"/>
    <cellStyle name="Total 2 3 4 4" xfId="22980" xr:uid="{BD02027F-D94D-466B-97B4-13BC4EE682D5}"/>
    <cellStyle name="Total 2 3 4 5" xfId="23150" xr:uid="{D768F59B-3890-4BA8-AECD-565AC8EC809B}"/>
    <cellStyle name="Total 2 3 5" xfId="20871" xr:uid="{00000000-0005-0000-0000-000028530000}"/>
    <cellStyle name="Total 2 3 5 2" xfId="20999" xr:uid="{00000000-0005-0000-0000-000029530000}"/>
    <cellStyle name="Total 2 3 5 2 2" xfId="21900" xr:uid="{05AA8337-6355-490F-9D93-3077E2A26B70}"/>
    <cellStyle name="Total 2 3 5 3" xfId="21825" xr:uid="{9263FB58-8D6C-4AC8-9243-B35966BF777E}"/>
    <cellStyle name="Total 2 3 5 4" xfId="22981" xr:uid="{9ED37ADC-002C-4003-B599-2C4AD21AA872}"/>
    <cellStyle name="Total 2 3 5 5" xfId="23151" xr:uid="{94CAFB04-57FE-4218-AE58-A239F9905D52}"/>
    <cellStyle name="Total 2 4" xfId="20872" xr:uid="{00000000-0005-0000-0000-00002A530000}"/>
    <cellStyle name="Total 2 4 2" xfId="20873" xr:uid="{00000000-0005-0000-0000-00002B530000}"/>
    <cellStyle name="Total 2 4 2 2" xfId="20998" xr:uid="{00000000-0005-0000-0000-00002C530000}"/>
    <cellStyle name="Total 2 4 2 2 2" xfId="21899" xr:uid="{4ADAF38D-7DA1-42D2-A009-38D95FBF15EA}"/>
    <cellStyle name="Total 2 4 2 3" xfId="21826" xr:uid="{B0183E50-BFEF-430F-B2DF-47CD39819B96}"/>
    <cellStyle name="Total 2 4 2 4" xfId="22982" xr:uid="{2705DFC3-CEA3-4B96-882E-0C2A1AD826D3}"/>
    <cellStyle name="Total 2 4 2 5" xfId="23152" xr:uid="{1907329F-8EA7-411E-BD92-104CB2ED8F29}"/>
    <cellStyle name="Total 2 4 3" xfId="20874" xr:uid="{00000000-0005-0000-0000-00002D530000}"/>
    <cellStyle name="Total 2 4 3 2" xfId="20997" xr:uid="{00000000-0005-0000-0000-00002E530000}"/>
    <cellStyle name="Total 2 4 3 2 2" xfId="21898" xr:uid="{68CD2EB0-60B4-46F5-85D6-4518B6589E65}"/>
    <cellStyle name="Total 2 4 3 3" xfId="21827" xr:uid="{919340F6-5FD2-4A77-B2A0-79E1C5A5F9F0}"/>
    <cellStyle name="Total 2 4 3 4" xfId="22983" xr:uid="{C237225B-992E-4018-B04E-448904ACB9F5}"/>
    <cellStyle name="Total 2 4 3 5" xfId="23153" xr:uid="{F0E2283C-0810-4515-98C3-3A953A5CDEA7}"/>
    <cellStyle name="Total 2 4 4" xfId="20875" xr:uid="{00000000-0005-0000-0000-00002F530000}"/>
    <cellStyle name="Total 2 4 4 2" xfId="20996" xr:uid="{00000000-0005-0000-0000-000030530000}"/>
    <cellStyle name="Total 2 4 4 2 2" xfId="21897" xr:uid="{67262645-00DD-449E-9045-2D8B2069FE82}"/>
    <cellStyle name="Total 2 4 4 3" xfId="21828" xr:uid="{29BFC1FA-0CFB-4BAF-843C-170E3B22C4CC}"/>
    <cellStyle name="Total 2 4 4 4" xfId="22984" xr:uid="{6E4B33D9-4AEB-45C3-B132-9CB3C065573C}"/>
    <cellStyle name="Total 2 4 4 5" xfId="23154" xr:uid="{DECA2C4D-69D3-49A3-96C6-E35BA6316559}"/>
    <cellStyle name="Total 2 4 5" xfId="20876" xr:uid="{00000000-0005-0000-0000-000031530000}"/>
    <cellStyle name="Total 2 4 5 2" xfId="20995" xr:uid="{00000000-0005-0000-0000-000032530000}"/>
    <cellStyle name="Total 2 4 5 2 2" xfId="21896" xr:uid="{08E37490-5794-45F7-9220-C5EF75A94E5C}"/>
    <cellStyle name="Total 2 4 5 3" xfId="21829" xr:uid="{E8B7D9F9-5AF5-411D-AB1E-32CD569FF5CB}"/>
    <cellStyle name="Total 2 4 5 4" xfId="22985" xr:uid="{9962EEE6-3F0B-4241-8AC1-46A1A21171D2}"/>
    <cellStyle name="Total 2 4 5 5" xfId="23155" xr:uid="{9FC6BE09-5BC2-47C1-9C63-353740E5CEC0}"/>
    <cellStyle name="Total 2 5" xfId="20877" xr:uid="{00000000-0005-0000-0000-000033530000}"/>
    <cellStyle name="Total 2 5 2" xfId="20878" xr:uid="{00000000-0005-0000-0000-000034530000}"/>
    <cellStyle name="Total 2 5 2 2" xfId="20994" xr:uid="{00000000-0005-0000-0000-000035530000}"/>
    <cellStyle name="Total 2 5 2 2 2" xfId="21895" xr:uid="{7076ECC1-3D96-4EE8-B525-3A3073C3E714}"/>
    <cellStyle name="Total 2 5 2 3" xfId="21830" xr:uid="{8B88D0A4-854F-4642-B10D-6155405231F0}"/>
    <cellStyle name="Total 2 5 2 4" xfId="22986" xr:uid="{A987AC7E-BA77-42E7-8662-490BCB2B9459}"/>
    <cellStyle name="Total 2 5 2 5" xfId="23156" xr:uid="{910107C3-B4F7-4837-9F8F-E5097461D297}"/>
    <cellStyle name="Total 2 5 3" xfId="20879" xr:uid="{00000000-0005-0000-0000-000036530000}"/>
    <cellStyle name="Total 2 5 3 2" xfId="20993" xr:uid="{00000000-0005-0000-0000-000037530000}"/>
    <cellStyle name="Total 2 5 3 2 2" xfId="21894" xr:uid="{7C6F39E9-FE21-4AAF-9586-810D1ECD5F28}"/>
    <cellStyle name="Total 2 5 3 3" xfId="21831" xr:uid="{8AE28E50-C1E4-4AE8-A88E-01DE775D1AC6}"/>
    <cellStyle name="Total 2 5 3 4" xfId="22987" xr:uid="{3A2C16CC-3109-483F-BAA5-D0BC0A4176BF}"/>
    <cellStyle name="Total 2 5 3 5" xfId="23157" xr:uid="{09181C04-37ED-4C2C-B27F-1A7A1B59C6E5}"/>
    <cellStyle name="Total 2 5 4" xfId="20880" xr:uid="{00000000-0005-0000-0000-000038530000}"/>
    <cellStyle name="Total 2 5 4 2" xfId="20992" xr:uid="{00000000-0005-0000-0000-000039530000}"/>
    <cellStyle name="Total 2 5 4 2 2" xfId="21893" xr:uid="{763EC1D0-82DF-4EBF-9AEC-A3AB15B6BF82}"/>
    <cellStyle name="Total 2 5 4 3" xfId="21832" xr:uid="{918F403F-F7D0-42B1-B18B-9445DB5FFB59}"/>
    <cellStyle name="Total 2 5 4 4" xfId="22988" xr:uid="{9C88C29D-7E2C-4B0F-9389-5FD5A529B1EF}"/>
    <cellStyle name="Total 2 5 4 5" xfId="23158" xr:uid="{7990D7C5-60B7-46BA-9DE7-69FBFD3862BA}"/>
    <cellStyle name="Total 2 5 5" xfId="20881" xr:uid="{00000000-0005-0000-0000-00003A530000}"/>
    <cellStyle name="Total 2 5 5 2" xfId="20991" xr:uid="{00000000-0005-0000-0000-00003B530000}"/>
    <cellStyle name="Total 2 5 5 2 2" xfId="21892" xr:uid="{47931376-F531-4D71-BB02-1D35C29A3EA5}"/>
    <cellStyle name="Total 2 5 5 3" xfId="21833" xr:uid="{D0E1BA6B-FBCA-42BC-9BCA-14E08598F2EB}"/>
    <cellStyle name="Total 2 5 5 4" xfId="22989" xr:uid="{F0573125-FEC3-4266-BAB5-C487F0AF923C}"/>
    <cellStyle name="Total 2 5 5 5" xfId="23159" xr:uid="{6A66AD83-3206-44D4-A42F-470717C72273}"/>
    <cellStyle name="Total 2 6" xfId="20882" xr:uid="{00000000-0005-0000-0000-00003C530000}"/>
    <cellStyle name="Total 2 6 2" xfId="20883" xr:uid="{00000000-0005-0000-0000-00003D530000}"/>
    <cellStyle name="Total 2 6 2 2" xfId="20990" xr:uid="{00000000-0005-0000-0000-00003E530000}"/>
    <cellStyle name="Total 2 6 2 2 2" xfId="21891" xr:uid="{9F45A51E-8A32-4333-9573-DA77DEAD0CCE}"/>
    <cellStyle name="Total 2 6 2 3" xfId="21834" xr:uid="{D3BD595E-1D47-4E5B-A6DE-36F7373D1380}"/>
    <cellStyle name="Total 2 6 2 4" xfId="22990" xr:uid="{C98340F8-3509-4E6D-AB0B-6638CB66F911}"/>
    <cellStyle name="Total 2 6 2 5" xfId="23160" xr:uid="{F91D59AA-B9AE-4C06-9440-3A2EF0395604}"/>
    <cellStyle name="Total 2 6 3" xfId="20884" xr:uid="{00000000-0005-0000-0000-00003F530000}"/>
    <cellStyle name="Total 2 6 3 2" xfId="20989" xr:uid="{00000000-0005-0000-0000-000040530000}"/>
    <cellStyle name="Total 2 6 3 2 2" xfId="21890" xr:uid="{99B904E0-B4B6-43B7-948A-838CCB27EA14}"/>
    <cellStyle name="Total 2 6 3 3" xfId="21835" xr:uid="{D2CA4360-A86E-4CB5-BB1D-19F913B2B02B}"/>
    <cellStyle name="Total 2 6 3 4" xfId="22991" xr:uid="{6D68D28D-1064-485D-BD5E-271282F17BC5}"/>
    <cellStyle name="Total 2 6 3 5" xfId="23161" xr:uid="{B7BAA757-7DC0-43BC-95BF-352211197157}"/>
    <cellStyle name="Total 2 6 4" xfId="20885" xr:uid="{00000000-0005-0000-0000-000041530000}"/>
    <cellStyle name="Total 2 6 4 2" xfId="20988" xr:uid="{00000000-0005-0000-0000-000042530000}"/>
    <cellStyle name="Total 2 6 4 2 2" xfId="21889" xr:uid="{51112380-34F4-4A06-9767-FD9B4B05E156}"/>
    <cellStyle name="Total 2 6 4 3" xfId="21836" xr:uid="{F49B55B6-7B71-4FFD-B598-8CC6809EC32A}"/>
    <cellStyle name="Total 2 6 4 4" xfId="22992" xr:uid="{A6DF928D-093A-45B7-A076-520156BE9CD6}"/>
    <cellStyle name="Total 2 6 4 5" xfId="23162" xr:uid="{50DE11C9-2B41-4A37-82D1-D1C7245886B5}"/>
    <cellStyle name="Total 2 6 5" xfId="20886" xr:uid="{00000000-0005-0000-0000-000043530000}"/>
    <cellStyle name="Total 2 6 5 2" xfId="20987" xr:uid="{00000000-0005-0000-0000-000044530000}"/>
    <cellStyle name="Total 2 6 5 2 2" xfId="21888" xr:uid="{D824DF19-1D27-49D0-8F61-CBF73A65525B}"/>
    <cellStyle name="Total 2 6 5 3" xfId="21837" xr:uid="{5685DE1B-698D-4E45-9B02-57B1E1D6237C}"/>
    <cellStyle name="Total 2 6 5 4" xfId="22993" xr:uid="{CEED5D1C-2F2F-48F3-A466-0B3D92FEC8FA}"/>
    <cellStyle name="Total 2 6 5 5" xfId="23163" xr:uid="{7BAF31EC-5BDC-4E45-BB1C-5338A1A9BC15}"/>
    <cellStyle name="Total 2 7" xfId="20887" xr:uid="{00000000-0005-0000-0000-000045530000}"/>
    <cellStyle name="Total 2 7 2" xfId="20888" xr:uid="{00000000-0005-0000-0000-000046530000}"/>
    <cellStyle name="Total 2 7 2 2" xfId="20986" xr:uid="{00000000-0005-0000-0000-000047530000}"/>
    <cellStyle name="Total 2 7 2 2 2" xfId="21887" xr:uid="{1C2D0ABF-60DE-4A1C-B746-32E19D58486C}"/>
    <cellStyle name="Total 2 7 2 3" xfId="21838" xr:uid="{6443EE28-7FE2-4197-BD18-B97F27265AAC}"/>
    <cellStyle name="Total 2 7 2 4" xfId="22994" xr:uid="{B1B6D415-B1B5-4FE2-B0D9-4EAE8450B4B7}"/>
    <cellStyle name="Total 2 7 2 5" xfId="23164" xr:uid="{D8D4F8FF-244A-4FEF-9BF4-FAC3D2815D6A}"/>
    <cellStyle name="Total 2 7 3" xfId="20889" xr:uid="{00000000-0005-0000-0000-000048530000}"/>
    <cellStyle name="Total 2 7 3 2" xfId="20985" xr:uid="{00000000-0005-0000-0000-000049530000}"/>
    <cellStyle name="Total 2 7 3 2 2" xfId="21886" xr:uid="{5E147FD3-C218-4ED3-BA1F-D50F84612DEF}"/>
    <cellStyle name="Total 2 7 3 3" xfId="21839" xr:uid="{25080FDA-2BF9-4F12-9572-E8FCB21DBB1C}"/>
    <cellStyle name="Total 2 7 3 4" xfId="22995" xr:uid="{1598982F-1524-42DD-A359-BE27A17D212E}"/>
    <cellStyle name="Total 2 7 3 5" xfId="23165" xr:uid="{6AC7723C-228C-4F2C-98F2-366CE6EFADAB}"/>
    <cellStyle name="Total 2 7 4" xfId="20890" xr:uid="{00000000-0005-0000-0000-00004A530000}"/>
    <cellStyle name="Total 2 7 4 2" xfId="20984" xr:uid="{00000000-0005-0000-0000-00004B530000}"/>
    <cellStyle name="Total 2 7 4 2 2" xfId="21885" xr:uid="{13CE87A7-E7B2-45CA-8095-C1B950E5B817}"/>
    <cellStyle name="Total 2 7 4 3" xfId="21840" xr:uid="{C61D8798-3A40-434C-9302-169FABC5B076}"/>
    <cellStyle name="Total 2 7 4 4" xfId="22996" xr:uid="{F80A85B1-FF62-4842-A9D9-47E0D46BEFBC}"/>
    <cellStyle name="Total 2 7 4 5" xfId="23166" xr:uid="{6A4563B4-2A56-4FAD-BF93-7441B06F6722}"/>
    <cellStyle name="Total 2 7 5" xfId="20891" xr:uid="{00000000-0005-0000-0000-00004C530000}"/>
    <cellStyle name="Total 2 7 5 2" xfId="20983" xr:uid="{00000000-0005-0000-0000-00004D530000}"/>
    <cellStyle name="Total 2 7 5 2 2" xfId="21884" xr:uid="{4190C8C1-5E0C-4D1F-B694-7169EAD299B8}"/>
    <cellStyle name="Total 2 7 5 3" xfId="21841" xr:uid="{29041CDC-3DB3-47C8-86BB-1C6B80A36DD8}"/>
    <cellStyle name="Total 2 7 5 4" xfId="22997" xr:uid="{9D4C4A09-2867-409E-8425-9EFC028DA6B7}"/>
    <cellStyle name="Total 2 7 5 5" xfId="23167" xr:uid="{10234A30-D8C9-45BE-9F8A-99AB3C7D49F4}"/>
    <cellStyle name="Total 2 8" xfId="20892" xr:uid="{00000000-0005-0000-0000-00004E530000}"/>
    <cellStyle name="Total 2 8 2" xfId="20893" xr:uid="{00000000-0005-0000-0000-00004F530000}"/>
    <cellStyle name="Total 2 8 2 2" xfId="20982" xr:uid="{00000000-0005-0000-0000-000050530000}"/>
    <cellStyle name="Total 2 8 2 2 2" xfId="21883" xr:uid="{97E433E7-A82B-4ECD-A43D-9B5340EE157B}"/>
    <cellStyle name="Total 2 8 2 3" xfId="21842" xr:uid="{1FF6DCAE-E4B8-4D9D-A2B8-8372DB9484EA}"/>
    <cellStyle name="Total 2 8 2 4" xfId="22998" xr:uid="{D8CA1318-B6A1-4753-B911-B4DCA810A833}"/>
    <cellStyle name="Total 2 8 2 5" xfId="23168" xr:uid="{67470975-FD4A-46C5-8C40-D88A1D76A70C}"/>
    <cellStyle name="Total 2 8 3" xfId="20894" xr:uid="{00000000-0005-0000-0000-000051530000}"/>
    <cellStyle name="Total 2 8 3 2" xfId="20981" xr:uid="{00000000-0005-0000-0000-000052530000}"/>
    <cellStyle name="Total 2 8 3 2 2" xfId="21882" xr:uid="{1FB521B3-2282-4490-9110-53415F905CE3}"/>
    <cellStyle name="Total 2 8 3 3" xfId="21843" xr:uid="{DF98BB72-3345-422D-B221-01465D7887E9}"/>
    <cellStyle name="Total 2 8 3 4" xfId="22999" xr:uid="{0B4A3833-1255-4B39-A64B-6A774751D8CF}"/>
    <cellStyle name="Total 2 8 3 5" xfId="23169" xr:uid="{49429E3A-186D-4473-A2E2-AC46B9B4BE13}"/>
    <cellStyle name="Total 2 8 4" xfId="20895" xr:uid="{00000000-0005-0000-0000-000053530000}"/>
    <cellStyle name="Total 2 8 4 2" xfId="20980" xr:uid="{00000000-0005-0000-0000-000054530000}"/>
    <cellStyle name="Total 2 8 4 2 2" xfId="21881" xr:uid="{FA712824-800A-4EF6-A8DF-250D968C0855}"/>
    <cellStyle name="Total 2 8 4 3" xfId="21844" xr:uid="{F13FFEDC-2CEF-47C7-A4AC-E4440DFB81A9}"/>
    <cellStyle name="Total 2 8 4 4" xfId="23000" xr:uid="{DB160FFC-ED07-48DC-A716-F205A1BFC35C}"/>
    <cellStyle name="Total 2 8 4 5" xfId="23170" xr:uid="{26539376-762D-4BD0-9209-641AB91EC185}"/>
    <cellStyle name="Total 2 8 5" xfId="20896" xr:uid="{00000000-0005-0000-0000-000055530000}"/>
    <cellStyle name="Total 2 8 5 2" xfId="20979" xr:uid="{00000000-0005-0000-0000-000056530000}"/>
    <cellStyle name="Total 2 8 5 2 2" xfId="21880" xr:uid="{C19D8FF4-251F-42A7-B679-45F59DF4BBC2}"/>
    <cellStyle name="Total 2 8 5 3" xfId="21845" xr:uid="{BD0465AE-1DE7-47D9-B905-5EF852187B90}"/>
    <cellStyle name="Total 2 8 5 4" xfId="23001" xr:uid="{B4936AFE-F21A-4324-92BD-40FB0EA9621A}"/>
    <cellStyle name="Total 2 8 5 5" xfId="23171" xr:uid="{5D3C02B9-6034-42AD-B7DC-04268FA84A36}"/>
    <cellStyle name="Total 2 9" xfId="20897" xr:uid="{00000000-0005-0000-0000-000057530000}"/>
    <cellStyle name="Total 2 9 2" xfId="20898" xr:uid="{00000000-0005-0000-0000-000058530000}"/>
    <cellStyle name="Total 2 9 2 2" xfId="20978" xr:uid="{00000000-0005-0000-0000-000059530000}"/>
    <cellStyle name="Total 2 9 2 2 2" xfId="21879" xr:uid="{4402AF66-FE10-4A86-99EF-3EBFEB73B637}"/>
    <cellStyle name="Total 2 9 2 3" xfId="21846" xr:uid="{F52495CB-0010-415D-840A-955361F94B7B}"/>
    <cellStyle name="Total 2 9 2 4" xfId="23002" xr:uid="{9FFD94EF-B4D4-4103-9EAA-4D1F0428B4BE}"/>
    <cellStyle name="Total 2 9 2 5" xfId="23172" xr:uid="{6F575D40-92EB-4475-A31A-1B3554C14F92}"/>
    <cellStyle name="Total 2 9 3" xfId="20899" xr:uid="{00000000-0005-0000-0000-00005A530000}"/>
    <cellStyle name="Total 2 9 3 2" xfId="20977" xr:uid="{00000000-0005-0000-0000-00005B530000}"/>
    <cellStyle name="Total 2 9 3 2 2" xfId="21878" xr:uid="{985311B4-237F-4F56-B0D8-7473C4A37B0D}"/>
    <cellStyle name="Total 2 9 3 3" xfId="21847" xr:uid="{89E8765B-C644-409D-8F5F-C26FE0BA04D9}"/>
    <cellStyle name="Total 2 9 3 4" xfId="23003" xr:uid="{57B887E3-3DC4-43AD-8737-A1994306770A}"/>
    <cellStyle name="Total 2 9 3 5" xfId="23173" xr:uid="{35D664E7-A4E1-4714-B075-C6F03D09C1DE}"/>
    <cellStyle name="Total 2 9 4" xfId="20900" xr:uid="{00000000-0005-0000-0000-00005C530000}"/>
    <cellStyle name="Total 2 9 4 2" xfId="20976" xr:uid="{00000000-0005-0000-0000-00005D530000}"/>
    <cellStyle name="Total 2 9 4 2 2" xfId="21877" xr:uid="{954073C6-939C-46DF-B032-0941CD8CB628}"/>
    <cellStyle name="Total 2 9 4 3" xfId="21848" xr:uid="{92019941-4422-4616-B866-4B079D54832F}"/>
    <cellStyle name="Total 2 9 4 4" xfId="23004" xr:uid="{1F38E65E-7445-4EE8-A5F8-4F80107D17CA}"/>
    <cellStyle name="Total 2 9 4 5" xfId="23174" xr:uid="{26FD5486-760B-4A39-A207-CA259DE17012}"/>
    <cellStyle name="Total 2 9 5" xfId="20901" xr:uid="{00000000-0005-0000-0000-00005E530000}"/>
    <cellStyle name="Total 2 9 5 2" xfId="20975" xr:uid="{00000000-0005-0000-0000-00005F530000}"/>
    <cellStyle name="Total 2 9 5 2 2" xfId="21876" xr:uid="{1C617BF1-156E-44A0-8DD0-669FB509E65F}"/>
    <cellStyle name="Total 2 9 5 3" xfId="21849" xr:uid="{65864501-8020-4DD2-810E-F9D5E9E6D9B4}"/>
    <cellStyle name="Total 2 9 5 4" xfId="23005" xr:uid="{99B98F5B-BD08-4F82-89B7-AAC719C0047A}"/>
    <cellStyle name="Total 2 9 5 5" xfId="23175" xr:uid="{89942B08-6334-44C8-B92E-804A3846CCA2}"/>
    <cellStyle name="Total 3" xfId="20902" xr:uid="{00000000-0005-0000-0000-000060530000}"/>
    <cellStyle name="Total 3 2" xfId="20903" xr:uid="{00000000-0005-0000-0000-000061530000}"/>
    <cellStyle name="Total 3 2 2" xfId="20973" xr:uid="{00000000-0005-0000-0000-000062530000}"/>
    <cellStyle name="Total 3 2 2 2" xfId="21874" xr:uid="{10486C93-907F-4FE9-913E-185308774784}"/>
    <cellStyle name="Total 3 2 3" xfId="21851" xr:uid="{41793DC7-27FE-4C03-B908-40F5AE94164F}"/>
    <cellStyle name="Total 3 2 4" xfId="23007" xr:uid="{4EFE2E13-9C0B-4C05-95F3-ECA9F494D1D8}"/>
    <cellStyle name="Total 3 2 5" xfId="23177" xr:uid="{8AA5A48D-2179-4125-B064-F7429848F998}"/>
    <cellStyle name="Total 3 3" xfId="20904" xr:uid="{00000000-0005-0000-0000-000063530000}"/>
    <cellStyle name="Total 3 3 2" xfId="20972" xr:uid="{00000000-0005-0000-0000-000064530000}"/>
    <cellStyle name="Total 3 3 2 2" xfId="21873" xr:uid="{E3717F20-FC89-476B-975D-096C13F4D9BE}"/>
    <cellStyle name="Total 3 3 3" xfId="21852" xr:uid="{5BC16A81-A041-4DD2-8F3D-8DAAFE75558A}"/>
    <cellStyle name="Total 3 3 4" xfId="23008" xr:uid="{746935A9-90CC-4FBE-97D0-42156B3C3DB9}"/>
    <cellStyle name="Total 3 3 5" xfId="23178" xr:uid="{7EFAED1F-64D3-42D7-8320-5A06B62912EF}"/>
    <cellStyle name="Total 3 4" xfId="20974" xr:uid="{00000000-0005-0000-0000-000065530000}"/>
    <cellStyle name="Total 3 4 2" xfId="21875" xr:uid="{E7060624-585F-49DF-9CB6-09FD827D226E}"/>
    <cellStyle name="Total 3 5" xfId="21850" xr:uid="{0138C85D-2A0B-4F23-BC2B-4DDC3B99688C}"/>
    <cellStyle name="Total 3 6" xfId="23006" xr:uid="{F38300A3-550C-4FB0-B022-67F9CD364609}"/>
    <cellStyle name="Total 3 7" xfId="23176" xr:uid="{10425B48-EDEB-4160-BDB8-FC4BB954FF02}"/>
    <cellStyle name="Total 4" xfId="20905" xr:uid="{00000000-0005-0000-0000-000066530000}"/>
    <cellStyle name="Total 4 2" xfId="20906" xr:uid="{00000000-0005-0000-0000-000067530000}"/>
    <cellStyle name="Total 4 2 2" xfId="20970" xr:uid="{00000000-0005-0000-0000-000068530000}"/>
    <cellStyle name="Total 4 2 2 2" xfId="21871" xr:uid="{A187546B-F14C-4D94-B0C6-D562ECE81C6E}"/>
    <cellStyle name="Total 4 2 3" xfId="21854" xr:uid="{1414EE96-CBFB-4547-9BB9-A5290E9B64C1}"/>
    <cellStyle name="Total 4 2 4" xfId="23010" xr:uid="{67FA198F-9F96-4587-905E-51AF3C57B80C}"/>
    <cellStyle name="Total 4 2 5" xfId="23180" xr:uid="{6A423A61-E900-4EB2-923B-F9C6F74C3BAB}"/>
    <cellStyle name="Total 4 3" xfId="20907" xr:uid="{00000000-0005-0000-0000-000069530000}"/>
    <cellStyle name="Total 4 3 2" xfId="20969" xr:uid="{00000000-0005-0000-0000-00006A530000}"/>
    <cellStyle name="Total 4 3 2 2" xfId="21870" xr:uid="{CC5F9C4B-F9EA-47F0-965A-FB688CDA4494}"/>
    <cellStyle name="Total 4 3 3" xfId="21855" xr:uid="{66AABBDD-8492-448E-80F5-2AE8CEAF76DA}"/>
    <cellStyle name="Total 4 3 4" xfId="23011" xr:uid="{789956D7-7F79-4202-B007-63EB194D76ED}"/>
    <cellStyle name="Total 4 3 5" xfId="23181" xr:uid="{4DFCC7F4-D233-4254-8AF8-83B01540F6F4}"/>
    <cellStyle name="Total 4 4" xfId="20971" xr:uid="{00000000-0005-0000-0000-00006B530000}"/>
    <cellStyle name="Total 4 4 2" xfId="21872" xr:uid="{5C5BA41C-93EA-41F3-BADC-F3C4C8BECC87}"/>
    <cellStyle name="Total 4 5" xfId="21853" xr:uid="{E9474562-48DF-4CFF-B0FE-5C388212342E}"/>
    <cellStyle name="Total 4 6" xfId="23009" xr:uid="{AC085E42-B5A1-464A-98E8-64BEEA80668F}"/>
    <cellStyle name="Total 4 7" xfId="23179" xr:uid="{588CEAB5-EEF4-4FE9-9480-69D29DCB144A}"/>
    <cellStyle name="Total 5" xfId="20908" xr:uid="{00000000-0005-0000-0000-00006C530000}"/>
    <cellStyle name="Total 5 2" xfId="20909" xr:uid="{00000000-0005-0000-0000-00006D530000}"/>
    <cellStyle name="Total 5 2 2" xfId="20967" xr:uid="{00000000-0005-0000-0000-00006E530000}"/>
    <cellStyle name="Total 5 2 2 2" xfId="21868" xr:uid="{42310110-3351-49A5-915B-BD9162C34549}"/>
    <cellStyle name="Total 5 2 3" xfId="21857" xr:uid="{9024C6BF-9D9A-4FED-B6A9-2F5A4376F8ED}"/>
    <cellStyle name="Total 5 2 4" xfId="23013" xr:uid="{8964F03B-D1C8-423B-8487-79804C18131E}"/>
    <cellStyle name="Total 5 2 5" xfId="23183" xr:uid="{5B781AEB-EC46-446F-9D4E-902D015125ED}"/>
    <cellStyle name="Total 5 3" xfId="20910" xr:uid="{00000000-0005-0000-0000-00006F530000}"/>
    <cellStyle name="Total 5 3 2" xfId="20966" xr:uid="{00000000-0005-0000-0000-000070530000}"/>
    <cellStyle name="Total 5 3 2 2" xfId="21867" xr:uid="{D30EC557-3847-4A7C-AC70-7BD503D1A54B}"/>
    <cellStyle name="Total 5 3 3" xfId="21858" xr:uid="{8C5902AD-2502-40A9-8880-1BAED120DC5A}"/>
    <cellStyle name="Total 5 3 4" xfId="23014" xr:uid="{36F8FA43-7243-4180-A928-DC2D03714492}"/>
    <cellStyle name="Total 5 3 5" xfId="23184" xr:uid="{0B229B81-6F6B-4771-B8B7-9A0F9B5D4CDF}"/>
    <cellStyle name="Total 5 4" xfId="20968" xr:uid="{00000000-0005-0000-0000-000071530000}"/>
    <cellStyle name="Total 5 4 2" xfId="21869" xr:uid="{406AACCE-84EA-4AFB-83EA-FA5218208B7C}"/>
    <cellStyle name="Total 5 5" xfId="21856" xr:uid="{7E9DCD33-42C2-4E88-8560-35CC11B76E2C}"/>
    <cellStyle name="Total 5 6" xfId="23012" xr:uid="{6A2F781C-99C5-4F0D-B3B3-407F2DE47D48}"/>
    <cellStyle name="Total 5 7" xfId="23182" xr:uid="{D2288FAD-9311-4BF9-891E-EAFF85EADA3E}"/>
    <cellStyle name="Total 6" xfId="20911" xr:uid="{00000000-0005-0000-0000-000072530000}"/>
    <cellStyle name="Total 6 2" xfId="20912" xr:uid="{00000000-0005-0000-0000-000073530000}"/>
    <cellStyle name="Total 6 2 2" xfId="20964" xr:uid="{00000000-0005-0000-0000-000074530000}"/>
    <cellStyle name="Total 6 2 2 2" xfId="21865" xr:uid="{0E4CC5F1-A2B8-4CB3-BA7A-0518C9AC7F41}"/>
    <cellStyle name="Total 6 2 3" xfId="21860" xr:uid="{73DE39C6-E46F-44E3-9280-5ED422679EA8}"/>
    <cellStyle name="Total 6 2 4" xfId="23016" xr:uid="{177BB7EF-3458-408E-A072-AAE8A876E9F8}"/>
    <cellStyle name="Total 6 2 5" xfId="23186" xr:uid="{CA5A30B9-9A2A-4B58-903C-882CD80B4DD0}"/>
    <cellStyle name="Total 6 3" xfId="20913" xr:uid="{00000000-0005-0000-0000-000075530000}"/>
    <cellStyle name="Total 6 3 2" xfId="20963" xr:uid="{00000000-0005-0000-0000-000076530000}"/>
    <cellStyle name="Total 6 3 2 2" xfId="21864" xr:uid="{F878BED4-412D-4C6E-AB88-1E7FBEDC201D}"/>
    <cellStyle name="Total 6 3 3" xfId="21861" xr:uid="{375EE356-9BF5-44BE-BD9A-94E32282C43F}"/>
    <cellStyle name="Total 6 3 4" xfId="23017" xr:uid="{DCA7AB01-E99E-4DE2-BE09-464CF390D9A4}"/>
    <cellStyle name="Total 6 3 5" xfId="23187" xr:uid="{15DB5EEC-4FC5-43EB-A044-FF744F376473}"/>
    <cellStyle name="Total 6 4" xfId="20965" xr:uid="{00000000-0005-0000-0000-000077530000}"/>
    <cellStyle name="Total 6 4 2" xfId="21866" xr:uid="{71C4DAFA-5D11-4E09-A1CC-0287C5C1C8E6}"/>
    <cellStyle name="Total 6 5" xfId="21859" xr:uid="{03EF6C7A-30D7-40E4-B2BD-A98F172A1640}"/>
    <cellStyle name="Total 6 6" xfId="23015" xr:uid="{1384CF2C-549D-46B6-92E9-E5462EE67DF7}"/>
    <cellStyle name="Total 6 7" xfId="23185" xr:uid="{7B1C5DA6-53D4-4FF0-AD29-1BFA679F58F5}"/>
    <cellStyle name="Total 7" xfId="20914" xr:uid="{00000000-0005-0000-0000-000078530000}"/>
    <cellStyle name="Total 7 2" xfId="20962" xr:uid="{00000000-0005-0000-0000-000079530000}"/>
    <cellStyle name="Total 7 2 2" xfId="21863" xr:uid="{06449AA4-EA2F-48C2-AC5D-2AF081F5F5E0}"/>
    <cellStyle name="Total 7 3" xfId="21862" xr:uid="{885681F3-6869-4203-B4A6-359C26C51133}"/>
    <cellStyle name="Total 7 4" xfId="23018" xr:uid="{F0DFC45D-D3CA-4575-A8D2-D655BEA4D405}"/>
    <cellStyle name="Total 7 5" xfId="23188" xr:uid="{9E375302-6B76-4071-BB1F-7AC0E45BE50E}"/>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defaultRowHeight="14.4"/>
  <cols>
    <col min="1" max="1" width="10.21875" style="1" customWidth="1"/>
    <col min="2" max="2" width="153" bestFit="1" customWidth="1"/>
    <col min="3" max="3" width="39.44140625" customWidth="1"/>
    <col min="7" max="7" width="25" customWidth="1"/>
  </cols>
  <sheetData>
    <row r="1" spans="1:3">
      <c r="A1" s="6"/>
      <c r="B1" s="111" t="s">
        <v>159</v>
      </c>
      <c r="C1" s="46"/>
    </row>
    <row r="2" spans="1:3" s="108" customFormat="1">
      <c r="A2" s="150">
        <v>1</v>
      </c>
      <c r="B2" s="109" t="s">
        <v>160</v>
      </c>
      <c r="C2" s="107" t="s">
        <v>960</v>
      </c>
    </row>
    <row r="3" spans="1:3" s="108" customFormat="1">
      <c r="A3" s="150">
        <v>2</v>
      </c>
      <c r="B3" s="110" t="s">
        <v>161</v>
      </c>
      <c r="C3" s="107" t="s">
        <v>961</v>
      </c>
    </row>
    <row r="4" spans="1:3" s="108" customFormat="1">
      <c r="A4" s="150">
        <v>3</v>
      </c>
      <c r="B4" s="110" t="s">
        <v>162</v>
      </c>
      <c r="C4" s="107" t="s">
        <v>962</v>
      </c>
    </row>
    <row r="5" spans="1:3" s="108" customFormat="1">
      <c r="A5" s="151">
        <v>4</v>
      </c>
      <c r="B5" s="113" t="s">
        <v>163</v>
      </c>
      <c r="C5" s="107" t="s">
        <v>963</v>
      </c>
    </row>
    <row r="6" spans="1:3" s="112" customFormat="1" ht="65.25" customHeight="1">
      <c r="A6" s="722" t="s">
        <v>321</v>
      </c>
      <c r="B6" s="723"/>
      <c r="C6" s="723"/>
    </row>
    <row r="7" spans="1:3">
      <c r="A7" s="251" t="s">
        <v>251</v>
      </c>
      <c r="B7" s="252" t="s">
        <v>164</v>
      </c>
    </row>
    <row r="8" spans="1:3">
      <c r="A8" s="253">
        <v>1</v>
      </c>
      <c r="B8" s="249" t="s">
        <v>139</v>
      </c>
    </row>
    <row r="9" spans="1:3">
      <c r="A9" s="253">
        <v>2</v>
      </c>
      <c r="B9" s="249" t="s">
        <v>165</v>
      </c>
    </row>
    <row r="10" spans="1:3">
      <c r="A10" s="253">
        <v>3</v>
      </c>
      <c r="B10" s="249" t="s">
        <v>166</v>
      </c>
    </row>
    <row r="11" spans="1:3">
      <c r="A11" s="253">
        <v>4</v>
      </c>
      <c r="B11" s="249" t="s">
        <v>167</v>
      </c>
    </row>
    <row r="12" spans="1:3">
      <c r="A12" s="253">
        <v>5</v>
      </c>
      <c r="B12" s="249" t="s">
        <v>107</v>
      </c>
    </row>
    <row r="13" spans="1:3">
      <c r="A13" s="253">
        <v>6</v>
      </c>
      <c r="B13" s="254" t="s">
        <v>91</v>
      </c>
    </row>
    <row r="14" spans="1:3">
      <c r="A14" s="253">
        <v>7</v>
      </c>
      <c r="B14" s="249" t="s">
        <v>168</v>
      </c>
    </row>
    <row r="15" spans="1:3">
      <c r="A15" s="253">
        <v>8</v>
      </c>
      <c r="B15" s="249" t="s">
        <v>171</v>
      </c>
    </row>
    <row r="16" spans="1:3">
      <c r="A16" s="253">
        <v>9</v>
      </c>
      <c r="B16" s="249" t="s">
        <v>85</v>
      </c>
    </row>
    <row r="17" spans="1:2">
      <c r="A17" s="255" t="s">
        <v>378</v>
      </c>
      <c r="B17" s="249" t="s">
        <v>358</v>
      </c>
    </row>
    <row r="18" spans="1:2">
      <c r="A18" s="253">
        <v>10</v>
      </c>
      <c r="B18" s="249" t="s">
        <v>172</v>
      </c>
    </row>
    <row r="19" spans="1:2">
      <c r="A19" s="253">
        <v>11</v>
      </c>
      <c r="B19" s="254" t="s">
        <v>155</v>
      </c>
    </row>
    <row r="20" spans="1:2">
      <c r="A20" s="253">
        <v>12</v>
      </c>
      <c r="B20" s="254" t="s">
        <v>152</v>
      </c>
    </row>
    <row r="21" spans="1:2">
      <c r="A21" s="253">
        <v>13</v>
      </c>
      <c r="B21" s="256" t="s">
        <v>297</v>
      </c>
    </row>
    <row r="22" spans="1:2">
      <c r="A22" s="253">
        <v>14</v>
      </c>
      <c r="B22" s="249" t="s">
        <v>351</v>
      </c>
    </row>
    <row r="23" spans="1:2">
      <c r="A23" s="253">
        <v>15</v>
      </c>
      <c r="B23" s="249" t="s">
        <v>74</v>
      </c>
    </row>
    <row r="24" spans="1:2">
      <c r="A24" s="253">
        <v>15.1</v>
      </c>
      <c r="B24" s="249" t="s">
        <v>387</v>
      </c>
    </row>
    <row r="25" spans="1:2">
      <c r="A25" s="253">
        <v>16</v>
      </c>
      <c r="B25" s="249" t="s">
        <v>453</v>
      </c>
    </row>
    <row r="26" spans="1:2">
      <c r="A26" s="253">
        <v>17</v>
      </c>
      <c r="B26" s="249" t="s">
        <v>677</v>
      </c>
    </row>
    <row r="27" spans="1:2">
      <c r="A27" s="253">
        <v>18</v>
      </c>
      <c r="B27" s="249" t="s">
        <v>939</v>
      </c>
    </row>
    <row r="28" spans="1:2">
      <c r="A28" s="253">
        <v>19</v>
      </c>
      <c r="B28" s="249" t="s">
        <v>940</v>
      </c>
    </row>
    <row r="29" spans="1:2">
      <c r="A29" s="253">
        <v>20</v>
      </c>
      <c r="B29" s="249" t="s">
        <v>941</v>
      </c>
    </row>
    <row r="30" spans="1:2">
      <c r="A30" s="253">
        <v>21</v>
      </c>
      <c r="B30" s="249" t="s">
        <v>546</v>
      </c>
    </row>
    <row r="31" spans="1:2">
      <c r="A31" s="253">
        <v>22</v>
      </c>
      <c r="B31" s="249" t="s">
        <v>942</v>
      </c>
    </row>
    <row r="32" spans="1:2" ht="26.4">
      <c r="A32" s="253">
        <v>23</v>
      </c>
      <c r="B32" s="565" t="s">
        <v>938</v>
      </c>
    </row>
    <row r="33" spans="1:2">
      <c r="A33" s="253">
        <v>24</v>
      </c>
      <c r="B33" s="249" t="s">
        <v>943</v>
      </c>
    </row>
    <row r="34" spans="1:2">
      <c r="A34" s="253">
        <v>25</v>
      </c>
      <c r="B34" s="249" t="s">
        <v>944</v>
      </c>
    </row>
    <row r="35" spans="1:2">
      <c r="A35" s="253">
        <v>26</v>
      </c>
      <c r="B35" s="249"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abSelected="1" zoomScale="63" zoomScaleNormal="63"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defaultRowHeight="14.4"/>
  <cols>
    <col min="1" max="1" width="9.5546875" style="14" bestFit="1" customWidth="1"/>
    <col min="2" max="2" width="88.33203125" style="12" customWidth="1"/>
    <col min="3" max="3" width="12.77734375" style="12" customWidth="1"/>
    <col min="4" max="7" width="12.77734375" style="1" customWidth="1"/>
    <col min="8" max="8" width="6.77734375" customWidth="1"/>
    <col min="9" max="12" width="9.33203125" bestFit="1" customWidth="1"/>
    <col min="13" max="13" width="6.77734375" customWidth="1"/>
  </cols>
  <sheetData>
    <row r="1" spans="1:12">
      <c r="A1" s="13" t="s">
        <v>108</v>
      </c>
      <c r="B1" s="291" t="str">
        <f>Info!C2</f>
        <v>სს " პაშა ბანკი საქართველო"</v>
      </c>
    </row>
    <row r="2" spans="1:12">
      <c r="A2" s="13" t="s">
        <v>109</v>
      </c>
      <c r="B2" s="326">
        <v>45382</v>
      </c>
    </row>
    <row r="3" spans="1:12" ht="15" thickBot="1">
      <c r="A3" s="13"/>
    </row>
    <row r="4" spans="1:12" ht="15" thickBot="1">
      <c r="A4" s="32" t="s">
        <v>252</v>
      </c>
      <c r="B4" s="129" t="s">
        <v>139</v>
      </c>
      <c r="C4" s="130"/>
      <c r="D4" s="724" t="s">
        <v>936</v>
      </c>
      <c r="E4" s="725"/>
      <c r="F4" s="725"/>
      <c r="G4" s="726"/>
      <c r="I4" s="727" t="s">
        <v>937</v>
      </c>
      <c r="J4" s="728"/>
      <c r="K4" s="728"/>
      <c r="L4" s="729"/>
    </row>
    <row r="5" spans="1:12" ht="30.6" customHeight="1">
      <c r="A5" s="193" t="s">
        <v>25</v>
      </c>
      <c r="B5" s="194"/>
      <c r="C5" s="310" t="str">
        <f>INT((MONTH($B$2))/3)&amp;"Q"&amp;"-"&amp;YEAR($B$2)</f>
        <v>1Q-2024</v>
      </c>
      <c r="D5" s="310" t="str">
        <f>IF(INT(MONTH($B$2))=3, "4"&amp;"Q"&amp;"-"&amp;YEAR($B$2)-1, IF(INT(MONTH($B$2))=6, "1"&amp;"Q"&amp;"-"&amp;YEAR($B$2), IF(INT(MONTH($B$2))=9, "2"&amp;"Q"&amp;"-"&amp;YEAR($B$2),IF(INT(MONTH($B$2))=12, "3"&amp;"Q"&amp;"-"&amp;YEAR($B$2), 0))))</f>
        <v>4Q-2023</v>
      </c>
      <c r="E5" s="310" t="str">
        <f>IF(INT(MONTH($B$2))=3, "3"&amp;"Q"&amp;"-"&amp;YEAR($B$2)-1, IF(INT(MONTH($B$2))=6, "4"&amp;"Q"&amp;"-"&amp;YEAR($B$2)-1, IF(INT(MONTH($B$2))=9, "1"&amp;"Q"&amp;"-"&amp;YEAR($B$2),IF(INT(MONTH($B$2))=12, "2"&amp;"Q"&amp;"-"&amp;YEAR($B$2), 0))))</f>
        <v>3Q-2023</v>
      </c>
      <c r="F5" s="310" t="str">
        <f>IF(INT(MONTH($B$2))=3, "2"&amp;"Q"&amp;"-"&amp;YEAR($B$2)-1, IF(INT(MONTH($B$2))=6, "3"&amp;"Q"&amp;"-"&amp;YEAR($B$2)-1, IF(INT(MONTH($B$2))=9, "4"&amp;"Q"&amp;"-"&amp;YEAR($B$2)-1,IF(INT(MONTH($B$2))=12, "1"&amp;"Q"&amp;"-"&amp;YEAR($B$2), 0))))</f>
        <v>2Q-2023</v>
      </c>
      <c r="G5" s="311" t="str">
        <f>IF(INT(MONTH($B$2))=3, "1"&amp;"Q"&amp;"-"&amp;YEAR($B$2)-1, IF(INT(MONTH($B$2))=6, "2"&amp;"Q"&amp;"-"&amp;YEAR($B$2)-1, IF(INT(MONTH($B$2))=9, "3"&amp;"Q"&amp;"-"&amp;YEAR($B$2)-1,IF(INT(MONTH($B$2))=12, "4"&amp;"Q"&amp;"-"&amp;YEAR($B$2)-1, 0))))</f>
        <v>1Q-2023</v>
      </c>
      <c r="I5" s="546" t="str">
        <f>D5</f>
        <v>4Q-2023</v>
      </c>
      <c r="J5" s="310" t="str">
        <f t="shared" ref="J5:L5" si="0">E5</f>
        <v>3Q-2023</v>
      </c>
      <c r="K5" s="310" t="str">
        <f t="shared" si="0"/>
        <v>2Q-2023</v>
      </c>
      <c r="L5" s="311" t="str">
        <f t="shared" si="0"/>
        <v>1Q-2023</v>
      </c>
    </row>
    <row r="6" spans="1:12">
      <c r="A6" s="312"/>
      <c r="B6" s="313" t="s">
        <v>106</v>
      </c>
      <c r="C6" s="195"/>
      <c r="D6" s="195"/>
      <c r="E6" s="195"/>
      <c r="F6" s="195"/>
      <c r="G6" s="196"/>
      <c r="I6" s="547"/>
      <c r="J6" s="195"/>
      <c r="K6" s="195"/>
      <c r="L6" s="196"/>
    </row>
    <row r="7" spans="1:12">
      <c r="A7" s="312"/>
      <c r="B7" s="314" t="s">
        <v>110</v>
      </c>
      <c r="C7" s="195"/>
      <c r="D7" s="195"/>
      <c r="E7" s="195"/>
      <c r="F7" s="195"/>
      <c r="G7" s="196"/>
      <c r="I7" s="547"/>
      <c r="J7" s="195"/>
      <c r="K7" s="195"/>
      <c r="L7" s="196"/>
    </row>
    <row r="8" spans="1:12">
      <c r="A8" s="295">
        <v>1</v>
      </c>
      <c r="B8" s="296" t="s">
        <v>22</v>
      </c>
      <c r="C8" s="315">
        <v>107195535.98999999</v>
      </c>
      <c r="D8" s="316">
        <v>106263156.75</v>
      </c>
      <c r="E8" s="316">
        <v>103075007</v>
      </c>
      <c r="F8" s="316">
        <v>95277301</v>
      </c>
      <c r="G8" s="317">
        <v>96566537</v>
      </c>
      <c r="I8" s="548"/>
      <c r="J8" s="549"/>
      <c r="K8" s="549"/>
      <c r="L8" s="550"/>
    </row>
    <row r="9" spans="1:12">
      <c r="A9" s="295">
        <v>2</v>
      </c>
      <c r="B9" s="296" t="s">
        <v>86</v>
      </c>
      <c r="C9" s="315">
        <v>107195535.98999999</v>
      </c>
      <c r="D9" s="316">
        <v>106263156.75</v>
      </c>
      <c r="E9" s="316">
        <v>103075007</v>
      </c>
      <c r="F9" s="316">
        <v>95277301</v>
      </c>
      <c r="G9" s="317">
        <v>96566537</v>
      </c>
      <c r="I9" s="548"/>
      <c r="J9" s="549"/>
      <c r="K9" s="549"/>
      <c r="L9" s="550"/>
    </row>
    <row r="10" spans="1:12">
      <c r="A10" s="295">
        <v>3</v>
      </c>
      <c r="B10" s="296" t="s">
        <v>85</v>
      </c>
      <c r="C10" s="315">
        <v>123365859.92209199</v>
      </c>
      <c r="D10" s="316">
        <v>122398083.75</v>
      </c>
      <c r="E10" s="316">
        <v>121827508</v>
      </c>
      <c r="F10" s="316">
        <v>113605502</v>
      </c>
      <c r="G10" s="317">
        <v>106816551</v>
      </c>
      <c r="I10" s="548"/>
      <c r="J10" s="549"/>
      <c r="K10" s="549"/>
      <c r="L10" s="550"/>
    </row>
    <row r="11" spans="1:12">
      <c r="A11" s="295">
        <v>4</v>
      </c>
      <c r="B11" s="296" t="s">
        <v>445</v>
      </c>
      <c r="C11" s="315">
        <v>78126524.569018409</v>
      </c>
      <c r="D11" s="316">
        <v>76073805.633599997</v>
      </c>
      <c r="E11" s="316">
        <v>66718155</v>
      </c>
      <c r="F11" s="316">
        <v>68009659</v>
      </c>
      <c r="G11" s="317">
        <v>66125948</v>
      </c>
      <c r="I11" s="548"/>
      <c r="J11" s="549"/>
      <c r="K11" s="549"/>
      <c r="L11" s="550"/>
    </row>
    <row r="12" spans="1:12">
      <c r="A12" s="295">
        <v>5</v>
      </c>
      <c r="B12" s="296" t="s">
        <v>446</v>
      </c>
      <c r="C12" s="315">
        <v>95396528.507053524</v>
      </c>
      <c r="D12" s="316">
        <v>93389988.243100002</v>
      </c>
      <c r="E12" s="316">
        <v>82763859</v>
      </c>
      <c r="F12" s="316">
        <v>84380756</v>
      </c>
      <c r="G12" s="317">
        <v>82313059</v>
      </c>
      <c r="I12" s="548"/>
      <c r="J12" s="549"/>
      <c r="K12" s="549"/>
      <c r="L12" s="550"/>
    </row>
    <row r="13" spans="1:12">
      <c r="A13" s="295">
        <v>6</v>
      </c>
      <c r="B13" s="296" t="s">
        <v>447</v>
      </c>
      <c r="C13" s="315">
        <v>118267114.486205</v>
      </c>
      <c r="D13" s="316">
        <v>116341267.5662</v>
      </c>
      <c r="E13" s="316">
        <v>104015484</v>
      </c>
      <c r="F13" s="316">
        <v>106063565</v>
      </c>
      <c r="G13" s="317">
        <v>103750673</v>
      </c>
      <c r="I13" s="548"/>
      <c r="J13" s="549"/>
      <c r="K13" s="549"/>
      <c r="L13" s="550"/>
    </row>
    <row r="14" spans="1:12">
      <c r="A14" s="312"/>
      <c r="B14" s="313" t="s">
        <v>449</v>
      </c>
      <c r="C14" s="195"/>
      <c r="D14" s="195"/>
      <c r="E14" s="195"/>
      <c r="F14" s="195"/>
      <c r="G14" s="196"/>
      <c r="I14" s="547"/>
      <c r="J14" s="195"/>
      <c r="K14" s="195"/>
      <c r="L14" s="196"/>
    </row>
    <row r="15" spans="1:12" ht="22.05" customHeight="1">
      <c r="A15" s="295">
        <v>7</v>
      </c>
      <c r="B15" s="296" t="s">
        <v>448</v>
      </c>
      <c r="C15" s="318">
        <v>558207030.59996772</v>
      </c>
      <c r="D15" s="316">
        <v>586989241</v>
      </c>
      <c r="E15" s="316">
        <v>527653671</v>
      </c>
      <c r="F15" s="316">
        <v>539187233</v>
      </c>
      <c r="G15" s="317">
        <v>527378947</v>
      </c>
      <c r="I15" s="548"/>
      <c r="J15" s="549"/>
      <c r="K15" s="549"/>
      <c r="L15" s="550"/>
    </row>
    <row r="16" spans="1:12">
      <c r="A16" s="312"/>
      <c r="B16" s="313" t="s">
        <v>452</v>
      </c>
      <c r="C16" s="195"/>
      <c r="D16" s="195"/>
      <c r="E16" s="195"/>
      <c r="F16" s="195"/>
      <c r="G16" s="196"/>
      <c r="I16" s="547"/>
      <c r="J16" s="195"/>
      <c r="K16" s="195"/>
      <c r="L16" s="196"/>
    </row>
    <row r="17" spans="1:12">
      <c r="A17" s="295"/>
      <c r="B17" s="314" t="s">
        <v>435</v>
      </c>
      <c r="C17" s="195"/>
      <c r="D17" s="195"/>
      <c r="E17" s="195"/>
      <c r="F17" s="195"/>
      <c r="G17" s="196"/>
      <c r="I17" s="547"/>
      <c r="J17" s="195"/>
      <c r="K17" s="195"/>
      <c r="L17" s="196"/>
    </row>
    <row r="18" spans="1:12">
      <c r="A18" s="295">
        <v>8</v>
      </c>
      <c r="B18" s="296" t="s">
        <v>443</v>
      </c>
      <c r="C18" s="327">
        <v>0.19203544583590237</v>
      </c>
      <c r="D18" s="328">
        <v>0.18103084235235584</v>
      </c>
      <c r="E18" s="328">
        <v>0.19500000000000001</v>
      </c>
      <c r="F18" s="328">
        <v>0.17699999999999999</v>
      </c>
      <c r="G18" s="329">
        <v>0.183</v>
      </c>
      <c r="I18" s="551"/>
      <c r="J18" s="552"/>
      <c r="K18" s="552"/>
      <c r="L18" s="553"/>
    </row>
    <row r="19" spans="1:12" ht="15" customHeight="1">
      <c r="A19" s="295">
        <v>9</v>
      </c>
      <c r="B19" s="296" t="s">
        <v>442</v>
      </c>
      <c r="C19" s="327">
        <v>0.19203544583590237</v>
      </c>
      <c r="D19" s="328">
        <v>0.18103084235235584</v>
      </c>
      <c r="E19" s="328">
        <v>0.19500000000000001</v>
      </c>
      <c r="F19" s="328">
        <v>0.17699999999999999</v>
      </c>
      <c r="G19" s="329">
        <v>0.183</v>
      </c>
      <c r="I19" s="551"/>
      <c r="J19" s="552"/>
      <c r="K19" s="552"/>
      <c r="L19" s="553"/>
    </row>
    <row r="20" spans="1:12">
      <c r="A20" s="295">
        <v>10</v>
      </c>
      <c r="B20" s="296" t="s">
        <v>444</v>
      </c>
      <c r="C20" s="327">
        <v>0.22100377307949143</v>
      </c>
      <c r="D20" s="328">
        <v>0.20851844497436028</v>
      </c>
      <c r="E20" s="328">
        <v>0.23100000000000001</v>
      </c>
      <c r="F20" s="328">
        <v>0.21099999999999999</v>
      </c>
      <c r="G20" s="329">
        <v>0.20300000000000001</v>
      </c>
      <c r="I20" s="551"/>
      <c r="J20" s="552"/>
      <c r="K20" s="552"/>
      <c r="L20" s="553"/>
    </row>
    <row r="21" spans="1:12">
      <c r="A21" s="295">
        <v>11</v>
      </c>
      <c r="B21" s="296" t="s">
        <v>445</v>
      </c>
      <c r="C21" s="327">
        <v>0.13995976454299952</v>
      </c>
      <c r="D21" s="328">
        <v>0.12959999999999999</v>
      </c>
      <c r="E21" s="328">
        <v>0.126</v>
      </c>
      <c r="F21" s="328">
        <v>0.126</v>
      </c>
      <c r="G21" s="329">
        <v>0.125</v>
      </c>
      <c r="I21" s="551"/>
      <c r="J21" s="552"/>
      <c r="K21" s="552"/>
      <c r="L21" s="553"/>
    </row>
    <row r="22" spans="1:12">
      <c r="A22" s="295">
        <v>12</v>
      </c>
      <c r="B22" s="296" t="s">
        <v>446</v>
      </c>
      <c r="C22" s="327">
        <v>0.17089811356284812</v>
      </c>
      <c r="D22" s="328">
        <v>0.15909999999999999</v>
      </c>
      <c r="E22" s="328">
        <v>0.157</v>
      </c>
      <c r="F22" s="328">
        <v>0.156</v>
      </c>
      <c r="G22" s="329">
        <v>0.156</v>
      </c>
      <c r="I22" s="551"/>
      <c r="J22" s="552"/>
      <c r="K22" s="552"/>
      <c r="L22" s="553"/>
    </row>
    <row r="23" spans="1:12">
      <c r="A23" s="295">
        <v>13</v>
      </c>
      <c r="B23" s="296" t="s">
        <v>447</v>
      </c>
      <c r="C23" s="327">
        <v>0.21186962543107002</v>
      </c>
      <c r="D23" s="328">
        <v>0.19820000000000002</v>
      </c>
      <c r="E23" s="328">
        <v>0.19700000000000001</v>
      </c>
      <c r="F23" s="328">
        <v>0.19700000000000001</v>
      </c>
      <c r="G23" s="329">
        <v>0.19700000000000001</v>
      </c>
      <c r="I23" s="551"/>
      <c r="J23" s="552"/>
      <c r="K23" s="552"/>
      <c r="L23" s="553"/>
    </row>
    <row r="24" spans="1:12">
      <c r="A24" s="312"/>
      <c r="B24" s="313" t="s">
        <v>6</v>
      </c>
      <c r="C24" s="195"/>
      <c r="D24" s="195"/>
      <c r="E24" s="195"/>
      <c r="F24" s="195"/>
      <c r="G24" s="196"/>
      <c r="I24" s="547"/>
      <c r="J24" s="195"/>
      <c r="K24" s="195"/>
      <c r="L24" s="196"/>
    </row>
    <row r="25" spans="1:12" ht="15" customHeight="1">
      <c r="A25" s="319">
        <v>14</v>
      </c>
      <c r="B25" s="320" t="s">
        <v>7</v>
      </c>
      <c r="C25" s="579">
        <v>9.5886030903459929E-2</v>
      </c>
      <c r="D25" s="578">
        <v>0.1029718580022862</v>
      </c>
      <c r="E25" s="578">
        <v>0.10100000000000001</v>
      </c>
      <c r="F25" s="578">
        <v>0.1026</v>
      </c>
      <c r="G25" s="577">
        <v>0.10100000000000001</v>
      </c>
      <c r="I25" s="554"/>
      <c r="J25" s="555"/>
      <c r="K25" s="555"/>
      <c r="L25" s="556"/>
    </row>
    <row r="26" spans="1:12">
      <c r="A26" s="319">
        <v>15</v>
      </c>
      <c r="B26" s="320" t="s">
        <v>8</v>
      </c>
      <c r="C26" s="579">
        <v>4.0520378067413598E-2</v>
      </c>
      <c r="D26" s="578">
        <v>3.6874556383449358E-2</v>
      </c>
      <c r="E26" s="578">
        <v>3.6999999999999998E-2</v>
      </c>
      <c r="F26" s="578">
        <v>3.7900000000000003E-2</v>
      </c>
      <c r="G26" s="577">
        <v>3.6999999999999998E-2</v>
      </c>
      <c r="I26" s="554"/>
      <c r="J26" s="555"/>
      <c r="K26" s="555"/>
      <c r="L26" s="556"/>
    </row>
    <row r="27" spans="1:12">
      <c r="A27" s="319">
        <v>16</v>
      </c>
      <c r="B27" s="320" t="s">
        <v>9</v>
      </c>
      <c r="C27" s="579">
        <v>0.12619778138159277</v>
      </c>
      <c r="D27" s="578">
        <v>9.050897338271139E-3</v>
      </c>
      <c r="E27" s="578">
        <v>1.2999999999999999E-2</v>
      </c>
      <c r="F27" s="578">
        <v>6.8999999999999999E-3</v>
      </c>
      <c r="G27" s="577">
        <v>1E-3</v>
      </c>
      <c r="I27" s="554"/>
      <c r="J27" s="555"/>
      <c r="K27" s="555"/>
      <c r="L27" s="556"/>
    </row>
    <row r="28" spans="1:12">
      <c r="A28" s="319">
        <v>17</v>
      </c>
      <c r="B28" s="320" t="s">
        <v>140</v>
      </c>
      <c r="C28" s="579">
        <v>5.536565283604631E-2</v>
      </c>
      <c r="D28" s="578">
        <v>6.609730161883684E-2</v>
      </c>
      <c r="E28" s="578">
        <v>6.5000000000000002E-2</v>
      </c>
      <c r="F28" s="578">
        <v>6.4600000000000005E-2</v>
      </c>
      <c r="G28" s="577">
        <v>6.3E-2</v>
      </c>
      <c r="I28" s="554"/>
      <c r="J28" s="555"/>
      <c r="K28" s="555"/>
      <c r="L28" s="556"/>
    </row>
    <row r="29" spans="1:12">
      <c r="A29" s="319">
        <v>18</v>
      </c>
      <c r="B29" s="320" t="s">
        <v>10</v>
      </c>
      <c r="C29" s="579">
        <v>1.0442800918214147E-2</v>
      </c>
      <c r="D29" s="578">
        <v>3.2821617664279441E-3</v>
      </c>
      <c r="E29" s="578">
        <v>-3.0000000000000001E-3</v>
      </c>
      <c r="F29" s="578">
        <v>-4.8999999999999998E-3</v>
      </c>
      <c r="G29" s="577">
        <v>3.0000000000000001E-3</v>
      </c>
      <c r="I29" s="554"/>
      <c r="J29" s="555"/>
      <c r="K29" s="555"/>
      <c r="L29" s="556"/>
    </row>
    <row r="30" spans="1:12">
      <c r="A30" s="319">
        <v>19</v>
      </c>
      <c r="B30" s="320" t="s">
        <v>11</v>
      </c>
      <c r="C30" s="579">
        <v>4.8665875549575688E-2</v>
      </c>
      <c r="D30" s="578">
        <v>1.6209342514036738E-2</v>
      </c>
      <c r="E30" s="578">
        <v>-1.4E-2</v>
      </c>
      <c r="F30" s="578">
        <v>-2.4799999999999999E-2</v>
      </c>
      <c r="G30" s="577">
        <v>1.2999999999999999E-2</v>
      </c>
      <c r="I30" s="554"/>
      <c r="J30" s="555"/>
      <c r="K30" s="555"/>
      <c r="L30" s="556"/>
    </row>
    <row r="31" spans="1:12">
      <c r="A31" s="312"/>
      <c r="B31" s="313" t="s">
        <v>12</v>
      </c>
      <c r="C31" s="195"/>
      <c r="D31" s="195"/>
      <c r="E31" s="195"/>
      <c r="F31" s="195"/>
      <c r="G31" s="196"/>
      <c r="I31" s="547"/>
      <c r="J31" s="195"/>
      <c r="K31" s="195"/>
      <c r="L31" s="196"/>
    </row>
    <row r="32" spans="1:12">
      <c r="A32" s="319">
        <v>20</v>
      </c>
      <c r="B32" s="320" t="s">
        <v>13</v>
      </c>
      <c r="C32" s="579">
        <v>8.3754507254769309E-2</v>
      </c>
      <c r="D32" s="569">
        <v>8.5460599254732636E-2</v>
      </c>
      <c r="E32" s="569">
        <v>0.113</v>
      </c>
      <c r="F32" s="569">
        <v>0.13900000000000001</v>
      </c>
      <c r="G32" s="570">
        <v>8.8999999999999996E-2</v>
      </c>
      <c r="I32" s="554"/>
      <c r="J32" s="555"/>
      <c r="K32" s="555"/>
      <c r="L32" s="556"/>
    </row>
    <row r="33" spans="1:12" ht="15" customHeight="1">
      <c r="A33" s="319">
        <v>21</v>
      </c>
      <c r="B33" s="320" t="s">
        <v>958</v>
      </c>
      <c r="C33" s="579">
        <v>3.141989674239444E-2</v>
      </c>
      <c r="D33" s="569">
        <v>4.5988968937092173E-2</v>
      </c>
      <c r="E33" s="569">
        <v>5.6000000000000001E-2</v>
      </c>
      <c r="F33" s="569">
        <v>5.6000000000000001E-2</v>
      </c>
      <c r="G33" s="570">
        <v>5.0999999999999997E-2</v>
      </c>
      <c r="I33" s="554"/>
      <c r="J33" s="555"/>
      <c r="K33" s="555"/>
      <c r="L33" s="556"/>
    </row>
    <row r="34" spans="1:12">
      <c r="A34" s="319">
        <v>22</v>
      </c>
      <c r="B34" s="320" t="s">
        <v>14</v>
      </c>
      <c r="C34" s="579">
        <v>0.5644798810516557</v>
      </c>
      <c r="D34" s="569">
        <v>0.55481183946518031</v>
      </c>
      <c r="E34" s="569">
        <v>0.54800000000000004</v>
      </c>
      <c r="F34" s="569">
        <v>0.58299999999999996</v>
      </c>
      <c r="G34" s="570">
        <v>0.59699999999999998</v>
      </c>
      <c r="I34" s="554"/>
      <c r="J34" s="555"/>
      <c r="K34" s="555"/>
      <c r="L34" s="556"/>
    </row>
    <row r="35" spans="1:12" ht="15" customHeight="1">
      <c r="A35" s="319">
        <v>23</v>
      </c>
      <c r="B35" s="320" t="s">
        <v>15</v>
      </c>
      <c r="C35" s="579">
        <v>0.51931668441942525</v>
      </c>
      <c r="D35" s="569">
        <v>0.53661231896875505</v>
      </c>
      <c r="E35" s="569">
        <v>0.52800000000000002</v>
      </c>
      <c r="F35" s="569">
        <v>0.58099999999999996</v>
      </c>
      <c r="G35" s="570">
        <v>0.56599999999999995</v>
      </c>
      <c r="I35" s="554"/>
      <c r="J35" s="555"/>
      <c r="K35" s="555"/>
      <c r="L35" s="556"/>
    </row>
    <row r="36" spans="1:12">
      <c r="A36" s="319">
        <v>24</v>
      </c>
      <c r="B36" s="320" t="s">
        <v>16</v>
      </c>
      <c r="C36" s="579">
        <v>-0.12857628734455473</v>
      </c>
      <c r="D36" s="569">
        <v>-4.1541500515706931E-2</v>
      </c>
      <c r="E36" s="569">
        <v>-9.4E-2</v>
      </c>
      <c r="F36" s="569">
        <v>-7.0000000000000007E-2</v>
      </c>
      <c r="G36" s="570">
        <v>-0.08</v>
      </c>
      <c r="I36" s="554"/>
      <c r="J36" s="555"/>
      <c r="K36" s="555"/>
      <c r="L36" s="556"/>
    </row>
    <row r="37" spans="1:12" ht="15" customHeight="1">
      <c r="A37" s="312"/>
      <c r="B37" s="313" t="s">
        <v>17</v>
      </c>
      <c r="C37" s="195"/>
      <c r="D37" s="195"/>
      <c r="E37" s="195"/>
      <c r="F37" s="195"/>
      <c r="G37" s="196"/>
      <c r="I37" s="547"/>
      <c r="J37" s="195"/>
      <c r="K37" s="195"/>
      <c r="L37" s="196"/>
    </row>
    <row r="38" spans="1:12" ht="15" customHeight="1">
      <c r="A38" s="319">
        <v>25</v>
      </c>
      <c r="B38" s="320" t="s">
        <v>18</v>
      </c>
      <c r="C38" s="579">
        <v>0.17952791231305065</v>
      </c>
      <c r="D38" s="571">
        <v>0.16579206660802059</v>
      </c>
      <c r="E38" s="571">
        <v>0.17599999999999999</v>
      </c>
      <c r="F38" s="571">
        <v>0.184</v>
      </c>
      <c r="G38" s="572">
        <v>0.21199999999999999</v>
      </c>
      <c r="I38" s="557"/>
      <c r="J38" s="558"/>
      <c r="K38" s="558"/>
      <c r="L38" s="559"/>
    </row>
    <row r="39" spans="1:12" ht="15" customHeight="1">
      <c r="A39" s="319">
        <v>26</v>
      </c>
      <c r="B39" s="320" t="s">
        <v>19</v>
      </c>
      <c r="C39" s="579">
        <v>0.67763894205345754</v>
      </c>
      <c r="D39" s="571">
        <v>0.65975765565942257</v>
      </c>
      <c r="E39" s="571">
        <v>0.72299999999999998</v>
      </c>
      <c r="F39" s="571">
        <v>0.77900000000000003</v>
      </c>
      <c r="G39" s="572">
        <v>0.71599999999999997</v>
      </c>
      <c r="I39" s="557"/>
      <c r="J39" s="558"/>
      <c r="K39" s="558"/>
      <c r="L39" s="559"/>
    </row>
    <row r="40" spans="1:12" ht="15" customHeight="1">
      <c r="A40" s="319">
        <v>27</v>
      </c>
      <c r="B40" s="321" t="s">
        <v>20</v>
      </c>
      <c r="C40" s="579">
        <v>0.19201429243507395</v>
      </c>
      <c r="D40" s="571">
        <v>0.20576556663922385</v>
      </c>
      <c r="E40" s="571">
        <v>0.185</v>
      </c>
      <c r="F40" s="571">
        <v>0.193</v>
      </c>
      <c r="G40" s="572">
        <v>0.217</v>
      </c>
      <c r="I40" s="557"/>
      <c r="J40" s="558"/>
      <c r="K40" s="558"/>
      <c r="L40" s="559"/>
    </row>
    <row r="41" spans="1:12" ht="15" customHeight="1">
      <c r="A41" s="325"/>
      <c r="B41" s="313" t="s">
        <v>356</v>
      </c>
      <c r="C41" s="195"/>
      <c r="D41" s="195"/>
      <c r="E41" s="195"/>
      <c r="F41" s="195"/>
      <c r="G41" s="196"/>
      <c r="I41" s="547"/>
      <c r="J41" s="195"/>
      <c r="K41" s="195"/>
      <c r="L41" s="196"/>
    </row>
    <row r="42" spans="1:12" ht="15" customHeight="1">
      <c r="A42" s="319">
        <v>28</v>
      </c>
      <c r="B42" s="368" t="s">
        <v>340</v>
      </c>
      <c r="C42" s="321">
        <f>'14. LCR'!H23</f>
        <v>139702649.14356813</v>
      </c>
      <c r="D42" s="321">
        <v>140516860.76185107</v>
      </c>
      <c r="E42" s="321">
        <v>146365839</v>
      </c>
      <c r="F42" s="321">
        <v>145326888</v>
      </c>
      <c r="G42" s="324">
        <v>150913136</v>
      </c>
      <c r="I42" s="557"/>
      <c r="J42" s="558"/>
      <c r="K42" s="558"/>
      <c r="L42" s="559"/>
    </row>
    <row r="43" spans="1:12">
      <c r="A43" s="319">
        <v>29</v>
      </c>
      <c r="B43" s="320" t="s">
        <v>341</v>
      </c>
      <c r="C43" s="321">
        <f>'14. LCR'!H24</f>
        <v>94433712.680466294</v>
      </c>
      <c r="D43" s="322">
        <v>75674277.716746137</v>
      </c>
      <c r="E43" s="322">
        <v>72376479</v>
      </c>
      <c r="F43" s="322">
        <v>89904544</v>
      </c>
      <c r="G43" s="323">
        <v>68046298</v>
      </c>
      <c r="I43" s="554"/>
      <c r="J43" s="555"/>
      <c r="K43" s="555"/>
      <c r="L43" s="556"/>
    </row>
    <row r="44" spans="1:12">
      <c r="A44" s="363">
        <v>30</v>
      </c>
      <c r="B44" s="364" t="s">
        <v>339</v>
      </c>
      <c r="C44" s="571">
        <f>'14. LCR'!H25</f>
        <v>1.4793726221087753</v>
      </c>
      <c r="D44" s="571">
        <v>1.8568642476881649</v>
      </c>
      <c r="E44" s="571">
        <v>2.0219999999999998</v>
      </c>
      <c r="F44" s="571">
        <v>1.6160000000000001</v>
      </c>
      <c r="G44" s="572">
        <v>2.218</v>
      </c>
      <c r="I44" s="557"/>
      <c r="J44" s="558"/>
      <c r="K44" s="558"/>
      <c r="L44" s="559"/>
    </row>
    <row r="45" spans="1:12">
      <c r="A45" s="363"/>
      <c r="B45" s="313" t="s">
        <v>453</v>
      </c>
      <c r="C45" s="195"/>
      <c r="D45" s="195"/>
      <c r="E45" s="195"/>
      <c r="F45" s="195"/>
      <c r="G45" s="196"/>
      <c r="I45" s="547"/>
      <c r="J45" s="195"/>
      <c r="K45" s="195"/>
      <c r="L45" s="196"/>
    </row>
    <row r="46" spans="1:12">
      <c r="A46" s="363">
        <v>31</v>
      </c>
      <c r="B46" s="364" t="s">
        <v>460</v>
      </c>
      <c r="C46" s="365">
        <f>'16. NSFR'!G21</f>
        <v>335903319.85475004</v>
      </c>
      <c r="D46" s="366">
        <v>396941166.57811999</v>
      </c>
      <c r="E46" s="366">
        <v>327923475</v>
      </c>
      <c r="F46" s="366">
        <v>353339315</v>
      </c>
      <c r="G46" s="367">
        <v>359791586</v>
      </c>
      <c r="I46" s="560"/>
      <c r="J46" s="561"/>
      <c r="K46" s="561"/>
      <c r="L46" s="367"/>
    </row>
    <row r="47" spans="1:12">
      <c r="A47" s="363">
        <v>32</v>
      </c>
      <c r="B47" s="364" t="s">
        <v>473</v>
      </c>
      <c r="C47" s="365">
        <f>'16. NSFR'!G37</f>
        <v>280388726.74643266</v>
      </c>
      <c r="D47" s="366">
        <v>320925453.52252972</v>
      </c>
      <c r="E47" s="366">
        <v>293297718</v>
      </c>
      <c r="F47" s="366">
        <v>302708247</v>
      </c>
      <c r="G47" s="367">
        <v>282123107</v>
      </c>
      <c r="I47" s="560"/>
      <c r="J47" s="561"/>
      <c r="K47" s="561"/>
      <c r="L47" s="367"/>
    </row>
    <row r="48" spans="1:12" ht="15" thickBot="1">
      <c r="A48" s="73">
        <v>33</v>
      </c>
      <c r="B48" s="152" t="s">
        <v>487</v>
      </c>
      <c r="C48" s="686">
        <f>'16. NSFR'!G39</f>
        <v>1.19799153037462</v>
      </c>
      <c r="D48" s="698">
        <v>1.2368640823631454</v>
      </c>
      <c r="E48" s="698">
        <v>1.1180000000000001</v>
      </c>
      <c r="F48" s="698">
        <v>1.167</v>
      </c>
      <c r="G48" s="699">
        <v>1.2749999999999999</v>
      </c>
      <c r="I48" s="562"/>
      <c r="J48" s="563"/>
      <c r="K48" s="563"/>
      <c r="L48" s="564"/>
    </row>
    <row r="49" spans="1:2">
      <c r="A49" s="15"/>
    </row>
    <row r="50" spans="1:2" ht="41.4">
      <c r="B50" s="17" t="s">
        <v>945</v>
      </c>
    </row>
    <row r="51" spans="1:2" ht="69">
      <c r="B51" s="228" t="s">
        <v>355</v>
      </c>
    </row>
  </sheetData>
  <mergeCells count="2">
    <mergeCell ref="D4:G4"/>
    <mergeCell ref="I4:L4"/>
  </mergeCells>
  <pageMargins left="0.7" right="0.7" top="0.75" bottom="0.75" header="0.3" footer="0.3"/>
  <pageSetup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4"/>
  <sheetViews>
    <sheetView zoomScale="70" zoomScaleNormal="70" workbookViewId="0">
      <selection activeCell="A3" sqref="A3"/>
    </sheetView>
  </sheetViews>
  <sheetFormatPr defaultRowHeight="14.4"/>
  <cols>
    <col min="1" max="1" width="8.77734375" style="408"/>
    <col min="2" max="2" width="69.21875" style="393" customWidth="1"/>
    <col min="3" max="3" width="21" customWidth="1"/>
    <col min="4" max="4" width="19" customWidth="1"/>
    <col min="5" max="5" width="20.5546875" customWidth="1"/>
    <col min="6" max="6" width="20" customWidth="1"/>
    <col min="7" max="7" width="18.77734375" customWidth="1"/>
    <col min="8" max="8" width="13.21875" customWidth="1"/>
  </cols>
  <sheetData>
    <row r="1" spans="1:8">
      <c r="A1" s="13" t="s">
        <v>108</v>
      </c>
      <c r="B1" s="291" t="str">
        <f>Info!C2</f>
        <v>სს " პაშა ბანკი საქართველო"</v>
      </c>
      <c r="C1" s="12"/>
      <c r="D1" s="1"/>
      <c r="E1" s="1"/>
      <c r="F1" s="1"/>
      <c r="G1" s="1"/>
    </row>
    <row r="2" spans="1:8">
      <c r="A2" s="13" t="s">
        <v>109</v>
      </c>
      <c r="B2" s="326">
        <f>'1. key ratios'!B2</f>
        <v>45382</v>
      </c>
      <c r="C2" s="12"/>
      <c r="D2" s="1"/>
      <c r="E2" s="1"/>
      <c r="F2" s="1"/>
      <c r="G2" s="1"/>
    </row>
    <row r="3" spans="1:8" ht="15" thickBot="1">
      <c r="A3" s="13"/>
      <c r="B3" s="12"/>
      <c r="C3" s="12"/>
      <c r="D3" s="1"/>
      <c r="E3" s="1"/>
      <c r="F3" s="1"/>
      <c r="G3" s="1"/>
    </row>
    <row r="4" spans="1:8" ht="21" customHeight="1">
      <c r="A4" s="733" t="s">
        <v>25</v>
      </c>
      <c r="B4" s="735" t="s">
        <v>729</v>
      </c>
      <c r="C4" s="737" t="s">
        <v>114</v>
      </c>
      <c r="D4" s="737"/>
      <c r="E4" s="737"/>
      <c r="F4" s="737" t="s">
        <v>115</v>
      </c>
      <c r="G4" s="737"/>
      <c r="H4" s="738"/>
    </row>
    <row r="5" spans="1:8" ht="21" customHeight="1">
      <c r="A5" s="734"/>
      <c r="B5" s="736"/>
      <c r="C5" s="651" t="s">
        <v>26</v>
      </c>
      <c r="D5" s="651" t="s">
        <v>88</v>
      </c>
      <c r="E5" s="651" t="s">
        <v>66</v>
      </c>
      <c r="F5" s="651" t="s">
        <v>26</v>
      </c>
      <c r="G5" s="651" t="s">
        <v>88</v>
      </c>
      <c r="H5" s="629" t="s">
        <v>66</v>
      </c>
    </row>
    <row r="6" spans="1:8" ht="26.55" customHeight="1">
      <c r="A6" s="734"/>
      <c r="B6" s="617" t="s">
        <v>95</v>
      </c>
      <c r="C6" s="730"/>
      <c r="D6" s="731"/>
      <c r="E6" s="731"/>
      <c r="F6" s="731"/>
      <c r="G6" s="731"/>
      <c r="H6" s="732"/>
    </row>
    <row r="7" spans="1:8" ht="22.95" customHeight="1">
      <c r="A7" s="678">
        <v>1</v>
      </c>
      <c r="B7" s="616" t="s">
        <v>843</v>
      </c>
      <c r="C7" s="657">
        <f>SUM(C8:C10)</f>
        <v>36278201</v>
      </c>
      <c r="D7" s="657">
        <f>SUM(D8:D10)</f>
        <v>100759260</v>
      </c>
      <c r="E7" s="658">
        <f>C7+D7</f>
        <v>137037461</v>
      </c>
      <c r="F7" s="632">
        <f>SUM(F8:F10)</f>
        <v>32067454.296300001</v>
      </c>
      <c r="G7" s="632">
        <f>SUM(G8:G10)</f>
        <v>92633172.173600003</v>
      </c>
      <c r="H7" s="628">
        <f>F7+G7</f>
        <v>124700626.46990001</v>
      </c>
    </row>
    <row r="8" spans="1:8">
      <c r="A8" s="678">
        <v>1.1000000000000001</v>
      </c>
      <c r="B8" s="615" t="s">
        <v>96</v>
      </c>
      <c r="C8" s="657">
        <v>383150</v>
      </c>
      <c r="D8" s="657">
        <v>1788782</v>
      </c>
      <c r="E8" s="658">
        <f t="shared" ref="E8:E36" si="0">C8+D8</f>
        <v>2171932</v>
      </c>
      <c r="F8" s="632">
        <v>1539124.3</v>
      </c>
      <c r="G8" s="632">
        <v>3735876.0312000001</v>
      </c>
      <c r="H8" s="628">
        <f t="shared" ref="H8:H36" si="1">F8+G8</f>
        <v>5275000.3311999999</v>
      </c>
    </row>
    <row r="9" spans="1:8">
      <c r="A9" s="678">
        <v>1.2</v>
      </c>
      <c r="B9" s="615" t="s">
        <v>97</v>
      </c>
      <c r="C9" s="657">
        <v>858508</v>
      </c>
      <c r="D9" s="657">
        <v>31848253</v>
      </c>
      <c r="E9" s="658">
        <f t="shared" si="0"/>
        <v>32706761</v>
      </c>
      <c r="F9" s="632">
        <v>467350.52</v>
      </c>
      <c r="G9" s="632">
        <v>45466796.759200007</v>
      </c>
      <c r="H9" s="628">
        <f t="shared" si="1"/>
        <v>45934147.27920001</v>
      </c>
    </row>
    <row r="10" spans="1:8">
      <c r="A10" s="678">
        <v>1.3</v>
      </c>
      <c r="B10" s="615" t="s">
        <v>98</v>
      </c>
      <c r="C10" s="657">
        <v>35036543</v>
      </c>
      <c r="D10" s="657">
        <v>67122225</v>
      </c>
      <c r="E10" s="658">
        <f t="shared" si="0"/>
        <v>102158768</v>
      </c>
      <c r="F10" s="632">
        <v>30060979.476300001</v>
      </c>
      <c r="G10" s="632">
        <v>43430499.383199997</v>
      </c>
      <c r="H10" s="628">
        <f t="shared" si="1"/>
        <v>73491478.859499991</v>
      </c>
    </row>
    <row r="11" spans="1:8">
      <c r="A11" s="678">
        <v>2</v>
      </c>
      <c r="B11" s="635" t="s">
        <v>730</v>
      </c>
      <c r="C11" s="657">
        <f>C12</f>
        <v>969680</v>
      </c>
      <c r="D11" s="657">
        <f>D12</f>
        <v>0</v>
      </c>
      <c r="E11" s="658">
        <f t="shared" si="0"/>
        <v>969680</v>
      </c>
      <c r="F11" s="657">
        <f>F12</f>
        <v>1526125.55</v>
      </c>
      <c r="G11" s="657">
        <f>G12</f>
        <v>0</v>
      </c>
      <c r="H11" s="628">
        <f t="shared" si="1"/>
        <v>1526125.55</v>
      </c>
    </row>
    <row r="12" spans="1:8">
      <c r="A12" s="678">
        <v>2.1</v>
      </c>
      <c r="B12" s="614" t="s">
        <v>731</v>
      </c>
      <c r="C12" s="657">
        <v>969680</v>
      </c>
      <c r="D12" s="657"/>
      <c r="E12" s="658">
        <f t="shared" si="0"/>
        <v>969680</v>
      </c>
      <c r="F12" s="632">
        <v>1526125.55</v>
      </c>
      <c r="G12" s="632"/>
      <c r="H12" s="628">
        <f t="shared" si="1"/>
        <v>1526125.55</v>
      </c>
    </row>
    <row r="13" spans="1:8" ht="26.55" customHeight="1">
      <c r="A13" s="678">
        <v>3</v>
      </c>
      <c r="B13" s="659" t="s">
        <v>732</v>
      </c>
      <c r="C13" s="657"/>
      <c r="D13" s="657"/>
      <c r="E13" s="658">
        <f t="shared" si="0"/>
        <v>0</v>
      </c>
      <c r="F13" s="632"/>
      <c r="G13" s="632"/>
      <c r="H13" s="628">
        <f t="shared" si="1"/>
        <v>0</v>
      </c>
    </row>
    <row r="14" spans="1:8" ht="26.55" customHeight="1">
      <c r="A14" s="678">
        <v>4</v>
      </c>
      <c r="B14" s="660" t="s">
        <v>733</v>
      </c>
      <c r="C14" s="657"/>
      <c r="D14" s="657"/>
      <c r="E14" s="658">
        <f t="shared" si="0"/>
        <v>0</v>
      </c>
      <c r="F14" s="632"/>
      <c r="G14" s="632"/>
      <c r="H14" s="628">
        <f t="shared" si="1"/>
        <v>0</v>
      </c>
    </row>
    <row r="15" spans="1:8" ht="24.45" customHeight="1">
      <c r="A15" s="678">
        <v>5</v>
      </c>
      <c r="B15" s="660" t="s">
        <v>734</v>
      </c>
      <c r="C15" s="627">
        <f>SUM(C16:C18)</f>
        <v>0</v>
      </c>
      <c r="D15" s="627">
        <f>SUM(D16:D18)</f>
        <v>0</v>
      </c>
      <c r="E15" s="626">
        <f t="shared" si="0"/>
        <v>0</v>
      </c>
      <c r="F15" s="625">
        <f>SUM(F16:F18)</f>
        <v>0</v>
      </c>
      <c r="G15" s="625">
        <f>SUM(G16:G18)</f>
        <v>0</v>
      </c>
      <c r="H15" s="624">
        <f t="shared" si="1"/>
        <v>0</v>
      </c>
    </row>
    <row r="16" spans="1:8">
      <c r="A16" s="678">
        <v>5.0999999999999996</v>
      </c>
      <c r="B16" s="661" t="s">
        <v>735</v>
      </c>
      <c r="C16" s="657"/>
      <c r="D16" s="657"/>
      <c r="E16" s="658">
        <f t="shared" si="0"/>
        <v>0</v>
      </c>
      <c r="F16" s="632"/>
      <c r="G16" s="632"/>
      <c r="H16" s="628">
        <f t="shared" si="1"/>
        <v>0</v>
      </c>
    </row>
    <row r="17" spans="1:8">
      <c r="A17" s="678">
        <v>5.2</v>
      </c>
      <c r="B17" s="661" t="s">
        <v>569</v>
      </c>
      <c r="C17" s="657"/>
      <c r="D17" s="657"/>
      <c r="E17" s="658">
        <f t="shared" si="0"/>
        <v>0</v>
      </c>
      <c r="F17" s="632"/>
      <c r="G17" s="632"/>
      <c r="H17" s="628">
        <f t="shared" si="1"/>
        <v>0</v>
      </c>
    </row>
    <row r="18" spans="1:8">
      <c r="A18" s="678">
        <v>5.3</v>
      </c>
      <c r="B18" s="661" t="s">
        <v>736</v>
      </c>
      <c r="C18" s="657"/>
      <c r="D18" s="657"/>
      <c r="E18" s="658">
        <f t="shared" si="0"/>
        <v>0</v>
      </c>
      <c r="F18" s="632"/>
      <c r="G18" s="632"/>
      <c r="H18" s="628">
        <f t="shared" si="1"/>
        <v>0</v>
      </c>
    </row>
    <row r="19" spans="1:8">
      <c r="A19" s="678">
        <v>6</v>
      </c>
      <c r="B19" s="659" t="s">
        <v>737</v>
      </c>
      <c r="C19" s="657">
        <f>SUM(C20:C21)</f>
        <v>186938990</v>
      </c>
      <c r="D19" s="657">
        <f>SUM(D20:D21)</f>
        <v>172216429</v>
      </c>
      <c r="E19" s="658">
        <f t="shared" si="0"/>
        <v>359155419</v>
      </c>
      <c r="F19" s="632">
        <f>SUM(F20:F21)</f>
        <v>176536441.1056</v>
      </c>
      <c r="G19" s="632">
        <f>SUM(G20:G21)</f>
        <v>202738449.95169997</v>
      </c>
      <c r="H19" s="628">
        <f t="shared" si="1"/>
        <v>379274891.05729997</v>
      </c>
    </row>
    <row r="20" spans="1:8">
      <c r="A20" s="678">
        <v>6.1</v>
      </c>
      <c r="B20" s="661" t="s">
        <v>569</v>
      </c>
      <c r="C20" s="657">
        <v>56257493</v>
      </c>
      <c r="D20" s="657">
        <v>5533905</v>
      </c>
      <c r="E20" s="658">
        <f t="shared" si="0"/>
        <v>61791398</v>
      </c>
      <c r="F20" s="632">
        <v>51018062.598000005</v>
      </c>
      <c r="G20" s="632">
        <v>7164045.8306</v>
      </c>
      <c r="H20" s="628">
        <f t="shared" si="1"/>
        <v>58182108.428600006</v>
      </c>
    </row>
    <row r="21" spans="1:8">
      <c r="A21" s="678">
        <v>6.2</v>
      </c>
      <c r="B21" s="661" t="s">
        <v>736</v>
      </c>
      <c r="C21" s="657">
        <v>130681497</v>
      </c>
      <c r="D21" s="657">
        <v>166682524</v>
      </c>
      <c r="E21" s="658">
        <f t="shared" si="0"/>
        <v>297364021</v>
      </c>
      <c r="F21" s="632">
        <v>125518378.50759999</v>
      </c>
      <c r="G21" s="632">
        <v>195574404.12109998</v>
      </c>
      <c r="H21" s="628">
        <f t="shared" si="1"/>
        <v>321092782.62869996</v>
      </c>
    </row>
    <row r="22" spans="1:8">
      <c r="A22" s="678">
        <v>7</v>
      </c>
      <c r="B22" s="662" t="s">
        <v>738</v>
      </c>
      <c r="C22" s="657"/>
      <c r="D22" s="657"/>
      <c r="E22" s="658">
        <f t="shared" si="0"/>
        <v>0</v>
      </c>
      <c r="F22" s="632"/>
      <c r="G22" s="632"/>
      <c r="H22" s="628">
        <f t="shared" si="1"/>
        <v>0</v>
      </c>
    </row>
    <row r="23" spans="1:8">
      <c r="A23" s="678">
        <v>8</v>
      </c>
      <c r="B23" s="662" t="s">
        <v>739</v>
      </c>
      <c r="C23" s="657"/>
      <c r="D23" s="657"/>
      <c r="E23" s="658">
        <f t="shared" si="0"/>
        <v>0</v>
      </c>
      <c r="F23" s="632">
        <v>3516866.86</v>
      </c>
      <c r="G23" s="632"/>
      <c r="H23" s="628">
        <f t="shared" si="1"/>
        <v>3516866.86</v>
      </c>
    </row>
    <row r="24" spans="1:8">
      <c r="A24" s="678">
        <v>9</v>
      </c>
      <c r="B24" s="660" t="s">
        <v>740</v>
      </c>
      <c r="C24" s="657">
        <f>SUM(C25:C26)</f>
        <v>3556502</v>
      </c>
      <c r="D24" s="657">
        <f>SUM(D25:D26)</f>
        <v>0</v>
      </c>
      <c r="E24" s="658">
        <f t="shared" si="0"/>
        <v>3556502</v>
      </c>
      <c r="F24" s="632">
        <f>SUM(F25:F26)</f>
        <v>5531986.7199999997</v>
      </c>
      <c r="G24" s="632">
        <f>SUM(G25:G26)</f>
        <v>0</v>
      </c>
      <c r="H24" s="628">
        <f t="shared" si="1"/>
        <v>5531986.7199999997</v>
      </c>
    </row>
    <row r="25" spans="1:8">
      <c r="A25" s="678">
        <v>9.1</v>
      </c>
      <c r="B25" s="663" t="s">
        <v>741</v>
      </c>
      <c r="C25" s="657">
        <v>3556502</v>
      </c>
      <c r="D25" s="657"/>
      <c r="E25" s="658">
        <f t="shared" si="0"/>
        <v>3556502</v>
      </c>
      <c r="F25" s="632">
        <v>5531986.7199999997</v>
      </c>
      <c r="G25" s="632"/>
      <c r="H25" s="628">
        <f t="shared" si="1"/>
        <v>5531986.7199999997</v>
      </c>
    </row>
    <row r="26" spans="1:8">
      <c r="A26" s="678">
        <v>9.1999999999999993</v>
      </c>
      <c r="B26" s="663" t="s">
        <v>742</v>
      </c>
      <c r="C26" s="657"/>
      <c r="D26" s="657"/>
      <c r="E26" s="658">
        <f t="shared" si="0"/>
        <v>0</v>
      </c>
      <c r="F26" s="632"/>
      <c r="G26" s="632"/>
      <c r="H26" s="628">
        <f t="shared" si="1"/>
        <v>0</v>
      </c>
    </row>
    <row r="27" spans="1:8">
      <c r="A27" s="678">
        <v>10</v>
      </c>
      <c r="B27" s="660" t="s">
        <v>36</v>
      </c>
      <c r="C27" s="657">
        <f>SUM(C28:C29)</f>
        <v>5338487</v>
      </c>
      <c r="D27" s="657">
        <f>SUM(D28:D29)</f>
        <v>0</v>
      </c>
      <c r="E27" s="658">
        <f t="shared" si="0"/>
        <v>5338487</v>
      </c>
      <c r="F27" s="632">
        <f>SUM(F28:F29)</f>
        <v>5428708.8499999996</v>
      </c>
      <c r="G27" s="632">
        <f>SUM(G28:G29)</f>
        <v>0</v>
      </c>
      <c r="H27" s="628">
        <f t="shared" si="1"/>
        <v>5428708.8499999996</v>
      </c>
    </row>
    <row r="28" spans="1:8">
      <c r="A28" s="678">
        <v>10.1</v>
      </c>
      <c r="B28" s="663" t="s">
        <v>743</v>
      </c>
      <c r="C28" s="657"/>
      <c r="D28" s="657"/>
      <c r="E28" s="658">
        <f t="shared" si="0"/>
        <v>0</v>
      </c>
      <c r="F28" s="632"/>
      <c r="G28" s="632"/>
      <c r="H28" s="628">
        <f t="shared" si="1"/>
        <v>0</v>
      </c>
    </row>
    <row r="29" spans="1:8">
      <c r="A29" s="678">
        <v>10.199999999999999</v>
      </c>
      <c r="B29" s="663" t="s">
        <v>744</v>
      </c>
      <c r="C29" s="657">
        <v>5338487</v>
      </c>
      <c r="D29" s="657"/>
      <c r="E29" s="658">
        <f t="shared" si="0"/>
        <v>5338487</v>
      </c>
      <c r="F29" s="632">
        <v>5428708.8499999996</v>
      </c>
      <c r="G29" s="632"/>
      <c r="H29" s="628">
        <f t="shared" si="1"/>
        <v>5428708.8499999996</v>
      </c>
    </row>
    <row r="30" spans="1:8">
      <c r="A30" s="678">
        <v>11</v>
      </c>
      <c r="B30" s="660" t="s">
        <v>745</v>
      </c>
      <c r="C30" s="657">
        <f>SUM(C31:C32)</f>
        <v>0</v>
      </c>
      <c r="D30" s="657">
        <f>SUM(D31:D32)</f>
        <v>0</v>
      </c>
      <c r="E30" s="658">
        <f t="shared" si="0"/>
        <v>0</v>
      </c>
      <c r="F30" s="632">
        <f>SUM(F31:F32)</f>
        <v>0</v>
      </c>
      <c r="G30" s="632">
        <f>SUM(G31:G32)</f>
        <v>0</v>
      </c>
      <c r="H30" s="628">
        <f t="shared" si="1"/>
        <v>0</v>
      </c>
    </row>
    <row r="31" spans="1:8">
      <c r="A31" s="678">
        <v>11.1</v>
      </c>
      <c r="B31" s="663" t="s">
        <v>746</v>
      </c>
      <c r="C31" s="657"/>
      <c r="D31" s="657"/>
      <c r="E31" s="658">
        <f t="shared" si="0"/>
        <v>0</v>
      </c>
      <c r="F31" s="632"/>
      <c r="G31" s="632"/>
      <c r="H31" s="628">
        <f t="shared" si="1"/>
        <v>0</v>
      </c>
    </row>
    <row r="32" spans="1:8">
      <c r="A32" s="678">
        <v>11.2</v>
      </c>
      <c r="B32" s="663" t="s">
        <v>747</v>
      </c>
      <c r="C32" s="657"/>
      <c r="D32" s="657"/>
      <c r="E32" s="658">
        <f t="shared" si="0"/>
        <v>0</v>
      </c>
      <c r="F32" s="632"/>
      <c r="G32" s="632"/>
      <c r="H32" s="628">
        <f t="shared" si="1"/>
        <v>0</v>
      </c>
    </row>
    <row r="33" spans="1:8">
      <c r="A33" s="678">
        <v>13</v>
      </c>
      <c r="B33" s="660" t="s">
        <v>99</v>
      </c>
      <c r="C33" s="657">
        <v>19623847</v>
      </c>
      <c r="D33" s="657">
        <v>40424</v>
      </c>
      <c r="E33" s="658">
        <f t="shared" si="0"/>
        <v>19664271</v>
      </c>
      <c r="F33" s="632">
        <v>2401338.5406000004</v>
      </c>
      <c r="G33" s="632">
        <v>170114.05410000001</v>
      </c>
      <c r="H33" s="628">
        <f t="shared" si="1"/>
        <v>2571452.5947000002</v>
      </c>
    </row>
    <row r="34" spans="1:8">
      <c r="A34" s="678">
        <v>13.1</v>
      </c>
      <c r="B34" s="613" t="s">
        <v>748</v>
      </c>
      <c r="C34" s="657">
        <v>15709918</v>
      </c>
      <c r="D34" s="657"/>
      <c r="E34" s="658">
        <f t="shared" si="0"/>
        <v>15709918</v>
      </c>
      <c r="F34" s="632"/>
      <c r="G34" s="632"/>
      <c r="H34" s="628">
        <f t="shared" si="1"/>
        <v>0</v>
      </c>
    </row>
    <row r="35" spans="1:8">
      <c r="A35" s="678">
        <v>13.2</v>
      </c>
      <c r="B35" s="613" t="s">
        <v>749</v>
      </c>
      <c r="C35" s="657"/>
      <c r="D35" s="657"/>
      <c r="E35" s="658">
        <f t="shared" si="0"/>
        <v>0</v>
      </c>
      <c r="F35" s="632"/>
      <c r="G35" s="632"/>
      <c r="H35" s="628">
        <f t="shared" si="1"/>
        <v>0</v>
      </c>
    </row>
    <row r="36" spans="1:8">
      <c r="A36" s="678">
        <v>14</v>
      </c>
      <c r="B36" s="612" t="s">
        <v>750</v>
      </c>
      <c r="C36" s="657">
        <f>SUM(C7,C11,C13,C14,C15,C19,C22,C23,C24,C27,C30,C33)</f>
        <v>252705707</v>
      </c>
      <c r="D36" s="657">
        <f>SUM(D7,D11,D13,D14,D15,D19,D22,D23,D24,D27,D30,D33)</f>
        <v>273016113</v>
      </c>
      <c r="E36" s="623">
        <f t="shared" si="0"/>
        <v>525721820</v>
      </c>
      <c r="F36" s="657">
        <f>SUM(F7,F11,F13,F14,F15,F19,F22,F23,F24,F27,F30,F33)</f>
        <v>227008921.92250001</v>
      </c>
      <c r="G36" s="657">
        <f>SUM(G7,G11,G13,G14,G15,G19,G22,G23,G24,G27,G30,G33)</f>
        <v>295541736.17939997</v>
      </c>
      <c r="H36" s="628">
        <f t="shared" si="1"/>
        <v>522550658.10189998</v>
      </c>
    </row>
    <row r="37" spans="1:8" ht="22.5" customHeight="1">
      <c r="A37" s="678"/>
      <c r="B37" s="611" t="s">
        <v>104</v>
      </c>
      <c r="C37" s="730"/>
      <c r="D37" s="731"/>
      <c r="E37" s="731"/>
      <c r="F37" s="731"/>
      <c r="G37" s="731"/>
      <c r="H37" s="732"/>
    </row>
    <row r="38" spans="1:8">
      <c r="A38" s="678">
        <v>15</v>
      </c>
      <c r="B38" s="662" t="s">
        <v>751</v>
      </c>
      <c r="C38" s="632">
        <v>454492.42</v>
      </c>
      <c r="D38" s="632"/>
      <c r="E38" s="623">
        <f>C38+D38</f>
        <v>454492.42</v>
      </c>
      <c r="F38" s="622">
        <v>3442155.54</v>
      </c>
      <c r="G38" s="622"/>
      <c r="H38" s="621">
        <f>F38+G38</f>
        <v>3442155.54</v>
      </c>
    </row>
    <row r="39" spans="1:8">
      <c r="A39" s="678">
        <v>15.1</v>
      </c>
      <c r="B39" s="614" t="s">
        <v>731</v>
      </c>
      <c r="C39" s="632">
        <v>454492.42</v>
      </c>
      <c r="D39" s="632"/>
      <c r="E39" s="623">
        <f t="shared" ref="E39:E53" si="2">C39+D39</f>
        <v>454492.42</v>
      </c>
      <c r="F39" s="632">
        <v>3442155.54</v>
      </c>
      <c r="G39" s="632"/>
      <c r="H39" s="628">
        <f t="shared" ref="H39:H53" si="3">F39+G39</f>
        <v>3442155.54</v>
      </c>
    </row>
    <row r="40" spans="1:8" ht="24" customHeight="1">
      <c r="A40" s="678">
        <v>16</v>
      </c>
      <c r="B40" s="662" t="s">
        <v>752</v>
      </c>
      <c r="C40" s="632"/>
      <c r="D40" s="632"/>
      <c r="E40" s="623">
        <f t="shared" si="2"/>
        <v>0</v>
      </c>
      <c r="F40" s="632"/>
      <c r="G40" s="632"/>
      <c r="H40" s="628">
        <f t="shared" si="3"/>
        <v>0</v>
      </c>
    </row>
    <row r="41" spans="1:8">
      <c r="A41" s="678">
        <v>17</v>
      </c>
      <c r="B41" s="662" t="s">
        <v>753</v>
      </c>
      <c r="C41" s="632">
        <f>SUM(C42:C45)</f>
        <v>121258272.49000001</v>
      </c>
      <c r="D41" s="632">
        <f>SUM(D42:D45)</f>
        <v>244104448.85150003</v>
      </c>
      <c r="E41" s="623">
        <f t="shared" si="2"/>
        <v>365362721.34150004</v>
      </c>
      <c r="F41" s="632">
        <f>SUM(F42:F45)</f>
        <v>110084511.86999999</v>
      </c>
      <c r="G41" s="632">
        <f>SUM(G42:G45)</f>
        <v>273470520.76419997</v>
      </c>
      <c r="H41" s="628">
        <f t="shared" si="3"/>
        <v>383555032.63419998</v>
      </c>
    </row>
    <row r="42" spans="1:8">
      <c r="A42" s="678">
        <v>17.100000000000001</v>
      </c>
      <c r="B42" s="664" t="s">
        <v>754</v>
      </c>
      <c r="C42" s="632">
        <v>121258272.49000001</v>
      </c>
      <c r="D42" s="632">
        <v>222352130.60140002</v>
      </c>
      <c r="E42" s="623">
        <f t="shared" si="2"/>
        <v>343610403.09140003</v>
      </c>
      <c r="F42" s="632">
        <v>110084511.86999999</v>
      </c>
      <c r="G42" s="632">
        <v>249629781.96339998</v>
      </c>
      <c r="H42" s="628">
        <f t="shared" si="3"/>
        <v>359714293.83339995</v>
      </c>
    </row>
    <row r="43" spans="1:8">
      <c r="A43" s="678">
        <v>17.2</v>
      </c>
      <c r="B43" s="615" t="s">
        <v>100</v>
      </c>
      <c r="C43" s="632">
        <v>0</v>
      </c>
      <c r="D43" s="632">
        <v>21752318.250100002</v>
      </c>
      <c r="E43" s="623">
        <f t="shared" si="2"/>
        <v>21752318.250100002</v>
      </c>
      <c r="F43" s="632">
        <v>0</v>
      </c>
      <c r="G43" s="632">
        <v>20732649.090599999</v>
      </c>
      <c r="H43" s="628">
        <f t="shared" si="3"/>
        <v>20732649.090599999</v>
      </c>
    </row>
    <row r="44" spans="1:8">
      <c r="A44" s="678">
        <v>17.3</v>
      </c>
      <c r="B44" s="664" t="s">
        <v>755</v>
      </c>
      <c r="C44" s="632"/>
      <c r="D44" s="632"/>
      <c r="E44" s="623">
        <f t="shared" si="2"/>
        <v>0</v>
      </c>
      <c r="F44" s="632"/>
      <c r="G44" s="632"/>
      <c r="H44" s="628">
        <f t="shared" si="3"/>
        <v>0</v>
      </c>
    </row>
    <row r="45" spans="1:8">
      <c r="A45" s="678">
        <v>17.399999999999999</v>
      </c>
      <c r="B45" s="664" t="s">
        <v>756</v>
      </c>
      <c r="C45" s="632">
        <v>0</v>
      </c>
      <c r="D45" s="632">
        <v>0</v>
      </c>
      <c r="E45" s="623">
        <f t="shared" si="2"/>
        <v>0</v>
      </c>
      <c r="F45" s="632">
        <v>0</v>
      </c>
      <c r="G45" s="632">
        <v>3108089.7102000001</v>
      </c>
      <c r="H45" s="628">
        <f t="shared" si="3"/>
        <v>3108089.7102000001</v>
      </c>
    </row>
    <row r="46" spans="1:8">
      <c r="A46" s="678">
        <v>18</v>
      </c>
      <c r="B46" s="660" t="s">
        <v>757</v>
      </c>
      <c r="C46" s="632">
        <v>335421.36869999999</v>
      </c>
      <c r="D46" s="632">
        <v>107786.7343</v>
      </c>
      <c r="E46" s="623">
        <f t="shared" si="2"/>
        <v>443208.103</v>
      </c>
      <c r="F46" s="632">
        <v>625490.45510000002</v>
      </c>
      <c r="G46" s="632">
        <v>5850.2928000000002</v>
      </c>
      <c r="H46" s="628">
        <f t="shared" si="3"/>
        <v>631340.74790000007</v>
      </c>
    </row>
    <row r="47" spans="1:8">
      <c r="A47" s="678">
        <v>19</v>
      </c>
      <c r="B47" s="660" t="s">
        <v>758</v>
      </c>
      <c r="C47" s="632">
        <f>SUM(C48:C49)</f>
        <v>0</v>
      </c>
      <c r="D47" s="632">
        <f>SUM(D48:D49)</f>
        <v>0</v>
      </c>
      <c r="E47" s="623">
        <f t="shared" si="2"/>
        <v>0</v>
      </c>
      <c r="F47" s="632">
        <f>SUM(F48:F49)</f>
        <v>0</v>
      </c>
      <c r="G47" s="632">
        <f>SUM(G48:G49)</f>
        <v>0</v>
      </c>
      <c r="H47" s="628">
        <f t="shared" si="3"/>
        <v>0</v>
      </c>
    </row>
    <row r="48" spans="1:8">
      <c r="A48" s="678">
        <v>19.100000000000001</v>
      </c>
      <c r="B48" s="665" t="s">
        <v>759</v>
      </c>
      <c r="C48" s="632"/>
      <c r="D48" s="632"/>
      <c r="E48" s="623">
        <f t="shared" si="2"/>
        <v>0</v>
      </c>
      <c r="F48" s="632"/>
      <c r="G48" s="632"/>
      <c r="H48" s="628">
        <f t="shared" si="3"/>
        <v>0</v>
      </c>
    </row>
    <row r="49" spans="1:8">
      <c r="A49" s="678">
        <v>19.2</v>
      </c>
      <c r="B49" s="665" t="s">
        <v>760</v>
      </c>
      <c r="C49" s="632"/>
      <c r="D49" s="632"/>
      <c r="E49" s="623">
        <f t="shared" si="2"/>
        <v>0</v>
      </c>
      <c r="F49" s="632"/>
      <c r="G49" s="632"/>
      <c r="H49" s="628">
        <f t="shared" si="3"/>
        <v>0</v>
      </c>
    </row>
    <row r="50" spans="1:8">
      <c r="A50" s="678">
        <v>20</v>
      </c>
      <c r="B50" s="612" t="s">
        <v>101</v>
      </c>
      <c r="C50" s="632">
        <v>0</v>
      </c>
      <c r="D50" s="632">
        <v>32173285.774300002</v>
      </c>
      <c r="E50" s="623">
        <f t="shared" si="2"/>
        <v>32173285.774300002</v>
      </c>
      <c r="F50" s="632">
        <v>0</v>
      </c>
      <c r="G50" s="632">
        <v>25461173.840599999</v>
      </c>
      <c r="H50" s="628">
        <f t="shared" si="3"/>
        <v>25461173.840599999</v>
      </c>
    </row>
    <row r="51" spans="1:8">
      <c r="A51" s="678">
        <v>21</v>
      </c>
      <c r="B51" s="635" t="s">
        <v>89</v>
      </c>
      <c r="C51" s="632">
        <v>10775170.279999999</v>
      </c>
      <c r="D51" s="632">
        <v>2824006.5890000002</v>
      </c>
      <c r="E51" s="623">
        <f t="shared" si="2"/>
        <v>13599176.868999999</v>
      </c>
      <c r="F51" s="632">
        <v>4845632.49</v>
      </c>
      <c r="G51" s="632">
        <v>1465166.1784999997</v>
      </c>
      <c r="H51" s="628">
        <f t="shared" si="3"/>
        <v>6310798.6684999997</v>
      </c>
    </row>
    <row r="52" spans="1:8">
      <c r="A52" s="678">
        <v>21.1</v>
      </c>
      <c r="B52" s="615" t="s">
        <v>761</v>
      </c>
      <c r="C52" s="632"/>
      <c r="D52" s="632"/>
      <c r="E52" s="623">
        <f t="shared" si="2"/>
        <v>0</v>
      </c>
      <c r="F52" s="632"/>
      <c r="G52" s="632"/>
      <c r="H52" s="628">
        <f t="shared" si="3"/>
        <v>0</v>
      </c>
    </row>
    <row r="53" spans="1:8">
      <c r="A53" s="678">
        <v>22</v>
      </c>
      <c r="B53" s="612" t="s">
        <v>762</v>
      </c>
      <c r="C53" s="632">
        <f>SUM(C38,C40,C41,C46,C47,C50,C51)</f>
        <v>132823356.55870001</v>
      </c>
      <c r="D53" s="632">
        <f>SUM(D38,D40,D41,D46,D47,D50,D51)</f>
        <v>279209527.94910002</v>
      </c>
      <c r="E53" s="623">
        <f t="shared" si="2"/>
        <v>412032884.50780004</v>
      </c>
      <c r="F53" s="632">
        <f>SUM(F38,F40,F41,F46,F47,F50,F51)</f>
        <v>118997790.35509999</v>
      </c>
      <c r="G53" s="632">
        <f>SUM(G38,G40,G41,G46,G47,G50,G51)</f>
        <v>300402711.07609999</v>
      </c>
      <c r="H53" s="628">
        <f t="shared" si="3"/>
        <v>419400501.43119997</v>
      </c>
    </row>
    <row r="54" spans="1:8" ht="24" customHeight="1">
      <c r="A54" s="678"/>
      <c r="B54" s="611" t="s">
        <v>763</v>
      </c>
      <c r="C54" s="730"/>
      <c r="D54" s="731"/>
      <c r="E54" s="731"/>
      <c r="F54" s="731"/>
      <c r="G54" s="731"/>
      <c r="H54" s="732"/>
    </row>
    <row r="55" spans="1:8">
      <c r="A55" s="678">
        <v>23</v>
      </c>
      <c r="B55" s="612" t="s">
        <v>105</v>
      </c>
      <c r="C55" s="632">
        <v>136800000</v>
      </c>
      <c r="D55" s="632"/>
      <c r="E55" s="623">
        <f>C55+D55</f>
        <v>136800000</v>
      </c>
      <c r="F55" s="632">
        <v>129000000</v>
      </c>
      <c r="G55" s="632"/>
      <c r="H55" s="628">
        <f>F55+G55</f>
        <v>129000000</v>
      </c>
    </row>
    <row r="56" spans="1:8">
      <c r="A56" s="678">
        <v>24</v>
      </c>
      <c r="B56" s="612" t="s">
        <v>764</v>
      </c>
      <c r="C56" s="632"/>
      <c r="D56" s="632"/>
      <c r="E56" s="623">
        <f t="shared" ref="E56:E69" si="4">C56+D56</f>
        <v>0</v>
      </c>
      <c r="F56" s="632"/>
      <c r="G56" s="632"/>
      <c r="H56" s="628">
        <f t="shared" ref="H56:H69" si="5">F56+G56</f>
        <v>0</v>
      </c>
    </row>
    <row r="57" spans="1:8">
      <c r="A57" s="678">
        <v>25</v>
      </c>
      <c r="B57" s="612" t="s">
        <v>102</v>
      </c>
      <c r="C57" s="632"/>
      <c r="D57" s="632"/>
      <c r="E57" s="623">
        <f t="shared" si="4"/>
        <v>0</v>
      </c>
      <c r="F57" s="632"/>
      <c r="G57" s="632"/>
      <c r="H57" s="628">
        <f t="shared" si="5"/>
        <v>0</v>
      </c>
    </row>
    <row r="58" spans="1:8">
      <c r="A58" s="678">
        <v>26</v>
      </c>
      <c r="B58" s="660" t="s">
        <v>765</v>
      </c>
      <c r="C58" s="632"/>
      <c r="D58" s="632"/>
      <c r="E58" s="623">
        <f t="shared" si="4"/>
        <v>0</v>
      </c>
      <c r="F58" s="632"/>
      <c r="G58" s="632"/>
      <c r="H58" s="628">
        <f t="shared" si="5"/>
        <v>0</v>
      </c>
    </row>
    <row r="59" spans="1:8">
      <c r="A59" s="678">
        <v>27</v>
      </c>
      <c r="B59" s="660" t="s">
        <v>766</v>
      </c>
      <c r="C59" s="632">
        <f>SUM(C60:C61)</f>
        <v>1154910.5</v>
      </c>
      <c r="D59" s="632">
        <f>SUM(D60:D61)</f>
        <v>0</v>
      </c>
      <c r="E59" s="623">
        <f t="shared" si="4"/>
        <v>1154910.5</v>
      </c>
      <c r="F59" s="632">
        <v>1154910.5</v>
      </c>
      <c r="G59" s="632"/>
      <c r="H59" s="628">
        <f t="shared" si="5"/>
        <v>1154910.5</v>
      </c>
    </row>
    <row r="60" spans="1:8">
      <c r="A60" s="678">
        <v>27.1</v>
      </c>
      <c r="B60" s="665" t="s">
        <v>767</v>
      </c>
      <c r="C60" s="632">
        <v>1154910.5</v>
      </c>
      <c r="D60" s="632"/>
      <c r="E60" s="623">
        <f t="shared" si="4"/>
        <v>1154910.5</v>
      </c>
      <c r="F60" s="632">
        <v>1154910.5</v>
      </c>
      <c r="G60" s="632"/>
      <c r="H60" s="628">
        <f t="shared" si="5"/>
        <v>1154910.5</v>
      </c>
    </row>
    <row r="61" spans="1:8">
      <c r="A61" s="678">
        <v>27.2</v>
      </c>
      <c r="B61" s="664" t="s">
        <v>768</v>
      </c>
      <c r="C61" s="632"/>
      <c r="D61" s="632"/>
      <c r="E61" s="623">
        <f t="shared" si="4"/>
        <v>0</v>
      </c>
      <c r="F61" s="632"/>
      <c r="G61" s="632"/>
      <c r="H61" s="628">
        <f t="shared" si="5"/>
        <v>0</v>
      </c>
    </row>
    <row r="62" spans="1:8">
      <c r="A62" s="678">
        <v>28</v>
      </c>
      <c r="B62" s="635" t="s">
        <v>769</v>
      </c>
      <c r="C62" s="632"/>
      <c r="D62" s="632"/>
      <c r="E62" s="623">
        <f t="shared" si="4"/>
        <v>0</v>
      </c>
      <c r="F62" s="632"/>
      <c r="G62" s="632"/>
      <c r="H62" s="628">
        <f t="shared" si="5"/>
        <v>0</v>
      </c>
    </row>
    <row r="63" spans="1:8">
      <c r="A63" s="678">
        <v>29</v>
      </c>
      <c r="B63" s="660" t="s">
        <v>770</v>
      </c>
      <c r="C63" s="632">
        <v>0</v>
      </c>
      <c r="D63" s="632">
        <f>SUM(D64:D66)</f>
        <v>0</v>
      </c>
      <c r="E63" s="623">
        <f t="shared" si="4"/>
        <v>0</v>
      </c>
      <c r="F63" s="632">
        <v>0</v>
      </c>
      <c r="G63" s="632"/>
      <c r="H63" s="628">
        <f t="shared" si="5"/>
        <v>0</v>
      </c>
    </row>
    <row r="64" spans="1:8">
      <c r="A64" s="678">
        <v>29.1</v>
      </c>
      <c r="B64" s="661" t="s">
        <v>771</v>
      </c>
      <c r="C64" s="632"/>
      <c r="D64" s="632"/>
      <c r="E64" s="623">
        <f t="shared" si="4"/>
        <v>0</v>
      </c>
      <c r="F64" s="632"/>
      <c r="G64" s="632"/>
      <c r="H64" s="628">
        <f t="shared" si="5"/>
        <v>0</v>
      </c>
    </row>
    <row r="65" spans="1:10" ht="25.05" customHeight="1">
      <c r="A65" s="678">
        <v>29.2</v>
      </c>
      <c r="B65" s="665" t="s">
        <v>772</v>
      </c>
      <c r="C65" s="632"/>
      <c r="D65" s="632"/>
      <c r="E65" s="623">
        <f t="shared" si="4"/>
        <v>0</v>
      </c>
      <c r="F65" s="632"/>
      <c r="G65" s="632"/>
      <c r="H65" s="628">
        <f t="shared" si="5"/>
        <v>0</v>
      </c>
    </row>
    <row r="66" spans="1:10" ht="22.5" customHeight="1">
      <c r="A66" s="678">
        <v>29.3</v>
      </c>
      <c r="B66" s="663" t="s">
        <v>773</v>
      </c>
      <c r="C66" s="632"/>
      <c r="D66" s="632"/>
      <c r="E66" s="623">
        <f t="shared" si="4"/>
        <v>0</v>
      </c>
      <c r="F66" s="632"/>
      <c r="G66" s="632"/>
      <c r="H66" s="628">
        <f t="shared" si="5"/>
        <v>0</v>
      </c>
    </row>
    <row r="67" spans="1:10">
      <c r="A67" s="678">
        <v>30</v>
      </c>
      <c r="B67" s="660" t="s">
        <v>103</v>
      </c>
      <c r="C67" s="632">
        <f>-24265976.95+1.94</f>
        <v>-24265975.009999998</v>
      </c>
      <c r="D67" s="632"/>
      <c r="E67" s="623">
        <f t="shared" si="4"/>
        <v>-24265975.009999998</v>
      </c>
      <c r="F67" s="632">
        <v>-27004753.82</v>
      </c>
      <c r="G67" s="632"/>
      <c r="H67" s="628">
        <f t="shared" si="5"/>
        <v>-27004753.82</v>
      </c>
    </row>
    <row r="68" spans="1:10">
      <c r="A68" s="678">
        <v>31</v>
      </c>
      <c r="B68" s="666" t="s">
        <v>774</v>
      </c>
      <c r="C68" s="632">
        <f>SUM(C55,C56,C57,C58,C59,C62,C63,C67)</f>
        <v>113688935.49000001</v>
      </c>
      <c r="D68" s="632">
        <f>SUM(D55,D56,D57,D58,D59,D62,D63,D67)</f>
        <v>0</v>
      </c>
      <c r="E68" s="623">
        <f t="shared" si="4"/>
        <v>113688935.49000001</v>
      </c>
      <c r="F68" s="632">
        <f>SUM(F55,F56,F57,F58,F59,F62,F63,F67)</f>
        <v>103150156.68000001</v>
      </c>
      <c r="G68" s="632">
        <f>SUM(G55,G56,G57,G58,G59,G62,G63,G67)</f>
        <v>0</v>
      </c>
      <c r="H68" s="628">
        <f t="shared" si="5"/>
        <v>103150156.68000001</v>
      </c>
    </row>
    <row r="69" spans="1:10" ht="15" thickBot="1">
      <c r="A69" s="682">
        <v>32</v>
      </c>
      <c r="B69" s="683" t="s">
        <v>775</v>
      </c>
      <c r="C69" s="633">
        <f>SUM(C53,C68)</f>
        <v>246512292.04870003</v>
      </c>
      <c r="D69" s="633">
        <f>SUM(D53,D68)</f>
        <v>279209527.94910002</v>
      </c>
      <c r="E69" s="620">
        <f t="shared" si="4"/>
        <v>525721819.99780005</v>
      </c>
      <c r="F69" s="674">
        <f>SUM(F53,F68)</f>
        <v>222147947.03509998</v>
      </c>
      <c r="G69" s="674">
        <f>SUM(G53,G68)</f>
        <v>300402711.07609999</v>
      </c>
      <c r="H69" s="619">
        <f t="shared" si="5"/>
        <v>522550658.11119998</v>
      </c>
    </row>
    <row r="72" spans="1:10">
      <c r="J72" s="634"/>
    </row>
    <row r="73" spans="1:10">
      <c r="E73" s="667"/>
    </row>
    <row r="74" spans="1:10">
      <c r="E74" s="634"/>
      <c r="H74" s="634"/>
    </row>
  </sheetData>
  <mergeCells count="7">
    <mergeCell ref="C37:H37"/>
    <mergeCell ref="C54:H54"/>
    <mergeCell ref="A4:A6"/>
    <mergeCell ref="B4:B5"/>
    <mergeCell ref="C4:E4"/>
    <mergeCell ref="F4:H4"/>
    <mergeCell ref="C6:H6"/>
  </mergeCells>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70" zoomScaleNormal="70" workbookViewId="0">
      <selection activeCell="A3" sqref="A3"/>
    </sheetView>
  </sheetViews>
  <sheetFormatPr defaultRowHeight="14.4"/>
  <cols>
    <col min="2" max="2" width="66.6640625" customWidth="1"/>
    <col min="3" max="8" width="17.77734375" customWidth="1"/>
  </cols>
  <sheetData>
    <row r="1" spans="1:8">
      <c r="A1" s="13" t="s">
        <v>108</v>
      </c>
      <c r="B1" s="291" t="str">
        <f>Info!C2</f>
        <v>სს " პაშა ბანკი საქართველო"</v>
      </c>
      <c r="C1" s="12"/>
      <c r="D1" s="1"/>
      <c r="E1" s="1"/>
      <c r="F1" s="1"/>
      <c r="G1" s="1"/>
    </row>
    <row r="2" spans="1:8">
      <c r="A2" s="13" t="s">
        <v>109</v>
      </c>
      <c r="B2" s="326">
        <f>'1. key ratios'!B2</f>
        <v>45382</v>
      </c>
      <c r="C2" s="12"/>
      <c r="D2" s="1"/>
      <c r="E2" s="1"/>
      <c r="F2" s="1"/>
      <c r="G2" s="1"/>
    </row>
    <row r="3" spans="1:8" ht="15" thickBot="1">
      <c r="A3" s="13"/>
      <c r="B3" s="12"/>
      <c r="C3" s="12"/>
      <c r="D3" s="1"/>
      <c r="E3" s="1"/>
      <c r="F3" s="1"/>
      <c r="G3" s="1"/>
    </row>
    <row r="4" spans="1:8">
      <c r="A4" s="741" t="s">
        <v>25</v>
      </c>
      <c r="B4" s="739" t="s">
        <v>166</v>
      </c>
      <c r="C4" s="737" t="s">
        <v>114</v>
      </c>
      <c r="D4" s="737"/>
      <c r="E4" s="737"/>
      <c r="F4" s="737" t="s">
        <v>115</v>
      </c>
      <c r="G4" s="737"/>
      <c r="H4" s="738"/>
    </row>
    <row r="5" spans="1:8" ht="15.45" customHeight="1">
      <c r="A5" s="742"/>
      <c r="B5" s="740"/>
      <c r="C5" s="651" t="s">
        <v>26</v>
      </c>
      <c r="D5" s="651" t="s">
        <v>88</v>
      </c>
      <c r="E5" s="651" t="s">
        <v>66</v>
      </c>
      <c r="F5" s="651" t="s">
        <v>26</v>
      </c>
      <c r="G5" s="651" t="s">
        <v>88</v>
      </c>
      <c r="H5" s="629" t="s">
        <v>66</v>
      </c>
    </row>
    <row r="6" spans="1:8">
      <c r="A6" s="618">
        <v>1</v>
      </c>
      <c r="B6" s="668" t="s">
        <v>776</v>
      </c>
      <c r="C6" s="632">
        <f>SUM(C7:C12)</f>
        <v>7476616.7299999995</v>
      </c>
      <c r="D6" s="632">
        <f>SUM(D7:D12)</f>
        <v>5158071.7363</v>
      </c>
      <c r="E6" s="623">
        <f>C6+D6</f>
        <v>12634688.4663</v>
      </c>
      <c r="F6" s="632">
        <f>SUM(F7:F12)</f>
        <v>8285627.2356440052</v>
      </c>
      <c r="G6" s="632">
        <f>SUM(G7:G12)</f>
        <v>4881614.4475127561</v>
      </c>
      <c r="H6" s="628">
        <f>F6+G6</f>
        <v>13167241.683156762</v>
      </c>
    </row>
    <row r="7" spans="1:8">
      <c r="A7" s="618">
        <v>1.1000000000000001</v>
      </c>
      <c r="B7" s="665" t="s">
        <v>730</v>
      </c>
      <c r="C7" s="632"/>
      <c r="D7" s="632"/>
      <c r="E7" s="623">
        <f t="shared" ref="E7:E45" si="0">C7+D7</f>
        <v>0</v>
      </c>
      <c r="F7" s="632"/>
      <c r="G7" s="632"/>
      <c r="H7" s="628">
        <f t="shared" ref="H7:H45" si="1">F7+G7</f>
        <v>0</v>
      </c>
    </row>
    <row r="8" spans="1:8" ht="20.399999999999999">
      <c r="A8" s="618">
        <v>1.2</v>
      </c>
      <c r="B8" s="665" t="s">
        <v>777</v>
      </c>
      <c r="C8" s="632"/>
      <c r="D8" s="632"/>
      <c r="E8" s="623">
        <f t="shared" si="0"/>
        <v>0</v>
      </c>
      <c r="F8" s="632"/>
      <c r="G8" s="632"/>
      <c r="H8" s="628">
        <f t="shared" si="1"/>
        <v>0</v>
      </c>
    </row>
    <row r="9" spans="1:8" ht="21.45" customHeight="1">
      <c r="A9" s="618">
        <v>1.3</v>
      </c>
      <c r="B9" s="665" t="s">
        <v>778</v>
      </c>
      <c r="C9" s="632"/>
      <c r="D9" s="632"/>
      <c r="E9" s="623">
        <f t="shared" si="0"/>
        <v>0</v>
      </c>
      <c r="F9" s="632"/>
      <c r="G9" s="632"/>
      <c r="H9" s="628">
        <f t="shared" si="1"/>
        <v>0</v>
      </c>
    </row>
    <row r="10" spans="1:8" ht="20.399999999999999">
      <c r="A10" s="618">
        <v>1.4</v>
      </c>
      <c r="B10" s="665" t="s">
        <v>734</v>
      </c>
      <c r="C10" s="632"/>
      <c r="D10" s="632"/>
      <c r="E10" s="623">
        <f t="shared" si="0"/>
        <v>0</v>
      </c>
      <c r="F10" s="632"/>
      <c r="G10" s="632"/>
      <c r="H10" s="628">
        <f t="shared" si="1"/>
        <v>0</v>
      </c>
    </row>
    <row r="11" spans="1:8">
      <c r="A11" s="618">
        <v>1.5</v>
      </c>
      <c r="B11" s="665" t="s">
        <v>737</v>
      </c>
      <c r="C11" s="632">
        <v>7476616.7299999995</v>
      </c>
      <c r="D11" s="632">
        <v>5158071.7363</v>
      </c>
      <c r="E11" s="623">
        <f t="shared" si="0"/>
        <v>12634688.4663</v>
      </c>
      <c r="F11" s="632">
        <v>8285627.2356440052</v>
      </c>
      <c r="G11" s="632">
        <v>4881614.4475127561</v>
      </c>
      <c r="H11" s="628">
        <f t="shared" si="1"/>
        <v>13167241.683156762</v>
      </c>
    </row>
    <row r="12" spans="1:8">
      <c r="A12" s="618">
        <v>1.6</v>
      </c>
      <c r="B12" s="665" t="s">
        <v>99</v>
      </c>
      <c r="C12" s="632"/>
      <c r="D12" s="632"/>
      <c r="E12" s="623">
        <f t="shared" si="0"/>
        <v>0</v>
      </c>
      <c r="F12" s="632"/>
      <c r="G12" s="632"/>
      <c r="H12" s="628">
        <f t="shared" si="1"/>
        <v>0</v>
      </c>
    </row>
    <row r="13" spans="1:8">
      <c r="A13" s="618">
        <v>2</v>
      </c>
      <c r="B13" s="668" t="s">
        <v>779</v>
      </c>
      <c r="C13" s="632">
        <f>SUM(C14:C17)</f>
        <v>-3153220.02</v>
      </c>
      <c r="D13" s="632">
        <f>SUM(D14:D17)</f>
        <v>-2186059.8374999994</v>
      </c>
      <c r="E13" s="623">
        <f t="shared" si="0"/>
        <v>-5339279.8574999999</v>
      </c>
      <c r="F13" s="632">
        <f>SUM(F14:F17)</f>
        <v>-2896539.6799999997</v>
      </c>
      <c r="G13" s="632">
        <f>SUM(G14:G17)</f>
        <v>-1998484.96</v>
      </c>
      <c r="H13" s="628">
        <f t="shared" si="1"/>
        <v>-4895024.6399999997</v>
      </c>
    </row>
    <row r="14" spans="1:8">
      <c r="A14" s="618">
        <v>2.1</v>
      </c>
      <c r="B14" s="665" t="s">
        <v>780</v>
      </c>
      <c r="C14" s="632"/>
      <c r="D14" s="632"/>
      <c r="E14" s="623">
        <f t="shared" si="0"/>
        <v>0</v>
      </c>
      <c r="F14" s="632"/>
      <c r="G14" s="632"/>
      <c r="H14" s="628">
        <f t="shared" si="1"/>
        <v>0</v>
      </c>
    </row>
    <row r="15" spans="1:8" ht="24.45" customHeight="1">
      <c r="A15" s="618">
        <v>2.2000000000000002</v>
      </c>
      <c r="B15" s="665" t="s">
        <v>781</v>
      </c>
      <c r="C15" s="632"/>
      <c r="D15" s="632"/>
      <c r="E15" s="623">
        <f t="shared" si="0"/>
        <v>0</v>
      </c>
      <c r="F15" s="632"/>
      <c r="G15" s="632"/>
      <c r="H15" s="628">
        <f t="shared" si="1"/>
        <v>0</v>
      </c>
    </row>
    <row r="16" spans="1:8" ht="20.55" customHeight="1">
      <c r="A16" s="618">
        <v>2.2999999999999998</v>
      </c>
      <c r="B16" s="665" t="s">
        <v>782</v>
      </c>
      <c r="C16" s="632">
        <v>-3153220.02</v>
      </c>
      <c r="D16" s="632">
        <v>-2186059.8374999994</v>
      </c>
      <c r="E16" s="623">
        <f t="shared" si="0"/>
        <v>-5339279.8574999999</v>
      </c>
      <c r="F16" s="632">
        <v>-2896539.6799999997</v>
      </c>
      <c r="G16" s="632">
        <v>-1998484.96</v>
      </c>
      <c r="H16" s="628">
        <f t="shared" si="1"/>
        <v>-4895024.6399999997</v>
      </c>
    </row>
    <row r="17" spans="1:8">
      <c r="A17" s="618">
        <v>2.4</v>
      </c>
      <c r="B17" s="665" t="s">
        <v>783</v>
      </c>
      <c r="C17" s="632"/>
      <c r="D17" s="632"/>
      <c r="E17" s="623">
        <f t="shared" si="0"/>
        <v>0</v>
      </c>
      <c r="F17" s="632"/>
      <c r="G17" s="632"/>
      <c r="H17" s="628">
        <f t="shared" si="1"/>
        <v>0</v>
      </c>
    </row>
    <row r="18" spans="1:8">
      <c r="A18" s="618">
        <v>3</v>
      </c>
      <c r="B18" s="668" t="s">
        <v>784</v>
      </c>
      <c r="C18" s="632"/>
      <c r="D18" s="632"/>
      <c r="E18" s="623">
        <f t="shared" si="0"/>
        <v>0</v>
      </c>
      <c r="F18" s="632"/>
      <c r="G18" s="632"/>
      <c r="H18" s="628">
        <f t="shared" si="1"/>
        <v>0</v>
      </c>
    </row>
    <row r="19" spans="1:8">
      <c r="A19" s="618">
        <v>4</v>
      </c>
      <c r="B19" s="668" t="s">
        <v>785</v>
      </c>
      <c r="C19" s="632">
        <v>664518.35</v>
      </c>
      <c r="D19" s="632">
        <v>370447.3665</v>
      </c>
      <c r="E19" s="623">
        <f t="shared" si="0"/>
        <v>1034965.7165</v>
      </c>
      <c r="F19" s="632">
        <v>256359.34999999995</v>
      </c>
      <c r="G19" s="632">
        <v>284384.10205599997</v>
      </c>
      <c r="H19" s="628">
        <f t="shared" si="1"/>
        <v>540743.45205599989</v>
      </c>
    </row>
    <row r="20" spans="1:8">
      <c r="A20" s="618">
        <v>5</v>
      </c>
      <c r="B20" s="668" t="s">
        <v>786</v>
      </c>
      <c r="C20" s="632">
        <v>-91505.47</v>
      </c>
      <c r="D20" s="632">
        <v>-410898.74</v>
      </c>
      <c r="E20" s="623">
        <f t="shared" si="0"/>
        <v>-502404.20999999996</v>
      </c>
      <c r="F20" s="632">
        <v>-26053.1</v>
      </c>
      <c r="G20" s="632">
        <v>-388513.75999999995</v>
      </c>
      <c r="H20" s="628">
        <f t="shared" si="1"/>
        <v>-414566.85999999993</v>
      </c>
    </row>
    <row r="21" spans="1:8" ht="38.549999999999997" customHeight="1">
      <c r="A21" s="618">
        <v>6</v>
      </c>
      <c r="B21" s="668" t="s">
        <v>787</v>
      </c>
      <c r="C21" s="632"/>
      <c r="D21" s="632"/>
      <c r="E21" s="623">
        <f t="shared" si="0"/>
        <v>0</v>
      </c>
      <c r="F21" s="632"/>
      <c r="G21" s="632"/>
      <c r="H21" s="628">
        <f t="shared" si="1"/>
        <v>0</v>
      </c>
    </row>
    <row r="22" spans="1:8" ht="27.45" customHeight="1">
      <c r="A22" s="618">
        <v>7</v>
      </c>
      <c r="B22" s="668" t="s">
        <v>788</v>
      </c>
      <c r="C22" s="632"/>
      <c r="D22" s="632"/>
      <c r="E22" s="623">
        <f t="shared" si="0"/>
        <v>0</v>
      </c>
      <c r="F22" s="632"/>
      <c r="G22" s="632"/>
      <c r="H22" s="628">
        <f t="shared" si="1"/>
        <v>0</v>
      </c>
    </row>
    <row r="23" spans="1:8" ht="37.049999999999997" customHeight="1">
      <c r="A23" s="618">
        <v>8</v>
      </c>
      <c r="B23" s="669" t="s">
        <v>789</v>
      </c>
      <c r="C23" s="632"/>
      <c r="D23" s="632"/>
      <c r="E23" s="623">
        <f t="shared" si="0"/>
        <v>0</v>
      </c>
      <c r="F23" s="632"/>
      <c r="G23" s="632"/>
      <c r="H23" s="628">
        <f t="shared" si="1"/>
        <v>0</v>
      </c>
    </row>
    <row r="24" spans="1:8" ht="34.5" customHeight="1">
      <c r="A24" s="618">
        <v>9</v>
      </c>
      <c r="B24" s="669" t="s">
        <v>790</v>
      </c>
      <c r="C24" s="632"/>
      <c r="D24" s="632"/>
      <c r="E24" s="623">
        <f t="shared" si="0"/>
        <v>0</v>
      </c>
      <c r="F24" s="632"/>
      <c r="G24" s="632"/>
      <c r="H24" s="628">
        <f t="shared" si="1"/>
        <v>0</v>
      </c>
    </row>
    <row r="25" spans="1:8">
      <c r="A25" s="618">
        <v>10</v>
      </c>
      <c r="B25" s="668" t="s">
        <v>791</v>
      </c>
      <c r="C25" s="632">
        <v>2414084.0499999998</v>
      </c>
      <c r="D25" s="632">
        <v>0</v>
      </c>
      <c r="E25" s="623">
        <f t="shared" si="0"/>
        <v>2414084.0499999998</v>
      </c>
      <c r="F25" s="632">
        <v>1966477.1199999982</v>
      </c>
      <c r="G25" s="632">
        <v>1795828.87</v>
      </c>
      <c r="H25" s="628">
        <f t="shared" si="1"/>
        <v>3762305.9899999984</v>
      </c>
    </row>
    <row r="26" spans="1:8" ht="27" customHeight="1">
      <c r="A26" s="618">
        <v>11</v>
      </c>
      <c r="B26" s="670" t="s">
        <v>792</v>
      </c>
      <c r="C26" s="632"/>
      <c r="D26" s="632"/>
      <c r="E26" s="623">
        <f t="shared" si="0"/>
        <v>0</v>
      </c>
      <c r="F26" s="632"/>
      <c r="G26" s="632"/>
      <c r="H26" s="628">
        <f t="shared" si="1"/>
        <v>0</v>
      </c>
    </row>
    <row r="27" spans="1:8">
      <c r="A27" s="618">
        <v>12</v>
      </c>
      <c r="B27" s="668" t="s">
        <v>793</v>
      </c>
      <c r="C27" s="632">
        <v>2682.94</v>
      </c>
      <c r="D27" s="632"/>
      <c r="E27" s="623">
        <f t="shared" si="0"/>
        <v>2682.94</v>
      </c>
      <c r="F27" s="632">
        <v>469369.79</v>
      </c>
      <c r="G27" s="632"/>
      <c r="H27" s="628">
        <f t="shared" si="1"/>
        <v>469369.79</v>
      </c>
    </row>
    <row r="28" spans="1:8">
      <c r="A28" s="618">
        <v>13</v>
      </c>
      <c r="B28" s="668" t="s">
        <v>794</v>
      </c>
      <c r="C28" s="632">
        <v>-55449.340000000084</v>
      </c>
      <c r="D28" s="632">
        <v>75324.600000000006</v>
      </c>
      <c r="E28" s="623">
        <f t="shared" si="0"/>
        <v>19875.259999999922</v>
      </c>
      <c r="F28" s="632">
        <v>-1643153.76</v>
      </c>
      <c r="G28" s="632">
        <v>-4738.1899999999996</v>
      </c>
      <c r="H28" s="628">
        <f t="shared" si="1"/>
        <v>-1647891.95</v>
      </c>
    </row>
    <row r="29" spans="1:8">
      <c r="A29" s="618">
        <v>14</v>
      </c>
      <c r="B29" s="668" t="s">
        <v>795</v>
      </c>
      <c r="C29" s="632">
        <f>SUM(C30:C31)</f>
        <v>-7179158.870000001</v>
      </c>
      <c r="D29" s="632">
        <f>SUM(D30:D31)</f>
        <v>0</v>
      </c>
      <c r="E29" s="623">
        <f t="shared" si="0"/>
        <v>-7179158.870000001</v>
      </c>
      <c r="F29" s="632">
        <f>SUM(F30:F31)</f>
        <v>-6593893.5999999996</v>
      </c>
      <c r="G29" s="632">
        <f>SUM(G30:G31)</f>
        <v>0</v>
      </c>
      <c r="H29" s="628">
        <f t="shared" si="1"/>
        <v>-6593893.5999999996</v>
      </c>
    </row>
    <row r="30" spans="1:8">
      <c r="A30" s="618">
        <v>14.1</v>
      </c>
      <c r="B30" s="663" t="s">
        <v>796</v>
      </c>
      <c r="C30" s="632">
        <v>-6530850.3000000007</v>
      </c>
      <c r="D30" s="632"/>
      <c r="E30" s="623">
        <f t="shared" si="0"/>
        <v>-6530850.3000000007</v>
      </c>
      <c r="F30" s="632">
        <v>-5706540.8799999999</v>
      </c>
      <c r="G30" s="632"/>
      <c r="H30" s="628">
        <f t="shared" si="1"/>
        <v>-5706540.8799999999</v>
      </c>
    </row>
    <row r="31" spans="1:8">
      <c r="A31" s="618">
        <v>14.2</v>
      </c>
      <c r="B31" s="663" t="s">
        <v>797</v>
      </c>
      <c r="C31" s="632">
        <v>-648308.57000000007</v>
      </c>
      <c r="D31" s="632"/>
      <c r="E31" s="623">
        <f t="shared" si="0"/>
        <v>-648308.57000000007</v>
      </c>
      <c r="F31" s="632">
        <v>-887352.72000000009</v>
      </c>
      <c r="G31" s="632"/>
      <c r="H31" s="628">
        <f t="shared" si="1"/>
        <v>-887352.72000000009</v>
      </c>
    </row>
    <row r="32" spans="1:8">
      <c r="A32" s="618">
        <v>15</v>
      </c>
      <c r="B32" s="631" t="s">
        <v>798</v>
      </c>
      <c r="C32" s="632">
        <v>-1102626.8900000001</v>
      </c>
      <c r="D32" s="632"/>
      <c r="E32" s="623">
        <f t="shared" si="0"/>
        <v>-1102626.8900000001</v>
      </c>
      <c r="F32" s="632">
        <v>-1263700.93</v>
      </c>
      <c r="G32" s="632"/>
      <c r="H32" s="628">
        <f t="shared" si="1"/>
        <v>-1263700.93</v>
      </c>
    </row>
    <row r="33" spans="1:8" ht="22.5" customHeight="1">
      <c r="A33" s="618">
        <v>16</v>
      </c>
      <c r="B33" s="660" t="s">
        <v>799</v>
      </c>
      <c r="C33" s="632"/>
      <c r="D33" s="632"/>
      <c r="E33" s="623">
        <f t="shared" si="0"/>
        <v>0</v>
      </c>
      <c r="F33" s="632"/>
      <c r="G33" s="632"/>
      <c r="H33" s="628">
        <f t="shared" si="1"/>
        <v>0</v>
      </c>
    </row>
    <row r="34" spans="1:8">
      <c r="A34" s="618">
        <v>17</v>
      </c>
      <c r="B34" s="668" t="s">
        <v>800</v>
      </c>
      <c r="C34" s="632">
        <f>SUM(C35:C36)</f>
        <v>-972295.67115296877</v>
      </c>
      <c r="D34" s="632">
        <f>SUM(D35:D36)</f>
        <v>365493.65539999999</v>
      </c>
      <c r="E34" s="623">
        <f t="shared" si="0"/>
        <v>-606802.01575296884</v>
      </c>
      <c r="F34" s="632">
        <f>SUM(F35:F36)</f>
        <v>-2063857.2060990613</v>
      </c>
      <c r="G34" s="632">
        <f>SUM(G35:G36)</f>
        <v>647317.62772675708</v>
      </c>
      <c r="H34" s="628">
        <f t="shared" si="1"/>
        <v>-1416539.5783723043</v>
      </c>
    </row>
    <row r="35" spans="1:8">
      <c r="A35" s="618">
        <v>17.100000000000001</v>
      </c>
      <c r="B35" s="663" t="s">
        <v>801</v>
      </c>
      <c r="C35" s="632">
        <v>-5512.7632999980633</v>
      </c>
      <c r="D35" s="632">
        <v>224038.6361</v>
      </c>
      <c r="E35" s="623">
        <f t="shared" si="0"/>
        <v>218525.87280000193</v>
      </c>
      <c r="F35" s="632">
        <v>-2161.9671610000078</v>
      </c>
      <c r="G35" s="632">
        <v>46489.063175230003</v>
      </c>
      <c r="H35" s="628">
        <f t="shared" si="1"/>
        <v>44327.096014229995</v>
      </c>
    </row>
    <row r="36" spans="1:8">
      <c r="A36" s="618">
        <v>17.2</v>
      </c>
      <c r="B36" s="663" t="s">
        <v>802</v>
      </c>
      <c r="C36" s="632">
        <v>-966782.90785297076</v>
      </c>
      <c r="D36" s="632">
        <v>141455.01929999999</v>
      </c>
      <c r="E36" s="623">
        <f t="shared" si="0"/>
        <v>-825327.88855297072</v>
      </c>
      <c r="F36" s="632">
        <v>-2061695.2389380613</v>
      </c>
      <c r="G36" s="632">
        <v>600828.56455152703</v>
      </c>
      <c r="H36" s="628">
        <f t="shared" si="1"/>
        <v>-1460866.6743865344</v>
      </c>
    </row>
    <row r="37" spans="1:8" ht="41.55" customHeight="1">
      <c r="A37" s="618">
        <v>18</v>
      </c>
      <c r="B37" s="671" t="s">
        <v>803</v>
      </c>
      <c r="C37" s="632">
        <f>SUM(C38:C39)</f>
        <v>0</v>
      </c>
      <c r="D37" s="632">
        <f>SUM(D38:D39)</f>
        <v>0</v>
      </c>
      <c r="E37" s="623">
        <f t="shared" si="0"/>
        <v>0</v>
      </c>
      <c r="F37" s="632">
        <f>SUM(F38:F39)</f>
        <v>0</v>
      </c>
      <c r="G37" s="632">
        <f>SUM(G38:G39)</f>
        <v>-1371960.4200000004</v>
      </c>
      <c r="H37" s="628">
        <f t="shared" si="1"/>
        <v>-1371960.4200000004</v>
      </c>
    </row>
    <row r="38" spans="1:8" ht="20.399999999999999">
      <c r="A38" s="618">
        <v>18.100000000000001</v>
      </c>
      <c r="B38" s="665" t="s">
        <v>804</v>
      </c>
      <c r="C38" s="632"/>
      <c r="D38" s="632"/>
      <c r="E38" s="623">
        <f t="shared" si="0"/>
        <v>0</v>
      </c>
      <c r="F38" s="632"/>
      <c r="G38" s="632">
        <v>-1371960.4200000004</v>
      </c>
      <c r="H38" s="628">
        <f t="shared" si="1"/>
        <v>-1371960.4200000004</v>
      </c>
    </row>
    <row r="39" spans="1:8">
      <c r="A39" s="618">
        <v>18.2</v>
      </c>
      <c r="B39" s="665" t="s">
        <v>805</v>
      </c>
      <c r="C39" s="632"/>
      <c r="D39" s="632"/>
      <c r="E39" s="623">
        <f t="shared" si="0"/>
        <v>0</v>
      </c>
      <c r="F39" s="632"/>
      <c r="G39" s="632"/>
      <c r="H39" s="628">
        <f t="shared" si="1"/>
        <v>0</v>
      </c>
    </row>
    <row r="40" spans="1:8" ht="24.45" customHeight="1">
      <c r="A40" s="618">
        <v>19</v>
      </c>
      <c r="B40" s="671" t="s">
        <v>806</v>
      </c>
      <c r="C40" s="632"/>
      <c r="D40" s="632"/>
      <c r="E40" s="623">
        <f t="shared" si="0"/>
        <v>0</v>
      </c>
      <c r="F40" s="632"/>
      <c r="G40" s="632"/>
      <c r="H40" s="628">
        <f t="shared" si="1"/>
        <v>0</v>
      </c>
    </row>
    <row r="41" spans="1:8" ht="25.05" customHeight="1">
      <c r="A41" s="618">
        <v>20</v>
      </c>
      <c r="B41" s="671" t="s">
        <v>807</v>
      </c>
      <c r="C41" s="632"/>
      <c r="D41" s="632"/>
      <c r="E41" s="623">
        <f t="shared" si="0"/>
        <v>0</v>
      </c>
      <c r="F41" s="632"/>
      <c r="G41" s="632"/>
      <c r="H41" s="628">
        <f t="shared" si="1"/>
        <v>0</v>
      </c>
    </row>
    <row r="42" spans="1:8" ht="33" customHeight="1">
      <c r="A42" s="618">
        <v>21</v>
      </c>
      <c r="B42" s="672" t="s">
        <v>808</v>
      </c>
      <c r="C42" s="632"/>
      <c r="D42" s="632"/>
      <c r="E42" s="623">
        <f t="shared" si="0"/>
        <v>0</v>
      </c>
      <c r="F42" s="632"/>
      <c r="G42" s="632"/>
      <c r="H42" s="628">
        <f t="shared" si="1"/>
        <v>0</v>
      </c>
    </row>
    <row r="43" spans="1:8">
      <c r="A43" s="618">
        <v>22</v>
      </c>
      <c r="B43" s="630" t="s">
        <v>809</v>
      </c>
      <c r="C43" s="632">
        <f>SUM(C6,C13,C18,C19,C20,C21,C22,C23,C24,C25,C26,C27,C28,C29,C32,C33,C34,C37,C40,C41,C42)</f>
        <v>-1996354.1911529708</v>
      </c>
      <c r="D43" s="632">
        <f>SUM(D6,D13,D18,D19,D20,D21,D22,D23,D24,D25,D26,D27,D28,D29,D32,D33,D34,D37,D40,D41,D42)</f>
        <v>3372378.7807000009</v>
      </c>
      <c r="E43" s="623">
        <f t="shared" si="0"/>
        <v>1376024.5895470302</v>
      </c>
      <c r="F43" s="632">
        <f>SUM(F6,F13,F18,F19,F20,F21,F22,F23,F24,F25,F26,F27,F28,F29,F32,F33,F34,F37,F40,F41,F42)</f>
        <v>-3509364.7804550566</v>
      </c>
      <c r="G43" s="632">
        <f>SUM(G6,G13,G18,G19,G20,G21,G22,G23,G24,G25,G26,G27,G28,G29,G32,G33,G34,G37,G40,G41,G42)</f>
        <v>3845447.7172955121</v>
      </c>
      <c r="H43" s="628">
        <f t="shared" si="1"/>
        <v>336082.93684045551</v>
      </c>
    </row>
    <row r="44" spans="1:8">
      <c r="A44" s="618">
        <v>23</v>
      </c>
      <c r="B44" s="630" t="s">
        <v>810</v>
      </c>
      <c r="C44" s="632"/>
      <c r="D44" s="632"/>
      <c r="E44" s="623">
        <f t="shared" si="0"/>
        <v>0</v>
      </c>
      <c r="F44" s="632"/>
      <c r="G44" s="632"/>
      <c r="H44" s="628">
        <f t="shared" si="1"/>
        <v>0</v>
      </c>
    </row>
    <row r="45" spans="1:8" ht="15" thickBot="1">
      <c r="A45" s="673">
        <v>24</v>
      </c>
      <c r="B45" s="610" t="s">
        <v>811</v>
      </c>
      <c r="C45" s="633">
        <f>C43-C44</f>
        <v>-1996354.1911529708</v>
      </c>
      <c r="D45" s="633">
        <f>D43-D44</f>
        <v>3372378.7807000009</v>
      </c>
      <c r="E45" s="620">
        <f t="shared" si="0"/>
        <v>1376024.5895470302</v>
      </c>
      <c r="F45" s="633">
        <f>F43-F44</f>
        <v>-3509364.7804550566</v>
      </c>
      <c r="G45" s="633">
        <f>G43-G44</f>
        <v>3845447.7172955121</v>
      </c>
      <c r="H45" s="619">
        <f t="shared" si="1"/>
        <v>336082.93684045551</v>
      </c>
    </row>
  </sheetData>
  <mergeCells count="4">
    <mergeCell ref="B4:B5"/>
    <mergeCell ref="C4:E4"/>
    <mergeCell ref="F4:H4"/>
    <mergeCell ref="A4:A5"/>
  </mergeCells>
  <pageMargins left="0.7" right="0.7" top="0.75" bottom="0.75" header="0.3" footer="0.3"/>
  <pageSetup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7"/>
  <sheetViews>
    <sheetView zoomScale="70" zoomScaleNormal="70" workbookViewId="0">
      <selection activeCell="A3" sqref="A3"/>
    </sheetView>
  </sheetViews>
  <sheetFormatPr defaultRowHeight="14.4"/>
  <cols>
    <col min="1" max="1" width="8.77734375" style="408"/>
    <col min="2" max="2" width="87.6640625" bestFit="1" customWidth="1"/>
    <col min="3" max="3" width="16.44140625" customWidth="1"/>
    <col min="4" max="8" width="12.77734375" customWidth="1"/>
    <col min="13" max="13" width="15" bestFit="1" customWidth="1"/>
  </cols>
  <sheetData>
    <row r="1" spans="1:13">
      <c r="A1" s="13" t="s">
        <v>108</v>
      </c>
      <c r="B1" s="291" t="str">
        <f>Info!C2</f>
        <v>სს " პაშა ბანკი საქართველო"</v>
      </c>
      <c r="C1" s="12"/>
      <c r="D1" s="1"/>
      <c r="E1" s="1"/>
      <c r="F1" s="1"/>
      <c r="G1" s="1"/>
    </row>
    <row r="2" spans="1:13">
      <c r="A2" s="13" t="s">
        <v>109</v>
      </c>
      <c r="B2" s="326">
        <f>'1. key ratios'!B2</f>
        <v>45382</v>
      </c>
      <c r="C2" s="12"/>
      <c r="D2" s="1"/>
      <c r="E2" s="1"/>
      <c r="F2" s="1"/>
      <c r="G2" s="1"/>
    </row>
    <row r="3" spans="1:13">
      <c r="A3" s="13"/>
      <c r="B3" s="12"/>
      <c r="C3" s="12"/>
      <c r="D3" s="1"/>
      <c r="E3" s="1"/>
      <c r="F3" s="1"/>
      <c r="G3" s="1"/>
    </row>
    <row r="4" spans="1:13">
      <c r="A4" s="743" t="s">
        <v>25</v>
      </c>
      <c r="B4" s="744" t="s">
        <v>151</v>
      </c>
      <c r="C4" s="745" t="s">
        <v>114</v>
      </c>
      <c r="D4" s="745"/>
      <c r="E4" s="745"/>
      <c r="F4" s="745" t="s">
        <v>115</v>
      </c>
      <c r="G4" s="745"/>
      <c r="H4" s="746"/>
    </row>
    <row r="5" spans="1:13">
      <c r="A5" s="743"/>
      <c r="B5" s="744"/>
      <c r="C5" s="394" t="s">
        <v>26</v>
      </c>
      <c r="D5" s="394" t="s">
        <v>88</v>
      </c>
      <c r="E5" s="394" t="s">
        <v>66</v>
      </c>
      <c r="F5" s="394" t="s">
        <v>26</v>
      </c>
      <c r="G5" s="394" t="s">
        <v>88</v>
      </c>
      <c r="H5" s="395" t="s">
        <v>66</v>
      </c>
    </row>
    <row r="6" spans="1:13">
      <c r="A6" s="396">
        <v>1</v>
      </c>
      <c r="B6" s="397" t="s">
        <v>812</v>
      </c>
      <c r="C6" s="398"/>
      <c r="D6" s="398"/>
      <c r="E6" s="399">
        <f t="shared" ref="E6:E43" si="0">C6+D6</f>
        <v>0</v>
      </c>
      <c r="F6" s="687"/>
      <c r="G6" s="687"/>
      <c r="H6" s="400">
        <f t="shared" ref="H6:H43" si="1">F6+G6</f>
        <v>0</v>
      </c>
    </row>
    <row r="7" spans="1:13">
      <c r="A7" s="396">
        <v>2</v>
      </c>
      <c r="B7" s="401" t="s">
        <v>177</v>
      </c>
      <c r="C7" s="398"/>
      <c r="D7" s="398"/>
      <c r="E7" s="399">
        <f t="shared" si="0"/>
        <v>0</v>
      </c>
      <c r="F7" s="687"/>
      <c r="G7" s="687"/>
      <c r="H7" s="400">
        <f t="shared" si="1"/>
        <v>0</v>
      </c>
    </row>
    <row r="8" spans="1:13">
      <c r="A8" s="396">
        <v>3</v>
      </c>
      <c r="B8" s="401" t="s">
        <v>179</v>
      </c>
      <c r="C8" s="398">
        <f>C9+C10</f>
        <v>305588874.33780003</v>
      </c>
      <c r="D8" s="398">
        <f>D9+D10</f>
        <v>361672388.87470001</v>
      </c>
      <c r="E8" s="399">
        <f t="shared" si="0"/>
        <v>667261263.2125001</v>
      </c>
      <c r="F8" s="687">
        <f>F9+F10</f>
        <v>18977292.962099999</v>
      </c>
      <c r="G8" s="687">
        <f>G9+G10</f>
        <v>297171893.60570002</v>
      </c>
      <c r="H8" s="400">
        <f t="shared" si="1"/>
        <v>316149186.56780005</v>
      </c>
    </row>
    <row r="9" spans="1:13">
      <c r="A9" s="396">
        <v>3.1</v>
      </c>
      <c r="B9" s="402" t="s">
        <v>813</v>
      </c>
      <c r="C9" s="716">
        <v>283859177.9278</v>
      </c>
      <c r="D9" s="716">
        <v>335144100.81440002</v>
      </c>
      <c r="E9" s="399">
        <f t="shared" si="0"/>
        <v>619003278.74220002</v>
      </c>
      <c r="F9" s="687">
        <v>2306162.6820999999</v>
      </c>
      <c r="G9" s="687">
        <v>286681842.61309999</v>
      </c>
      <c r="H9" s="400">
        <f t="shared" si="1"/>
        <v>288988005.29519999</v>
      </c>
    </row>
    <row r="10" spans="1:13">
      <c r="A10" s="396">
        <v>3.2</v>
      </c>
      <c r="B10" s="402" t="s">
        <v>814</v>
      </c>
      <c r="C10" s="716">
        <v>21729696.41</v>
      </c>
      <c r="D10" s="716">
        <v>26528288.0603</v>
      </c>
      <c r="E10" s="399">
        <f t="shared" si="0"/>
        <v>48257984.470300004</v>
      </c>
      <c r="F10" s="687">
        <v>16671130.279999999</v>
      </c>
      <c r="G10" s="687">
        <v>10490050.9926</v>
      </c>
      <c r="H10" s="400">
        <f t="shared" si="1"/>
        <v>27161181.272599999</v>
      </c>
      <c r="M10" s="717"/>
    </row>
    <row r="11" spans="1:13">
      <c r="A11" s="396">
        <v>4</v>
      </c>
      <c r="B11" s="401" t="s">
        <v>178</v>
      </c>
      <c r="C11" s="398">
        <f>C12+C13</f>
        <v>0</v>
      </c>
      <c r="D11" s="398">
        <f>D12+D13</f>
        <v>0</v>
      </c>
      <c r="E11" s="399">
        <f t="shared" si="0"/>
        <v>0</v>
      </c>
      <c r="F11" s="687">
        <f>F12+F13</f>
        <v>0</v>
      </c>
      <c r="G11" s="687">
        <f>G12+G13</f>
        <v>0</v>
      </c>
      <c r="H11" s="400">
        <f t="shared" si="1"/>
        <v>0</v>
      </c>
    </row>
    <row r="12" spans="1:13">
      <c r="A12" s="396">
        <v>4.0999999999999996</v>
      </c>
      <c r="B12" s="402" t="s">
        <v>815</v>
      </c>
      <c r="C12" s="398"/>
      <c r="D12" s="398"/>
      <c r="E12" s="399">
        <f t="shared" si="0"/>
        <v>0</v>
      </c>
      <c r="F12" s="687">
        <v>0</v>
      </c>
      <c r="G12" s="687">
        <v>0</v>
      </c>
      <c r="H12" s="400">
        <f t="shared" si="1"/>
        <v>0</v>
      </c>
      <c r="M12" s="667"/>
    </row>
    <row r="13" spans="1:13">
      <c r="A13" s="396">
        <v>4.2</v>
      </c>
      <c r="B13" s="402" t="s">
        <v>816</v>
      </c>
      <c r="C13" s="398"/>
      <c r="D13" s="398"/>
      <c r="E13" s="399">
        <f t="shared" si="0"/>
        <v>0</v>
      </c>
      <c r="F13" s="687">
        <v>0</v>
      </c>
      <c r="G13" s="687">
        <v>0</v>
      </c>
      <c r="H13" s="400">
        <f t="shared" si="1"/>
        <v>0</v>
      </c>
    </row>
    <row r="14" spans="1:13">
      <c r="A14" s="396">
        <v>5</v>
      </c>
      <c r="B14" s="403" t="s">
        <v>817</v>
      </c>
      <c r="C14" s="398">
        <f>C15+C16+C17+C23+C24+C25+C26</f>
        <v>107462040.41</v>
      </c>
      <c r="D14" s="398">
        <f>D15+D16+D17+D23+D24+D25+D26</f>
        <v>315185747.72679996</v>
      </c>
      <c r="E14" s="399">
        <f t="shared" si="0"/>
        <v>422647788.13679993</v>
      </c>
      <c r="F14" s="687">
        <f>F15+F16+F17+F23+F24+F25+F26</f>
        <v>72091592.059799954</v>
      </c>
      <c r="G14" s="687">
        <f>G15+G16+G17+G23+G24+G25+G26</f>
        <v>364899799.90269995</v>
      </c>
      <c r="H14" s="400">
        <f t="shared" si="1"/>
        <v>436991391.96249992</v>
      </c>
    </row>
    <row r="15" spans="1:13">
      <c r="A15" s="396">
        <v>5.0999999999999996</v>
      </c>
      <c r="B15" s="404" t="s">
        <v>818</v>
      </c>
      <c r="C15" s="398">
        <v>2279088.41</v>
      </c>
      <c r="D15" s="398">
        <v>4400819.5894999998</v>
      </c>
      <c r="E15" s="399">
        <f t="shared" si="0"/>
        <v>6679907.9994999999</v>
      </c>
      <c r="F15" s="687">
        <v>1558069.25</v>
      </c>
      <c r="G15" s="687">
        <v>4073493.3182999999</v>
      </c>
      <c r="H15" s="400">
        <f t="shared" si="1"/>
        <v>5631562.5682999995</v>
      </c>
    </row>
    <row r="16" spans="1:13">
      <c r="A16" s="396">
        <v>5.2</v>
      </c>
      <c r="B16" s="404" t="s">
        <v>819</v>
      </c>
      <c r="C16" s="398"/>
      <c r="D16" s="398"/>
      <c r="E16" s="399">
        <f t="shared" si="0"/>
        <v>0</v>
      </c>
      <c r="F16" s="687"/>
      <c r="G16" s="687"/>
      <c r="H16" s="400">
        <f t="shared" si="1"/>
        <v>0</v>
      </c>
    </row>
    <row r="17" spans="1:8">
      <c r="A17" s="396">
        <v>5.3</v>
      </c>
      <c r="B17" s="404" t="s">
        <v>820</v>
      </c>
      <c r="C17" s="398">
        <f>C18+C19+C20+C21+C22</f>
        <v>34008852</v>
      </c>
      <c r="D17" s="398">
        <f>D18+D19+D20+D21+D22</f>
        <v>240500598.4533</v>
      </c>
      <c r="E17" s="399">
        <f t="shared" si="0"/>
        <v>274509450.4533</v>
      </c>
      <c r="F17" s="687">
        <f>F18+F19+F20+F21+F22</f>
        <v>33800000.000100002</v>
      </c>
      <c r="G17" s="687">
        <f>G18+G19+G20+G21+G22</f>
        <v>289710533.15899998</v>
      </c>
      <c r="H17" s="400">
        <f t="shared" si="1"/>
        <v>323510533.1591</v>
      </c>
    </row>
    <row r="18" spans="1:8">
      <c r="A18" s="396" t="s">
        <v>180</v>
      </c>
      <c r="B18" s="405" t="s">
        <v>821</v>
      </c>
      <c r="C18" s="398">
        <v>1</v>
      </c>
      <c r="D18" s="398">
        <v>29192850.227299999</v>
      </c>
      <c r="E18" s="399">
        <f t="shared" si="0"/>
        <v>29192851.227299999</v>
      </c>
      <c r="F18" s="687">
        <v>1</v>
      </c>
      <c r="G18" s="687">
        <v>32558153.936700001</v>
      </c>
      <c r="H18" s="400">
        <f t="shared" si="1"/>
        <v>32558154.936700001</v>
      </c>
    </row>
    <row r="19" spans="1:8">
      <c r="A19" s="396" t="s">
        <v>181</v>
      </c>
      <c r="B19" s="406" t="s">
        <v>822</v>
      </c>
      <c r="C19" s="398">
        <v>167892</v>
      </c>
      <c r="D19" s="398">
        <v>148485493.13789999</v>
      </c>
      <c r="E19" s="399">
        <f t="shared" si="0"/>
        <v>148653385.13789999</v>
      </c>
      <c r="F19" s="687">
        <v>0</v>
      </c>
      <c r="G19" s="687">
        <v>182168472.56209999</v>
      </c>
      <c r="H19" s="400">
        <f t="shared" si="1"/>
        <v>182168472.56209999</v>
      </c>
    </row>
    <row r="20" spans="1:8">
      <c r="A20" s="396" t="s">
        <v>182</v>
      </c>
      <c r="B20" s="406" t="s">
        <v>823</v>
      </c>
      <c r="C20" s="398"/>
      <c r="D20" s="398"/>
      <c r="E20" s="399">
        <f t="shared" si="0"/>
        <v>0</v>
      </c>
      <c r="F20" s="687"/>
      <c r="G20" s="687"/>
      <c r="H20" s="400">
        <f t="shared" si="1"/>
        <v>0</v>
      </c>
    </row>
    <row r="21" spans="1:8">
      <c r="A21" s="396" t="s">
        <v>183</v>
      </c>
      <c r="B21" s="406" t="s">
        <v>824</v>
      </c>
      <c r="C21" s="398">
        <v>40960</v>
      </c>
      <c r="D21" s="398">
        <v>44547012.4036</v>
      </c>
      <c r="E21" s="399">
        <f t="shared" si="0"/>
        <v>44587972.4036</v>
      </c>
      <c r="F21" s="687">
        <v>0</v>
      </c>
      <c r="G21" s="687">
        <v>61445958.111699998</v>
      </c>
      <c r="H21" s="400">
        <f t="shared" si="1"/>
        <v>61445958.111699998</v>
      </c>
    </row>
    <row r="22" spans="1:8">
      <c r="A22" s="396" t="s">
        <v>184</v>
      </c>
      <c r="B22" s="406" t="s">
        <v>541</v>
      </c>
      <c r="C22" s="398">
        <v>33799999</v>
      </c>
      <c r="D22" s="398">
        <v>18275242.684500001</v>
      </c>
      <c r="E22" s="399">
        <f t="shared" si="0"/>
        <v>52075241.684500001</v>
      </c>
      <c r="F22" s="687">
        <v>33799999.000100002</v>
      </c>
      <c r="G22" s="687">
        <v>13537948.5485</v>
      </c>
      <c r="H22" s="400">
        <f t="shared" si="1"/>
        <v>47337947.548600003</v>
      </c>
    </row>
    <row r="23" spans="1:8">
      <c r="A23" s="396">
        <v>5.4</v>
      </c>
      <c r="B23" s="404" t="s">
        <v>825</v>
      </c>
      <c r="C23" s="398">
        <v>7911600</v>
      </c>
      <c r="D23" s="398">
        <v>35661999.082500003</v>
      </c>
      <c r="E23" s="399">
        <f t="shared" si="0"/>
        <v>43573599.082500003</v>
      </c>
      <c r="F23" s="687">
        <v>0</v>
      </c>
      <c r="G23" s="687">
        <v>39634487.882799998</v>
      </c>
      <c r="H23" s="400">
        <f t="shared" si="1"/>
        <v>39634487.882799998</v>
      </c>
    </row>
    <row r="24" spans="1:8">
      <c r="A24" s="396">
        <v>5.5</v>
      </c>
      <c r="B24" s="404" t="s">
        <v>826</v>
      </c>
      <c r="C24" s="398">
        <v>0</v>
      </c>
      <c r="D24" s="398">
        <v>75.468599999999995</v>
      </c>
      <c r="E24" s="399">
        <f t="shared" si="0"/>
        <v>75.468599999999995</v>
      </c>
      <c r="F24" s="687">
        <v>0</v>
      </c>
      <c r="G24" s="687">
        <v>76.811999999999998</v>
      </c>
      <c r="H24" s="400">
        <f t="shared" si="1"/>
        <v>76.811999999999998</v>
      </c>
    </row>
    <row r="25" spans="1:8">
      <c r="A25" s="396">
        <v>5.6</v>
      </c>
      <c r="B25" s="404" t="s">
        <v>827</v>
      </c>
      <c r="C25" s="398"/>
      <c r="D25" s="398"/>
      <c r="E25" s="399">
        <f t="shared" si="0"/>
        <v>0</v>
      </c>
      <c r="F25" s="687">
        <v>0</v>
      </c>
      <c r="G25" s="687">
        <v>2.5604</v>
      </c>
      <c r="H25" s="400">
        <f t="shared" si="1"/>
        <v>2.5604</v>
      </c>
    </row>
    <row r="26" spans="1:8">
      <c r="A26" s="396">
        <v>5.7</v>
      </c>
      <c r="B26" s="404" t="s">
        <v>541</v>
      </c>
      <c r="C26" s="398">
        <v>63262500</v>
      </c>
      <c r="D26" s="398">
        <v>34622255.1329</v>
      </c>
      <c r="E26" s="399">
        <f t="shared" si="0"/>
        <v>97884755.1329</v>
      </c>
      <c r="F26" s="687">
        <v>36733522.809699953</v>
      </c>
      <c r="G26" s="687">
        <v>31481206.170200001</v>
      </c>
      <c r="H26" s="400">
        <f t="shared" si="1"/>
        <v>68214728.979899958</v>
      </c>
    </row>
    <row r="27" spans="1:8">
      <c r="A27" s="396">
        <v>6</v>
      </c>
      <c r="B27" s="403" t="s">
        <v>828</v>
      </c>
      <c r="C27" s="398">
        <v>8309708.3600000003</v>
      </c>
      <c r="D27" s="398">
        <v>3521623.1697999993</v>
      </c>
      <c r="E27" s="399">
        <f t="shared" si="0"/>
        <v>11831331.5298</v>
      </c>
      <c r="F27" s="687">
        <v>52578664.369999997</v>
      </c>
      <c r="G27" s="687">
        <v>5272540.4779000003</v>
      </c>
      <c r="H27" s="400">
        <f t="shared" si="1"/>
        <v>57851204.847899996</v>
      </c>
    </row>
    <row r="28" spans="1:8">
      <c r="A28" s="396">
        <v>7</v>
      </c>
      <c r="B28" s="403" t="s">
        <v>829</v>
      </c>
      <c r="C28" s="398">
        <v>39657664.020000003</v>
      </c>
      <c r="D28" s="398">
        <v>35345601.748999998</v>
      </c>
      <c r="E28" s="399">
        <f t="shared" si="0"/>
        <v>75003265.768999994</v>
      </c>
      <c r="F28" s="687">
        <v>40198585.840000004</v>
      </c>
      <c r="G28" s="687">
        <v>19613652.661600001</v>
      </c>
      <c r="H28" s="400">
        <f t="shared" si="1"/>
        <v>59812238.501600005</v>
      </c>
    </row>
    <row r="29" spans="1:8">
      <c r="A29" s="396">
        <v>8</v>
      </c>
      <c r="B29" s="403" t="s">
        <v>830</v>
      </c>
      <c r="C29" s="398">
        <v>0</v>
      </c>
      <c r="D29" s="398">
        <v>0</v>
      </c>
      <c r="E29" s="399">
        <f t="shared" si="0"/>
        <v>0</v>
      </c>
      <c r="F29" s="687">
        <v>0</v>
      </c>
      <c r="G29" s="687">
        <v>0</v>
      </c>
      <c r="H29" s="400">
        <f t="shared" si="1"/>
        <v>0</v>
      </c>
    </row>
    <row r="30" spans="1:8">
      <c r="A30" s="396">
        <v>9</v>
      </c>
      <c r="B30" s="401" t="s">
        <v>185</v>
      </c>
      <c r="C30" s="398">
        <f>C31+C32+C33+C34+C35+C36+C37</f>
        <v>88027110.210000008</v>
      </c>
      <c r="D30" s="398">
        <f>D31+D32+D33+D34+D35+D36+D37</f>
        <v>230230827.76069999</v>
      </c>
      <c r="E30" s="399">
        <f t="shared" si="0"/>
        <v>318257937.97070003</v>
      </c>
      <c r="F30" s="687">
        <f>F31+F32+F33+F34+F35+F36+F37</f>
        <v>75453165</v>
      </c>
      <c r="G30" s="687">
        <f>G31+G32+G33+G34+G35+G36+G37</f>
        <v>256406444.28079998</v>
      </c>
      <c r="H30" s="400">
        <f t="shared" si="1"/>
        <v>331859609.28079998</v>
      </c>
    </row>
    <row r="31" spans="1:8" ht="27.6">
      <c r="A31" s="396">
        <v>9.1</v>
      </c>
      <c r="B31" s="402" t="s">
        <v>831</v>
      </c>
      <c r="C31" s="398">
        <v>38363814.810000002</v>
      </c>
      <c r="D31" s="398">
        <v>121022747.76069999</v>
      </c>
      <c r="E31" s="399">
        <f t="shared" si="0"/>
        <v>159386562.57069999</v>
      </c>
      <c r="F31" s="687">
        <v>32835067</v>
      </c>
      <c r="G31" s="687">
        <v>132136722.8222</v>
      </c>
      <c r="H31" s="400">
        <f t="shared" si="1"/>
        <v>164971789.8222</v>
      </c>
    </row>
    <row r="32" spans="1:8" ht="27.6">
      <c r="A32" s="396">
        <v>9.1999999999999993</v>
      </c>
      <c r="B32" s="402" t="s">
        <v>832</v>
      </c>
      <c r="C32" s="398">
        <v>49663295.399999999</v>
      </c>
      <c r="D32" s="398">
        <v>109208080</v>
      </c>
      <c r="E32" s="399">
        <f t="shared" si="0"/>
        <v>158871375.40000001</v>
      </c>
      <c r="F32" s="687">
        <v>42618098</v>
      </c>
      <c r="G32" s="687">
        <v>124269721.4586</v>
      </c>
      <c r="H32" s="400">
        <f t="shared" si="1"/>
        <v>166887819.45859998</v>
      </c>
    </row>
    <row r="33" spans="1:8" ht="27.6">
      <c r="A33" s="396">
        <v>9.3000000000000007</v>
      </c>
      <c r="B33" s="402" t="s">
        <v>833</v>
      </c>
      <c r="C33" s="398"/>
      <c r="D33" s="398"/>
      <c r="E33" s="399">
        <f t="shared" si="0"/>
        <v>0</v>
      </c>
      <c r="F33" s="687"/>
      <c r="G33" s="687"/>
      <c r="H33" s="400">
        <f t="shared" si="1"/>
        <v>0</v>
      </c>
    </row>
    <row r="34" spans="1:8">
      <c r="A34" s="396">
        <v>9.4</v>
      </c>
      <c r="B34" s="402" t="s">
        <v>834</v>
      </c>
      <c r="C34" s="398"/>
      <c r="D34" s="398"/>
      <c r="E34" s="399">
        <f t="shared" si="0"/>
        <v>0</v>
      </c>
      <c r="F34" s="687"/>
      <c r="G34" s="687"/>
      <c r="H34" s="400">
        <f t="shared" si="1"/>
        <v>0</v>
      </c>
    </row>
    <row r="35" spans="1:8">
      <c r="A35" s="396">
        <v>9.5</v>
      </c>
      <c r="B35" s="402" t="s">
        <v>835</v>
      </c>
      <c r="C35" s="398"/>
      <c r="D35" s="398"/>
      <c r="E35" s="399">
        <f t="shared" si="0"/>
        <v>0</v>
      </c>
      <c r="F35" s="687"/>
      <c r="G35" s="687"/>
      <c r="H35" s="400">
        <f t="shared" si="1"/>
        <v>0</v>
      </c>
    </row>
    <row r="36" spans="1:8" ht="27.6">
      <c r="A36" s="396">
        <v>9.6</v>
      </c>
      <c r="B36" s="402" t="s">
        <v>836</v>
      </c>
      <c r="C36" s="398"/>
      <c r="D36" s="398"/>
      <c r="E36" s="399">
        <f t="shared" si="0"/>
        <v>0</v>
      </c>
      <c r="F36" s="687"/>
      <c r="G36" s="687"/>
      <c r="H36" s="400">
        <f t="shared" si="1"/>
        <v>0</v>
      </c>
    </row>
    <row r="37" spans="1:8" ht="27.6">
      <c r="A37" s="396">
        <v>9.6999999999999993</v>
      </c>
      <c r="B37" s="402" t="s">
        <v>837</v>
      </c>
      <c r="C37" s="398"/>
      <c r="D37" s="398"/>
      <c r="E37" s="399">
        <f t="shared" si="0"/>
        <v>0</v>
      </c>
      <c r="F37" s="687"/>
      <c r="G37" s="687"/>
      <c r="H37" s="400">
        <f t="shared" si="1"/>
        <v>0</v>
      </c>
    </row>
    <row r="38" spans="1:8">
      <c r="A38" s="396">
        <v>10</v>
      </c>
      <c r="B38" s="403" t="s">
        <v>838</v>
      </c>
      <c r="C38" s="398">
        <f>C39+C40+C41+C42</f>
        <v>25218506.43</v>
      </c>
      <c r="D38" s="398">
        <f>D39+D40+D41+D42</f>
        <v>24669708.155400001</v>
      </c>
      <c r="E38" s="399">
        <f t="shared" si="0"/>
        <v>49888214.5854</v>
      </c>
      <c r="F38" s="687">
        <f>F39+F40+F41+F42</f>
        <v>11139779.59</v>
      </c>
      <c r="G38" s="687">
        <f>G39+G40+G41+G42</f>
        <v>9495055.6026999988</v>
      </c>
      <c r="H38" s="400">
        <f t="shared" si="1"/>
        <v>20634835.192699999</v>
      </c>
    </row>
    <row r="39" spans="1:8">
      <c r="A39" s="396">
        <v>10.1</v>
      </c>
      <c r="B39" s="402" t="s">
        <v>839</v>
      </c>
      <c r="C39" s="398">
        <v>1425109.48</v>
      </c>
      <c r="D39" s="398">
        <v>0</v>
      </c>
      <c r="E39" s="399">
        <f t="shared" si="0"/>
        <v>1425109.48</v>
      </c>
      <c r="F39" s="687">
        <v>853104.32</v>
      </c>
      <c r="G39" s="687">
        <v>0</v>
      </c>
      <c r="H39" s="400">
        <f t="shared" si="1"/>
        <v>853104.32</v>
      </c>
    </row>
    <row r="40" spans="1:8" ht="27.6">
      <c r="A40" s="396">
        <v>10.199999999999999</v>
      </c>
      <c r="B40" s="402" t="s">
        <v>840</v>
      </c>
      <c r="C40" s="398">
        <v>1857417.02</v>
      </c>
      <c r="D40" s="398">
        <v>2202952.8791999999</v>
      </c>
      <c r="E40" s="399">
        <f t="shared" si="0"/>
        <v>4060369.8991999999</v>
      </c>
      <c r="F40" s="687">
        <v>1317453.1299999999</v>
      </c>
      <c r="G40" s="687">
        <v>1313565.3739</v>
      </c>
      <c r="H40" s="400">
        <f t="shared" si="1"/>
        <v>2631018.5038999999</v>
      </c>
    </row>
    <row r="41" spans="1:8" ht="27.6">
      <c r="A41" s="396">
        <v>10.3</v>
      </c>
      <c r="B41" s="402" t="s">
        <v>841</v>
      </c>
      <c r="C41" s="398">
        <v>7859251.3300000001</v>
      </c>
      <c r="D41" s="398">
        <v>0</v>
      </c>
      <c r="E41" s="399">
        <f t="shared" si="0"/>
        <v>7859251.3300000001</v>
      </c>
      <c r="F41" s="687">
        <v>3877826.44</v>
      </c>
      <c r="G41" s="687">
        <v>0</v>
      </c>
      <c r="H41" s="400">
        <f t="shared" si="1"/>
        <v>3877826.44</v>
      </c>
    </row>
    <row r="42" spans="1:8" ht="27.6">
      <c r="A42" s="396">
        <v>10.4</v>
      </c>
      <c r="B42" s="402" t="s">
        <v>842</v>
      </c>
      <c r="C42" s="398">
        <v>14076728.6</v>
      </c>
      <c r="D42" s="398">
        <v>22466755.2762</v>
      </c>
      <c r="E42" s="399">
        <f t="shared" si="0"/>
        <v>36543483.876199998</v>
      </c>
      <c r="F42" s="687">
        <v>5091395.7</v>
      </c>
      <c r="G42" s="687">
        <v>8181490.2287999997</v>
      </c>
      <c r="H42" s="400">
        <f t="shared" si="1"/>
        <v>13272885.9288</v>
      </c>
    </row>
    <row r="43" spans="1:8">
      <c r="A43" s="396">
        <v>11</v>
      </c>
      <c r="B43" s="407" t="s">
        <v>186</v>
      </c>
      <c r="C43" s="398"/>
      <c r="D43" s="398"/>
      <c r="E43" s="399">
        <f t="shared" si="0"/>
        <v>0</v>
      </c>
      <c r="F43" s="687"/>
      <c r="G43" s="687"/>
      <c r="H43" s="400">
        <f t="shared" si="1"/>
        <v>0</v>
      </c>
    </row>
    <row r="44" spans="1:8">
      <c r="C44" s="409"/>
      <c r="D44" s="409"/>
      <c r="E44" s="409"/>
      <c r="F44" s="409"/>
      <c r="G44" s="409"/>
      <c r="H44" s="409"/>
    </row>
    <row r="45" spans="1:8">
      <c r="C45" s="409"/>
      <c r="D45" s="409"/>
      <c r="E45" s="409"/>
      <c r="F45" s="409"/>
      <c r="G45" s="409"/>
      <c r="H45" s="409"/>
    </row>
    <row r="46" spans="1:8">
      <c r="C46" s="409"/>
      <c r="D46" s="409"/>
      <c r="E46" s="409"/>
      <c r="F46" s="409"/>
      <c r="G46" s="409"/>
      <c r="H46" s="409"/>
    </row>
    <row r="47" spans="1:8">
      <c r="C47" s="409"/>
      <c r="D47" s="409"/>
      <c r="E47" s="409"/>
      <c r="F47" s="409"/>
      <c r="G47" s="409"/>
      <c r="H47" s="409"/>
    </row>
  </sheetData>
  <mergeCells count="4">
    <mergeCell ref="A4:A5"/>
    <mergeCell ref="B4:B5"/>
    <mergeCell ref="C4:E4"/>
    <mergeCell ref="F4:H4"/>
  </mergeCells>
  <pageMargins left="0.7" right="0.7" top="0.75" bottom="0.75" header="0.3" footer="0.3"/>
  <pageSetup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8"/>
  <sheetViews>
    <sheetView zoomScaleNormal="100" workbookViewId="0">
      <pane xSplit="1" ySplit="4" topLeftCell="B5" activePane="bottomRight" state="frozen"/>
      <selection activeCell="A3" sqref="A3"/>
      <selection pane="topRight" activeCell="A3" sqref="A3"/>
      <selection pane="bottomLeft" activeCell="A3" sqref="A3"/>
      <selection pane="bottomRight" activeCell="A3" sqref="A3"/>
    </sheetView>
  </sheetViews>
  <sheetFormatPr defaultColWidth="9.21875" defaultRowHeight="13.8"/>
  <cols>
    <col min="1" max="1" width="9.5546875" style="1" bestFit="1" customWidth="1"/>
    <col min="2" max="2" width="93.5546875" style="1" customWidth="1"/>
    <col min="3" max="4" width="12.77734375" style="1" customWidth="1"/>
    <col min="5" max="5" width="12.77734375" style="8" customWidth="1"/>
    <col min="6" max="7" width="11.6640625" style="8" customWidth="1"/>
    <col min="8" max="11" width="9.77734375" style="8" customWidth="1"/>
    <col min="12" max="16384" width="9.21875" style="8"/>
  </cols>
  <sheetData>
    <row r="1" spans="1:7">
      <c r="A1" s="13" t="s">
        <v>108</v>
      </c>
      <c r="B1" s="12" t="str">
        <f>Info!C2</f>
        <v>სს " პაშა ბანკი საქართველო"</v>
      </c>
      <c r="C1" s="12"/>
    </row>
    <row r="2" spans="1:7">
      <c r="A2" s="13" t="s">
        <v>109</v>
      </c>
      <c r="B2" s="326">
        <f>'1. key ratios'!B2</f>
        <v>45382</v>
      </c>
      <c r="C2" s="12"/>
    </row>
    <row r="3" spans="1:7">
      <c r="A3" s="13"/>
      <c r="B3" s="12"/>
      <c r="C3" s="12"/>
    </row>
    <row r="4" spans="1:7" ht="15" customHeight="1" thickBot="1">
      <c r="A4" s="133" t="s">
        <v>253</v>
      </c>
      <c r="B4" s="134" t="s">
        <v>107</v>
      </c>
      <c r="C4" s="135" t="s">
        <v>87</v>
      </c>
    </row>
    <row r="5" spans="1:7" ht="15" customHeight="1">
      <c r="A5" s="131" t="s">
        <v>25</v>
      </c>
      <c r="B5" s="132"/>
      <c r="C5" s="310" t="str">
        <f>INT((MONTH($B$2))/3)&amp;"Q"&amp;"-"&amp;YEAR($B$2)</f>
        <v>1Q-2024</v>
      </c>
      <c r="D5" s="310" t="str">
        <f>IF(INT(MONTH($B$2))=3, "4"&amp;"Q"&amp;"-"&amp;YEAR($B$2)-1, IF(INT(MONTH($B$2))=6, "1"&amp;"Q"&amp;"-"&amp;YEAR($B$2), IF(INT(MONTH($B$2))=9, "2"&amp;"Q"&amp;"-"&amp;YEAR($B$2),IF(INT(MONTH($B$2))=12, "3"&amp;"Q"&amp;"-"&amp;YEAR($B$2), 0))))</f>
        <v>4Q-2023</v>
      </c>
      <c r="E5" s="310" t="str">
        <f>IF(INT(MONTH($B$2))=3, "3"&amp;"Q"&amp;"-"&amp;YEAR($B$2)-1, IF(INT(MONTH($B$2))=6, "4"&amp;"Q"&amp;"-"&amp;YEAR($B$2)-1, IF(INT(MONTH($B$2))=9, "1"&amp;"Q"&amp;"-"&amp;YEAR($B$2),IF(INT(MONTH($B$2))=12, "2"&amp;"Q"&amp;"-"&amp;YEAR($B$2), 0))))</f>
        <v>3Q-2023</v>
      </c>
      <c r="F5" s="310" t="str">
        <f>IF(INT(MONTH($B$2))=3, "2"&amp;"Q"&amp;"-"&amp;YEAR($B$2)-1, IF(INT(MONTH($B$2))=6, "3"&amp;"Q"&amp;"-"&amp;YEAR($B$2)-1, IF(INT(MONTH($B$2))=9, "4"&amp;"Q"&amp;"-"&amp;YEAR($B$2)-1,IF(INT(MONTH($B$2))=12, "1"&amp;"Q"&amp;"-"&amp;YEAR($B$2), 0))))</f>
        <v>2Q-2023</v>
      </c>
      <c r="G5" s="310" t="str">
        <f>IF(INT(MONTH($B$2))=3, "1"&amp;"Q"&amp;"-"&amp;YEAR($B$2)-1, IF(INT(MONTH($B$2))=6, "2"&amp;"Q"&amp;"-"&amp;YEAR($B$2)-1, IF(INT(MONTH($B$2))=9, "3"&amp;"Q"&amp;"-"&amp;YEAR($B$2)-1,IF(INT(MONTH($B$2))=12, "4"&amp;"Q"&amp;"-"&amp;YEAR($B$2)-1, 0))))</f>
        <v>1Q-2023</v>
      </c>
    </row>
    <row r="6" spans="1:7" ht="15" customHeight="1">
      <c r="A6" s="244">
        <v>1</v>
      </c>
      <c r="B6" s="297" t="s">
        <v>112</v>
      </c>
      <c r="C6" s="245">
        <f>C7+C9+C10</f>
        <v>486148201.58228993</v>
      </c>
      <c r="D6" s="299">
        <f>D7+D9+D10</f>
        <v>519229548</v>
      </c>
      <c r="E6" s="246">
        <f t="shared" ref="E6:G6" si="0">E7+E9+E10</f>
        <v>471994722</v>
      </c>
      <c r="F6" s="245">
        <f t="shared" si="0"/>
        <v>481763583</v>
      </c>
      <c r="G6" s="300">
        <f t="shared" si="0"/>
        <v>471726745</v>
      </c>
    </row>
    <row r="7" spans="1:7" ht="15" customHeight="1">
      <c r="A7" s="244">
        <v>1.1000000000000001</v>
      </c>
      <c r="B7" s="247" t="s">
        <v>436</v>
      </c>
      <c r="C7" s="609">
        <v>440791398.74038994</v>
      </c>
      <c r="D7" s="608">
        <v>460925278</v>
      </c>
      <c r="E7" s="609">
        <v>424770530</v>
      </c>
      <c r="F7" s="609">
        <v>439546921</v>
      </c>
      <c r="G7" s="675">
        <v>434813748</v>
      </c>
    </row>
    <row r="8" spans="1:7" ht="27.6">
      <c r="A8" s="244" t="s">
        <v>157</v>
      </c>
      <c r="B8" s="248" t="s">
        <v>250</v>
      </c>
      <c r="C8" s="609"/>
      <c r="D8" s="608"/>
      <c r="E8" s="609"/>
      <c r="F8" s="609"/>
      <c r="G8" s="675"/>
    </row>
    <row r="9" spans="1:7" ht="15" customHeight="1">
      <c r="A9" s="244">
        <v>1.2</v>
      </c>
      <c r="B9" s="247" t="s">
        <v>21</v>
      </c>
      <c r="C9" s="609">
        <v>43415260.6505</v>
      </c>
      <c r="D9" s="608">
        <v>56173579</v>
      </c>
      <c r="E9" s="609">
        <v>45805923</v>
      </c>
      <c r="F9" s="609">
        <v>40476472</v>
      </c>
      <c r="G9" s="675">
        <v>33895649</v>
      </c>
    </row>
    <row r="10" spans="1:7" ht="15" customHeight="1">
      <c r="A10" s="244">
        <v>1.3</v>
      </c>
      <c r="B10" s="298" t="s">
        <v>74</v>
      </c>
      <c r="C10" s="609">
        <v>1941542.1913999999</v>
      </c>
      <c r="D10" s="608">
        <v>2130691</v>
      </c>
      <c r="E10" s="609">
        <v>1418269</v>
      </c>
      <c r="F10" s="609">
        <v>1740190</v>
      </c>
      <c r="G10" s="675">
        <v>3017348</v>
      </c>
    </row>
    <row r="11" spans="1:7" ht="15" customHeight="1">
      <c r="A11" s="244">
        <v>2</v>
      </c>
      <c r="B11" s="297" t="s">
        <v>113</v>
      </c>
      <c r="C11" s="609">
        <v>5665507.457677789</v>
      </c>
      <c r="D11" s="608">
        <v>1366371</v>
      </c>
      <c r="E11" s="609">
        <v>3046947</v>
      </c>
      <c r="F11" s="609">
        <v>4811648</v>
      </c>
      <c r="G11" s="675">
        <v>3040200</v>
      </c>
    </row>
    <row r="12" spans="1:7" ht="15" customHeight="1">
      <c r="A12" s="244">
        <v>3</v>
      </c>
      <c r="B12" s="297" t="s">
        <v>111</v>
      </c>
      <c r="C12" s="609">
        <v>66393321.560000002</v>
      </c>
      <c r="D12" s="608">
        <v>66393322</v>
      </c>
      <c r="E12" s="609">
        <v>52612002</v>
      </c>
      <c r="F12" s="609">
        <v>52612002</v>
      </c>
      <c r="G12" s="675">
        <v>52612002</v>
      </c>
    </row>
    <row r="13" spans="1:7" ht="15" customHeight="1" thickBot="1">
      <c r="A13" s="75">
        <v>4</v>
      </c>
      <c r="B13" s="303" t="s">
        <v>158</v>
      </c>
      <c r="C13" s="153">
        <f>C6+C11+C12</f>
        <v>558207030.59996772</v>
      </c>
      <c r="D13" s="301">
        <f>D6+D11+D12</f>
        <v>586989241</v>
      </c>
      <c r="E13" s="154">
        <f t="shared" ref="E13:G13" si="1">E6+E11+E12</f>
        <v>527653671</v>
      </c>
      <c r="F13" s="153">
        <f t="shared" si="1"/>
        <v>539187233</v>
      </c>
      <c r="G13" s="302">
        <f t="shared" si="1"/>
        <v>527378947</v>
      </c>
    </row>
    <row r="14" spans="1:7">
      <c r="B14" s="17"/>
    </row>
    <row r="15" spans="1:7" ht="27.6">
      <c r="B15" s="17" t="s">
        <v>437</v>
      </c>
    </row>
    <row r="16" spans="1:7">
      <c r="B16" s="17"/>
    </row>
    <row r="17" spans="2:2">
      <c r="B17" s="17"/>
    </row>
    <row r="18" spans="2:2">
      <c r="B18" s="17"/>
    </row>
  </sheetData>
  <pageMargins left="0.7" right="0.7" top="0.75" bottom="0.75" header="0.3" footer="0.3"/>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7"/>
  <sheetViews>
    <sheetView showGridLines="0" zoomScaleNormal="100" workbookViewId="0">
      <pane xSplit="1" ySplit="4" topLeftCell="B5" activePane="bottomRight" state="frozen"/>
      <selection activeCell="A3" sqref="A3"/>
      <selection pane="topRight" activeCell="A3" sqref="A3"/>
      <selection pane="bottomLeft" activeCell="A3" sqref="A3"/>
      <selection pane="bottomRight" activeCell="A3" sqref="A3"/>
    </sheetView>
  </sheetViews>
  <sheetFormatPr defaultRowHeight="14.4"/>
  <cols>
    <col min="1" max="1" width="9.5546875" style="1" bestFit="1" customWidth="1"/>
    <col min="2" max="2" width="58.77734375" style="1" customWidth="1"/>
    <col min="3" max="3" width="55.33203125" style="1" customWidth="1"/>
  </cols>
  <sheetData>
    <row r="1" spans="1:8">
      <c r="A1" s="1" t="s">
        <v>108</v>
      </c>
      <c r="B1" s="1" t="str">
        <f>Info!C2</f>
        <v>სს " პაშა ბანკი საქართველო"</v>
      </c>
    </row>
    <row r="2" spans="1:8">
      <c r="A2" s="1" t="s">
        <v>109</v>
      </c>
      <c r="B2" s="326">
        <f>'1. key ratios'!B2</f>
        <v>45382</v>
      </c>
    </row>
    <row r="4" spans="1:8" ht="25.5" customHeight="1" thickBot="1">
      <c r="A4" s="147" t="s">
        <v>254</v>
      </c>
      <c r="B4" s="24" t="s">
        <v>91</v>
      </c>
      <c r="C4" s="9"/>
    </row>
    <row r="5" spans="1:8">
      <c r="A5" s="7"/>
      <c r="B5" s="293" t="s">
        <v>92</v>
      </c>
      <c r="C5" s="308" t="s">
        <v>450</v>
      </c>
    </row>
    <row r="6" spans="1:8">
      <c r="A6" s="10">
        <v>1</v>
      </c>
      <c r="B6" s="25" t="s">
        <v>964</v>
      </c>
      <c r="C6" s="304" t="s">
        <v>965</v>
      </c>
    </row>
    <row r="7" spans="1:8">
      <c r="A7" s="10">
        <v>2</v>
      </c>
      <c r="B7" s="25" t="s">
        <v>966</v>
      </c>
      <c r="C7" s="304" t="s">
        <v>967</v>
      </c>
    </row>
    <row r="8" spans="1:8">
      <c r="A8" s="10">
        <v>3</v>
      </c>
      <c r="B8" s="25" t="s">
        <v>968</v>
      </c>
      <c r="C8" s="304" t="s">
        <v>967</v>
      </c>
    </row>
    <row r="9" spans="1:8">
      <c r="A9" s="10">
        <v>4</v>
      </c>
      <c r="B9" s="25" t="s">
        <v>969</v>
      </c>
      <c r="C9" s="304" t="s">
        <v>965</v>
      </c>
    </row>
    <row r="10" spans="1:8">
      <c r="A10" s="10">
        <v>5</v>
      </c>
      <c r="B10" s="25" t="s">
        <v>970</v>
      </c>
      <c r="C10" s="304" t="s">
        <v>971</v>
      </c>
    </row>
    <row r="11" spans="1:8">
      <c r="A11" s="10">
        <v>6</v>
      </c>
      <c r="B11" s="25"/>
      <c r="C11" s="304"/>
    </row>
    <row r="12" spans="1:8">
      <c r="A12" s="10">
        <v>7</v>
      </c>
      <c r="B12" s="25"/>
      <c r="C12" s="304"/>
      <c r="H12" s="2"/>
    </row>
    <row r="13" spans="1:8">
      <c r="A13" s="10">
        <v>8</v>
      </c>
      <c r="B13" s="25"/>
      <c r="C13" s="304"/>
    </row>
    <row r="14" spans="1:8">
      <c r="A14" s="10">
        <v>9</v>
      </c>
      <c r="B14" s="25"/>
      <c r="C14" s="304"/>
    </row>
    <row r="15" spans="1:8">
      <c r="A15" s="10">
        <v>10</v>
      </c>
      <c r="B15" s="25"/>
      <c r="C15" s="304"/>
    </row>
    <row r="16" spans="1:8">
      <c r="A16" s="10"/>
      <c r="B16" s="747"/>
      <c r="C16" s="748"/>
    </row>
    <row r="17" spans="1:3" ht="27.6">
      <c r="A17" s="10"/>
      <c r="B17" s="294" t="s">
        <v>93</v>
      </c>
      <c r="C17" s="309" t="s">
        <v>451</v>
      </c>
    </row>
    <row r="18" spans="1:3">
      <c r="A18" s="10">
        <v>1</v>
      </c>
      <c r="B18" s="607" t="s">
        <v>962</v>
      </c>
      <c r="C18" s="606" t="s">
        <v>987</v>
      </c>
    </row>
    <row r="19" spans="1:3">
      <c r="A19" s="10">
        <v>2</v>
      </c>
      <c r="B19" s="607" t="s">
        <v>972</v>
      </c>
      <c r="C19" s="606" t="s">
        <v>973</v>
      </c>
    </row>
    <row r="20" spans="1:3">
      <c r="A20" s="10">
        <v>3</v>
      </c>
      <c r="B20" s="607" t="s">
        <v>974</v>
      </c>
      <c r="C20" s="606" t="s">
        <v>975</v>
      </c>
    </row>
    <row r="21" spans="1:3">
      <c r="A21" s="10">
        <v>4</v>
      </c>
      <c r="B21" s="607" t="s">
        <v>976</v>
      </c>
      <c r="C21" s="606" t="s">
        <v>977</v>
      </c>
    </row>
    <row r="22" spans="1:3">
      <c r="A22" s="10">
        <v>5</v>
      </c>
      <c r="B22" s="21"/>
      <c r="C22" s="306"/>
    </row>
    <row r="23" spans="1:3">
      <c r="A23" s="10">
        <v>6</v>
      </c>
      <c r="B23" s="21"/>
      <c r="C23" s="306"/>
    </row>
    <row r="24" spans="1:3">
      <c r="A24" s="10">
        <v>7</v>
      </c>
      <c r="B24" s="21"/>
      <c r="C24" s="306"/>
    </row>
    <row r="25" spans="1:3">
      <c r="A25" s="10">
        <v>8</v>
      </c>
      <c r="B25" s="21"/>
      <c r="C25" s="306"/>
    </row>
    <row r="26" spans="1:3">
      <c r="A26" s="10">
        <v>9</v>
      </c>
      <c r="B26" s="21"/>
      <c r="C26" s="306"/>
    </row>
    <row r="27" spans="1:3" ht="15.75" customHeight="1">
      <c r="A27" s="10">
        <v>10</v>
      </c>
      <c r="B27" s="21"/>
      <c r="C27" s="307"/>
    </row>
    <row r="28" spans="1:3" ht="15.75" customHeight="1">
      <c r="A28" s="10"/>
      <c r="B28" s="21"/>
      <c r="C28" s="22"/>
    </row>
    <row r="29" spans="1:3" ht="30" customHeight="1">
      <c r="A29" s="10"/>
      <c r="B29" s="749" t="s">
        <v>94</v>
      </c>
      <c r="C29" s="750"/>
    </row>
    <row r="30" spans="1:3">
      <c r="A30" s="10">
        <v>1</v>
      </c>
      <c r="B30" s="676" t="s">
        <v>978</v>
      </c>
      <c r="C30" s="605">
        <v>0.85058799707602339</v>
      </c>
    </row>
    <row r="31" spans="1:3" ht="15.75" customHeight="1">
      <c r="A31" s="10"/>
      <c r="B31" s="676" t="s">
        <v>979</v>
      </c>
      <c r="C31" s="605">
        <v>0.14941200292397661</v>
      </c>
    </row>
    <row r="32" spans="1:3" ht="29.25" customHeight="1">
      <c r="A32" s="10"/>
      <c r="B32" s="749" t="s">
        <v>174</v>
      </c>
      <c r="C32" s="750"/>
    </row>
    <row r="33" spans="1:3">
      <c r="A33" s="636">
        <v>1</v>
      </c>
      <c r="B33" s="676" t="s">
        <v>980</v>
      </c>
      <c r="C33" s="603">
        <v>0.18988394736842104</v>
      </c>
    </row>
    <row r="34" spans="1:3">
      <c r="A34" s="604">
        <v>2</v>
      </c>
      <c r="B34" s="677" t="s">
        <v>981</v>
      </c>
      <c r="C34" s="602">
        <v>0.35211520467836255</v>
      </c>
    </row>
    <row r="35" spans="1:3">
      <c r="A35" s="604">
        <v>3</v>
      </c>
      <c r="B35" s="677" t="s">
        <v>982</v>
      </c>
      <c r="C35" s="602">
        <v>0.35211520467836255</v>
      </c>
    </row>
    <row r="36" spans="1:3">
      <c r="A36" s="604">
        <v>4</v>
      </c>
      <c r="B36" s="677" t="s">
        <v>983</v>
      </c>
      <c r="C36" s="602">
        <v>0.10588564327485381</v>
      </c>
    </row>
    <row r="37" spans="1:3" ht="15" thickBot="1">
      <c r="A37" s="11"/>
      <c r="B37" s="26"/>
      <c r="C37" s="305"/>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80" zoomScaleNormal="80" workbookViewId="0">
      <pane xSplit="1" ySplit="5" topLeftCell="B7" activePane="bottomRight" state="frozen"/>
      <selection activeCell="A3" sqref="A3"/>
      <selection pane="topRight" activeCell="A3" sqref="A3"/>
      <selection pane="bottomLeft" activeCell="A3" sqref="A3"/>
      <selection pane="bottomRight" activeCell="A3" sqref="A3"/>
    </sheetView>
  </sheetViews>
  <sheetFormatPr defaultRowHeight="14.4"/>
  <cols>
    <col min="1" max="1" width="9.5546875" style="1" bestFit="1" customWidth="1"/>
    <col min="2" max="2" width="47.5546875" style="1" customWidth="1"/>
    <col min="3" max="3" width="28" style="1" customWidth="1"/>
    <col min="4" max="4" width="25.6640625" style="1" customWidth="1"/>
    <col min="5" max="5" width="18.77734375" style="1" customWidth="1"/>
    <col min="6" max="6" width="12" bestFit="1" customWidth="1"/>
    <col min="7" max="7" width="12.5546875" bestFit="1" customWidth="1"/>
  </cols>
  <sheetData>
    <row r="1" spans="1:5">
      <c r="A1" s="13" t="s">
        <v>108</v>
      </c>
      <c r="B1" s="12" t="str">
        <f>Info!C2</f>
        <v>სს " პაშა ბანკი საქართველო"</v>
      </c>
    </row>
    <row r="2" spans="1:5" s="13" customFormat="1" ht="15.75" customHeight="1">
      <c r="A2" s="13" t="s">
        <v>109</v>
      </c>
      <c r="B2" s="326">
        <f>'1. key ratios'!B2</f>
        <v>45382</v>
      </c>
    </row>
    <row r="3" spans="1:5" s="13" customFormat="1" ht="15.75" customHeight="1"/>
    <row r="4" spans="1:5" s="13" customFormat="1" ht="15.75" customHeight="1" thickBot="1">
      <c r="A4" s="148" t="s">
        <v>255</v>
      </c>
      <c r="B4" s="149" t="s">
        <v>168</v>
      </c>
      <c r="C4" s="114"/>
      <c r="D4" s="114"/>
      <c r="E4" s="115" t="s">
        <v>87</v>
      </c>
    </row>
    <row r="5" spans="1:5" s="71" customFormat="1" ht="17.55" customHeight="1">
      <c r="A5" s="645"/>
      <c r="B5" s="646"/>
      <c r="C5" s="642" t="s">
        <v>0</v>
      </c>
      <c r="D5" s="642" t="s">
        <v>1</v>
      </c>
      <c r="E5" s="647" t="s">
        <v>2</v>
      </c>
    </row>
    <row r="6" spans="1:5" ht="14.55" customHeight="1">
      <c r="A6" s="648"/>
      <c r="B6" s="751" t="s">
        <v>144</v>
      </c>
      <c r="C6" s="751" t="s">
        <v>856</v>
      </c>
      <c r="D6" s="752" t="s">
        <v>143</v>
      </c>
      <c r="E6" s="753"/>
    </row>
    <row r="7" spans="1:5" ht="99.6" customHeight="1">
      <c r="A7" s="648"/>
      <c r="B7" s="751"/>
      <c r="C7" s="751"/>
      <c r="D7" s="573" t="s">
        <v>142</v>
      </c>
      <c r="E7" s="574" t="s">
        <v>353</v>
      </c>
    </row>
    <row r="8" spans="1:5" ht="22.5" customHeight="1">
      <c r="A8" s="618">
        <v>1</v>
      </c>
      <c r="B8" s="616" t="s">
        <v>843</v>
      </c>
      <c r="C8" s="652">
        <f>SUM(C9:C11)</f>
        <v>137037459.81369999</v>
      </c>
      <c r="D8" s="652">
        <f t="shared" ref="D8:E8" si="0">SUM(D9:D11)</f>
        <v>0</v>
      </c>
      <c r="E8" s="601">
        <f t="shared" si="0"/>
        <v>137037459.81369999</v>
      </c>
    </row>
    <row r="9" spans="1:5">
      <c r="A9" s="618">
        <v>1.1000000000000001</v>
      </c>
      <c r="B9" s="615" t="s">
        <v>96</v>
      </c>
      <c r="C9" s="652">
        <v>2171931.9144000001</v>
      </c>
      <c r="D9" s="652"/>
      <c r="E9" s="601">
        <f>C9-D9</f>
        <v>2171931.9144000001</v>
      </c>
    </row>
    <row r="10" spans="1:5">
      <c r="A10" s="618">
        <v>1.2</v>
      </c>
      <c r="B10" s="615" t="s">
        <v>97</v>
      </c>
      <c r="C10" s="652">
        <v>32706760.6833</v>
      </c>
      <c r="D10" s="652"/>
      <c r="E10" s="601">
        <f>C10-D10</f>
        <v>32706760.6833</v>
      </c>
    </row>
    <row r="11" spans="1:5">
      <c r="A11" s="618">
        <v>1.3</v>
      </c>
      <c r="B11" s="615" t="s">
        <v>98</v>
      </c>
      <c r="C11" s="652">
        <v>102158767.21599999</v>
      </c>
      <c r="D11" s="652"/>
      <c r="E11" s="601">
        <f>C11-D11</f>
        <v>102158767.21599999</v>
      </c>
    </row>
    <row r="12" spans="1:5">
      <c r="A12" s="618">
        <v>2</v>
      </c>
      <c r="B12" s="635" t="s">
        <v>730</v>
      </c>
      <c r="C12" s="652">
        <f>C13</f>
        <v>969679.58</v>
      </c>
      <c r="D12" s="652">
        <f>D13</f>
        <v>0</v>
      </c>
      <c r="E12" s="601">
        <f>E13</f>
        <v>969679.58</v>
      </c>
    </row>
    <row r="13" spans="1:5">
      <c r="A13" s="618">
        <v>2.1</v>
      </c>
      <c r="B13" s="614" t="s">
        <v>731</v>
      </c>
      <c r="C13" s="652">
        <v>969679.58</v>
      </c>
      <c r="D13" s="652"/>
      <c r="E13" s="601">
        <f>C13-D13</f>
        <v>969679.58</v>
      </c>
    </row>
    <row r="14" spans="1:5" ht="34.049999999999997" customHeight="1">
      <c r="A14" s="618">
        <v>3</v>
      </c>
      <c r="B14" s="659" t="s">
        <v>732</v>
      </c>
      <c r="C14" s="652"/>
      <c r="D14" s="652"/>
      <c r="E14" s="601"/>
    </row>
    <row r="15" spans="1:5" ht="32.549999999999997" customHeight="1">
      <c r="A15" s="618">
        <v>4</v>
      </c>
      <c r="B15" s="660" t="s">
        <v>733</v>
      </c>
      <c r="C15" s="652"/>
      <c r="D15" s="652"/>
      <c r="E15" s="601"/>
    </row>
    <row r="16" spans="1:5" ht="22.95" customHeight="1">
      <c r="A16" s="618">
        <v>5</v>
      </c>
      <c r="B16" s="660" t="s">
        <v>734</v>
      </c>
      <c r="C16" s="652">
        <f>SUM(C17:C19)</f>
        <v>0</v>
      </c>
      <c r="D16" s="652">
        <f t="shared" ref="D16:E16" si="1">SUM(D17:D19)</f>
        <v>0</v>
      </c>
      <c r="E16" s="601">
        <f t="shared" si="1"/>
        <v>0</v>
      </c>
    </row>
    <row r="17" spans="1:5">
      <c r="A17" s="618">
        <v>5.0999999999999996</v>
      </c>
      <c r="B17" s="661" t="s">
        <v>735</v>
      </c>
      <c r="C17" s="652"/>
      <c r="D17" s="652"/>
      <c r="E17" s="601"/>
    </row>
    <row r="18" spans="1:5">
      <c r="A18" s="618">
        <v>5.2</v>
      </c>
      <c r="B18" s="661" t="s">
        <v>569</v>
      </c>
      <c r="C18" s="652"/>
      <c r="D18" s="652"/>
      <c r="E18" s="601"/>
    </row>
    <row r="19" spans="1:5">
      <c r="A19" s="618">
        <v>5.3</v>
      </c>
      <c r="B19" s="661" t="s">
        <v>736</v>
      </c>
      <c r="C19" s="652"/>
      <c r="D19" s="652"/>
      <c r="E19" s="601"/>
    </row>
    <row r="20" spans="1:5" ht="20.399999999999999">
      <c r="A20" s="618">
        <v>6</v>
      </c>
      <c r="B20" s="659" t="s">
        <v>737</v>
      </c>
      <c r="C20" s="652">
        <f>SUM(C21:C22)</f>
        <v>359155419.35359997</v>
      </c>
      <c r="D20" s="652">
        <f t="shared" ref="D20:E20" si="2">SUM(D21:D22)</f>
        <v>0</v>
      </c>
      <c r="E20" s="601">
        <f t="shared" si="2"/>
        <v>359155419.35359997</v>
      </c>
    </row>
    <row r="21" spans="1:5">
      <c r="A21" s="618">
        <v>6.1</v>
      </c>
      <c r="B21" s="661" t="s">
        <v>569</v>
      </c>
      <c r="C21" s="653">
        <v>61791397.714699998</v>
      </c>
      <c r="D21" s="653"/>
      <c r="E21" s="601">
        <f>C21-D21</f>
        <v>61791397.714699998</v>
      </c>
    </row>
    <row r="22" spans="1:5">
      <c r="A22" s="618">
        <v>6.2</v>
      </c>
      <c r="B22" s="661" t="s">
        <v>736</v>
      </c>
      <c r="C22" s="653">
        <v>297364021.63889998</v>
      </c>
      <c r="D22" s="653"/>
      <c r="E22" s="601">
        <f>C22-D22</f>
        <v>297364021.63889998</v>
      </c>
    </row>
    <row r="23" spans="1:5" ht="20.399999999999999">
      <c r="A23" s="618">
        <v>7</v>
      </c>
      <c r="B23" s="662" t="s">
        <v>738</v>
      </c>
      <c r="C23" s="653">
        <v>0</v>
      </c>
      <c r="D23" s="653"/>
      <c r="E23" s="601">
        <f>C23-D23</f>
        <v>0</v>
      </c>
    </row>
    <row r="24" spans="1:5" ht="20.399999999999999">
      <c r="A24" s="618">
        <v>8</v>
      </c>
      <c r="B24" s="662" t="s">
        <v>739</v>
      </c>
      <c r="C24" s="653">
        <v>0</v>
      </c>
      <c r="D24" s="653"/>
      <c r="E24" s="601">
        <f>C24-D24</f>
        <v>0</v>
      </c>
    </row>
    <row r="25" spans="1:5">
      <c r="A25" s="618">
        <v>9</v>
      </c>
      <c r="B25" s="660" t="s">
        <v>740</v>
      </c>
      <c r="C25" s="653">
        <f>SUM(C26:C27)</f>
        <v>3556501.98</v>
      </c>
      <c r="D25" s="653">
        <f t="shared" ref="D25:E25" si="3">SUM(D26:D27)</f>
        <v>0</v>
      </c>
      <c r="E25" s="685">
        <f t="shared" si="3"/>
        <v>3556501.98</v>
      </c>
    </row>
    <row r="26" spans="1:5">
      <c r="A26" s="618">
        <v>9.1</v>
      </c>
      <c r="B26" s="663" t="s">
        <v>741</v>
      </c>
      <c r="C26" s="653">
        <v>3556501.98</v>
      </c>
      <c r="D26" s="653"/>
      <c r="E26" s="601">
        <f>C26-D26</f>
        <v>3556501.98</v>
      </c>
    </row>
    <row r="27" spans="1:5">
      <c r="A27" s="618">
        <v>9.1999999999999993</v>
      </c>
      <c r="B27" s="663" t="s">
        <v>742</v>
      </c>
      <c r="C27" s="653">
        <v>0</v>
      </c>
      <c r="D27" s="653"/>
      <c r="E27" s="601">
        <f>C27-D27</f>
        <v>0</v>
      </c>
    </row>
    <row r="28" spans="1:5">
      <c r="A28" s="618">
        <v>10</v>
      </c>
      <c r="B28" s="660" t="s">
        <v>36</v>
      </c>
      <c r="C28" s="653">
        <f>SUM(C29:C30)</f>
        <v>5338487.0599999996</v>
      </c>
      <c r="D28" s="653">
        <f t="shared" ref="D28:E28" si="4">SUM(D29:D30)</f>
        <v>5338487.0599999996</v>
      </c>
      <c r="E28" s="685">
        <f t="shared" si="4"/>
        <v>0</v>
      </c>
    </row>
    <row r="29" spans="1:5">
      <c r="A29" s="618">
        <v>10.1</v>
      </c>
      <c r="B29" s="663" t="s">
        <v>743</v>
      </c>
      <c r="C29" s="653"/>
      <c r="D29" s="653"/>
      <c r="E29" s="685"/>
    </row>
    <row r="30" spans="1:5">
      <c r="A30" s="618">
        <v>10.199999999999999</v>
      </c>
      <c r="B30" s="663" t="s">
        <v>744</v>
      </c>
      <c r="C30" s="653">
        <v>5338487.0599999996</v>
      </c>
      <c r="D30" s="653">
        <v>5338487.0599999996</v>
      </c>
      <c r="E30" s="601">
        <f>C30-D30</f>
        <v>0</v>
      </c>
    </row>
    <row r="31" spans="1:5">
      <c r="A31" s="618">
        <v>11</v>
      </c>
      <c r="B31" s="660" t="s">
        <v>745</v>
      </c>
      <c r="C31" s="653">
        <f>SUM(C32:C33)</f>
        <v>0</v>
      </c>
      <c r="D31" s="653">
        <f t="shared" ref="D31:E31" si="5">SUM(D32:D33)</f>
        <v>0</v>
      </c>
      <c r="E31" s="685">
        <f t="shared" si="5"/>
        <v>0</v>
      </c>
    </row>
    <row r="32" spans="1:5">
      <c r="A32" s="618">
        <v>11.1</v>
      </c>
      <c r="B32" s="663" t="s">
        <v>746</v>
      </c>
      <c r="C32" s="653"/>
      <c r="D32" s="653"/>
      <c r="E32" s="685"/>
    </row>
    <row r="33" spans="1:7">
      <c r="A33" s="618">
        <v>11.2</v>
      </c>
      <c r="B33" s="663" t="s">
        <v>747</v>
      </c>
      <c r="C33" s="653"/>
      <c r="D33" s="653"/>
      <c r="E33" s="685"/>
    </row>
    <row r="34" spans="1:7">
      <c r="A34" s="618">
        <v>13</v>
      </c>
      <c r="B34" s="660" t="s">
        <v>99</v>
      </c>
      <c r="C34" s="653">
        <v>19664270.582199998</v>
      </c>
      <c r="D34" s="653"/>
      <c r="E34" s="601">
        <f>C34-D34</f>
        <v>19664270.582199998</v>
      </c>
    </row>
    <row r="35" spans="1:7">
      <c r="A35" s="618">
        <v>13.1</v>
      </c>
      <c r="B35" s="613" t="s">
        <v>748</v>
      </c>
      <c r="C35" s="653">
        <v>15709917.699999999</v>
      </c>
      <c r="D35" s="653"/>
      <c r="E35" s="685"/>
    </row>
    <row r="36" spans="1:7">
      <c r="A36" s="618">
        <v>13.2</v>
      </c>
      <c r="B36" s="613" t="s">
        <v>749</v>
      </c>
      <c r="C36" s="653"/>
      <c r="D36" s="653"/>
      <c r="E36" s="685"/>
    </row>
    <row r="37" spans="1:7" ht="42" thickBot="1">
      <c r="A37" s="649"/>
      <c r="B37" s="650" t="s">
        <v>320</v>
      </c>
      <c r="C37" s="644">
        <f>SUM(C8,C12,C14,C15,C16,C20,C23,C24,C25,C28,C31,C34)</f>
        <v>525721818.36949998</v>
      </c>
      <c r="D37" s="644">
        <f t="shared" ref="D37:E37" si="6">SUM(D8,D12,D14,D15,D16,D20,D23,D24,D25,D28,D31,D34)</f>
        <v>5338487.0599999996</v>
      </c>
      <c r="E37" s="600">
        <f t="shared" si="6"/>
        <v>520383331.30949998</v>
      </c>
    </row>
    <row r="38" spans="1:7">
      <c r="A38"/>
      <c r="B38"/>
      <c r="C38"/>
      <c r="D38"/>
      <c r="E38"/>
    </row>
    <row r="39" spans="1:7">
      <c r="A39"/>
      <c r="B39"/>
      <c r="C39"/>
      <c r="D39"/>
      <c r="E39"/>
    </row>
    <row r="41" spans="1:7" s="1" customFormat="1">
      <c r="B41" s="28"/>
      <c r="F41"/>
      <c r="G41"/>
    </row>
    <row r="42" spans="1:7" s="1" customFormat="1">
      <c r="B42" s="29"/>
      <c r="F42"/>
      <c r="G42"/>
    </row>
    <row r="43" spans="1:7" s="1" customFormat="1">
      <c r="B43" s="28"/>
      <c r="F43"/>
      <c r="G43"/>
    </row>
    <row r="44" spans="1:7" s="1" customFormat="1">
      <c r="B44" s="28"/>
      <c r="F44"/>
      <c r="G44"/>
    </row>
    <row r="45" spans="1:7" s="1" customFormat="1">
      <c r="B45" s="28"/>
      <c r="F45"/>
      <c r="G45"/>
    </row>
    <row r="46" spans="1:7" s="1" customFormat="1">
      <c r="B46" s="28"/>
      <c r="F46"/>
      <c r="G46"/>
    </row>
    <row r="47" spans="1:7" s="1" customFormat="1">
      <c r="B47" s="28"/>
      <c r="F47"/>
      <c r="G47"/>
    </row>
    <row r="48" spans="1:7" s="1" customFormat="1">
      <c r="B48" s="29"/>
      <c r="F48"/>
      <c r="G48"/>
    </row>
    <row r="49" spans="2:7" s="1" customFormat="1">
      <c r="B49" s="29"/>
      <c r="F49"/>
      <c r="G49"/>
    </row>
    <row r="50" spans="2:7" s="1" customFormat="1">
      <c r="B50" s="29"/>
      <c r="F50"/>
      <c r="G50"/>
    </row>
    <row r="51" spans="2:7" s="1" customFormat="1">
      <c r="B51" s="29"/>
      <c r="F51"/>
      <c r="G51"/>
    </row>
    <row r="52" spans="2:7" s="1" customFormat="1">
      <c r="B52" s="29"/>
      <c r="F52"/>
      <c r="G52"/>
    </row>
    <row r="53" spans="2:7" s="1" customFormat="1">
      <c r="B53" s="29"/>
      <c r="F53"/>
      <c r="G53"/>
    </row>
  </sheetData>
  <mergeCells count="3">
    <mergeCell ref="B6:B7"/>
    <mergeCell ref="C6:C7"/>
    <mergeCell ref="D6:E6"/>
  </mergeCells>
  <pageMargins left="0.7" right="0.7" top="0.75" bottom="0.75" header="0.3" footer="0.3"/>
  <pageSetup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Normal="100" workbookViewId="0">
      <pane xSplit="1" ySplit="4" topLeftCell="B5" activePane="bottomRight" state="frozen"/>
      <selection activeCell="A3" sqref="A3"/>
      <selection pane="topRight" activeCell="A3" sqref="A3"/>
      <selection pane="bottomLeft" activeCell="A3" sqref="A3"/>
      <selection pane="bottomRight" activeCell="A3" sqref="A3"/>
    </sheetView>
  </sheetViews>
  <sheetFormatPr defaultRowHeight="14.4" outlineLevelRow="1"/>
  <cols>
    <col min="1" max="1" width="9.5546875" style="1" bestFit="1" customWidth="1"/>
    <col min="2" max="2" width="114.21875" style="1"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3" t="s">
        <v>108</v>
      </c>
      <c r="B1" s="12" t="str">
        <f>Info!C2</f>
        <v>სს " პაშა ბანკი საქართველო"</v>
      </c>
    </row>
    <row r="2" spans="1:6" s="13" customFormat="1" ht="15.75" customHeight="1">
      <c r="A2" s="13" t="s">
        <v>109</v>
      </c>
      <c r="B2" s="326">
        <f>'1. key ratios'!B2</f>
        <v>45382</v>
      </c>
      <c r="C2"/>
      <c r="D2"/>
      <c r="E2"/>
      <c r="F2"/>
    </row>
    <row r="3" spans="1:6" s="13" customFormat="1" ht="15.75" customHeight="1">
      <c r="C3"/>
      <c r="D3"/>
      <c r="E3"/>
      <c r="F3"/>
    </row>
    <row r="4" spans="1:6" s="13" customFormat="1" ht="28.2" thickBot="1">
      <c r="A4" s="13" t="s">
        <v>256</v>
      </c>
      <c r="B4" s="121" t="s">
        <v>171</v>
      </c>
      <c r="C4" s="115" t="s">
        <v>87</v>
      </c>
      <c r="D4"/>
      <c r="E4"/>
      <c r="F4"/>
    </row>
    <row r="5" spans="1:6">
      <c r="A5" s="116">
        <v>1</v>
      </c>
      <c r="B5" s="117" t="s">
        <v>727</v>
      </c>
      <c r="C5" s="155">
        <f>'7. LI1'!E37</f>
        <v>520383331.30949998</v>
      </c>
    </row>
    <row r="6" spans="1:6">
      <c r="A6" s="70">
        <v>2.1</v>
      </c>
      <c r="B6" s="123" t="s">
        <v>861</v>
      </c>
      <c r="C6" s="156">
        <v>86614928.885599986</v>
      </c>
    </row>
    <row r="7" spans="1:6" s="2" customFormat="1" ht="27.6" outlineLevel="1">
      <c r="A7" s="122">
        <v>2.2000000000000002</v>
      </c>
      <c r="B7" s="118" t="s">
        <v>862</v>
      </c>
      <c r="C7" s="157">
        <v>97077109.570899993</v>
      </c>
    </row>
    <row r="8" spans="1:6" s="2" customFormat="1" ht="27.6">
      <c r="A8" s="122">
        <v>3</v>
      </c>
      <c r="B8" s="119" t="s">
        <v>728</v>
      </c>
      <c r="C8" s="158">
        <f>SUM(C5:C7)</f>
        <v>704075369.76599991</v>
      </c>
    </row>
    <row r="9" spans="1:6">
      <c r="A9" s="70">
        <v>4</v>
      </c>
      <c r="B9" s="126" t="s">
        <v>169</v>
      </c>
      <c r="C9" s="156"/>
    </row>
    <row r="10" spans="1:6" s="2" customFormat="1" ht="27.6" outlineLevel="1">
      <c r="A10" s="122">
        <v>5.0999999999999996</v>
      </c>
      <c r="B10" s="118" t="s">
        <v>175</v>
      </c>
      <c r="C10" s="157">
        <v>-41174647.109099992</v>
      </c>
    </row>
    <row r="11" spans="1:6" s="2" customFormat="1" ht="27.6" outlineLevel="1">
      <c r="A11" s="122">
        <v>5.2</v>
      </c>
      <c r="B11" s="118" t="s">
        <v>176</v>
      </c>
      <c r="C11" s="157">
        <v>-95135567.379481986</v>
      </c>
    </row>
    <row r="12" spans="1:6" s="2" customFormat="1">
      <c r="A12" s="122">
        <v>6</v>
      </c>
      <c r="B12" s="124" t="s">
        <v>438</v>
      </c>
      <c r="C12" s="157"/>
    </row>
    <row r="13" spans="1:6" s="2" customFormat="1" ht="15" thickBot="1">
      <c r="A13" s="125">
        <v>7</v>
      </c>
      <c r="B13" s="120" t="s">
        <v>170</v>
      </c>
      <c r="C13" s="159">
        <f>SUM(C8:C12)</f>
        <v>567765155.2774179</v>
      </c>
    </row>
    <row r="15" spans="1:6" ht="27.6">
      <c r="B15" s="17" t="s">
        <v>439</v>
      </c>
    </row>
    <row r="17" spans="2:9" s="1" customFormat="1">
      <c r="B17" s="30"/>
      <c r="C17"/>
      <c r="D17"/>
      <c r="E17"/>
      <c r="F17"/>
      <c r="G17"/>
      <c r="H17"/>
      <c r="I17"/>
    </row>
    <row r="18" spans="2:9" s="1" customFormat="1">
      <c r="B18" s="27"/>
      <c r="C18"/>
      <c r="D18"/>
      <c r="E18"/>
      <c r="F18"/>
      <c r="G18"/>
      <c r="H18"/>
      <c r="I18"/>
    </row>
    <row r="19" spans="2:9" s="1" customFormat="1">
      <c r="B19" s="27"/>
      <c r="C19"/>
      <c r="D19"/>
      <c r="E19"/>
      <c r="F19"/>
      <c r="G19"/>
      <c r="H19"/>
      <c r="I19"/>
    </row>
    <row r="20" spans="2:9" s="1" customFormat="1">
      <c r="B20" s="29"/>
      <c r="C20"/>
      <c r="D20"/>
      <c r="E20"/>
      <c r="F20"/>
      <c r="G20"/>
      <c r="H20"/>
      <c r="I20"/>
    </row>
    <row r="21" spans="2:9" s="1" customFormat="1">
      <c r="B21" s="28"/>
      <c r="C21"/>
      <c r="D21"/>
      <c r="E21"/>
      <c r="F21"/>
      <c r="G21"/>
      <c r="H21"/>
      <c r="I21"/>
    </row>
    <row r="22" spans="2:9" s="1" customFormat="1">
      <c r="B22" s="29"/>
      <c r="C22"/>
      <c r="D22"/>
      <c r="E22"/>
      <c r="F22"/>
      <c r="G22"/>
      <c r="H22"/>
      <c r="I22"/>
    </row>
    <row r="23" spans="2:9" s="1" customFormat="1">
      <c r="B23" s="28"/>
      <c r="C23"/>
      <c r="D23"/>
      <c r="E23"/>
      <c r="F23"/>
      <c r="G23"/>
      <c r="H23"/>
      <c r="I23"/>
    </row>
    <row r="24" spans="2:9" s="1" customFormat="1">
      <c r="B24" s="28"/>
      <c r="C24"/>
      <c r="D24"/>
      <c r="E24"/>
      <c r="F24"/>
      <c r="G24"/>
      <c r="H24"/>
      <c r="I24"/>
    </row>
    <row r="25" spans="2:9" s="1" customFormat="1">
      <c r="B25" s="28"/>
      <c r="C25"/>
      <c r="D25"/>
      <c r="E25"/>
      <c r="F25"/>
      <c r="G25"/>
      <c r="H25"/>
      <c r="I25"/>
    </row>
    <row r="26" spans="2:9" s="1" customFormat="1">
      <c r="B26" s="28"/>
      <c r="C26"/>
      <c r="D26"/>
      <c r="E26"/>
      <c r="F26"/>
      <c r="G26"/>
      <c r="H26"/>
      <c r="I26"/>
    </row>
    <row r="27" spans="2:9" s="1" customFormat="1">
      <c r="B27" s="28"/>
      <c r="C27"/>
      <c r="D27"/>
      <c r="E27"/>
      <c r="F27"/>
      <c r="G27"/>
      <c r="H27"/>
      <c r="I27"/>
    </row>
    <row r="28" spans="2:9" s="1" customFormat="1">
      <c r="B28" s="29"/>
      <c r="C28"/>
      <c r="D28"/>
      <c r="E28"/>
      <c r="F28"/>
      <c r="G28"/>
      <c r="H28"/>
      <c r="I28"/>
    </row>
    <row r="29" spans="2:9" s="1" customFormat="1">
      <c r="B29" s="29"/>
      <c r="C29"/>
      <c r="D29"/>
      <c r="E29"/>
      <c r="F29"/>
      <c r="G29"/>
      <c r="H29"/>
      <c r="I29"/>
    </row>
    <row r="30" spans="2:9" s="1" customFormat="1">
      <c r="B30" s="29"/>
      <c r="C30"/>
      <c r="D30"/>
      <c r="E30"/>
      <c r="F30"/>
      <c r="G30"/>
      <c r="H30"/>
      <c r="I30"/>
    </row>
    <row r="31" spans="2:9" s="1" customFormat="1">
      <c r="B31" s="29"/>
      <c r="C31"/>
      <c r="D31"/>
      <c r="E31"/>
      <c r="F31"/>
      <c r="G31"/>
      <c r="H31"/>
      <c r="I31"/>
    </row>
    <row r="32" spans="2:9" s="1" customFormat="1">
      <c r="B32" s="29"/>
      <c r="C32"/>
      <c r="D32"/>
      <c r="E32"/>
      <c r="F32"/>
      <c r="G32"/>
      <c r="H32"/>
      <c r="I32"/>
    </row>
    <row r="33" spans="2:9" s="1" customFormat="1">
      <c r="B33" s="29"/>
      <c r="C33"/>
      <c r="D33"/>
      <c r="E33"/>
      <c r="F33"/>
      <c r="G33"/>
      <c r="H33"/>
      <c r="I33"/>
    </row>
  </sheetData>
  <pageMargins left="0.7" right="0.7" top="0.75" bottom="0.75" header="0.3" footer="0.3"/>
  <pageSetup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
  <sheetViews>
    <sheetView zoomScaleNormal="100" workbookViewId="0">
      <pane xSplit="1" ySplit="5" topLeftCell="B7" activePane="bottomRight" state="frozen"/>
      <selection activeCell="A3" sqref="A3"/>
      <selection pane="topRight" activeCell="A3" sqref="A3"/>
      <selection pane="bottomLeft" activeCell="A3" sqref="A3"/>
      <selection pane="bottomRight" activeCell="A3" sqref="A3"/>
    </sheetView>
  </sheetViews>
  <sheetFormatPr defaultRowHeight="14.4"/>
  <cols>
    <col min="1" max="1" width="9.5546875" style="1" bestFit="1" customWidth="1"/>
    <col min="2" max="2" width="132.44140625" style="1" customWidth="1"/>
    <col min="3" max="3" width="18.44140625" style="1" customWidth="1"/>
  </cols>
  <sheetData>
    <row r="1" spans="1:6">
      <c r="A1" s="13" t="s">
        <v>108</v>
      </c>
      <c r="B1" s="12" t="str">
        <f>Info!C2</f>
        <v>სს " პაშა ბანკი საქართველო"</v>
      </c>
      <c r="D1" s="1"/>
      <c r="E1" s="1"/>
      <c r="F1" s="1"/>
    </row>
    <row r="2" spans="1:6" s="13" customFormat="1" ht="15.75" customHeight="1">
      <c r="A2" s="13" t="s">
        <v>109</v>
      </c>
      <c r="B2" s="326">
        <f>'1. key ratios'!B2</f>
        <v>45382</v>
      </c>
    </row>
    <row r="3" spans="1:6" s="13" customFormat="1" ht="15.75" customHeight="1"/>
    <row r="4" spans="1:6" ht="15" thickBot="1">
      <c r="A4" s="1" t="s">
        <v>257</v>
      </c>
      <c r="B4" s="23" t="s">
        <v>85</v>
      </c>
    </row>
    <row r="5" spans="1:6">
      <c r="A5" s="77" t="s">
        <v>25</v>
      </c>
      <c r="B5" s="78"/>
      <c r="C5" s="79" t="s">
        <v>26</v>
      </c>
    </row>
    <row r="6" spans="1:6">
      <c r="A6" s="80">
        <v>1</v>
      </c>
      <c r="B6" s="42" t="s">
        <v>27</v>
      </c>
      <c r="C6" s="160">
        <f>SUM(C7:C11)</f>
        <v>112534023.05</v>
      </c>
    </row>
    <row r="7" spans="1:6">
      <c r="A7" s="80">
        <v>2</v>
      </c>
      <c r="B7" s="39" t="s">
        <v>28</v>
      </c>
      <c r="C7" s="161">
        <v>136800000</v>
      </c>
    </row>
    <row r="8" spans="1:6">
      <c r="A8" s="80">
        <v>3</v>
      </c>
      <c r="B8" s="34" t="s">
        <v>29</v>
      </c>
      <c r="C8" s="161"/>
    </row>
    <row r="9" spans="1:6">
      <c r="A9" s="80">
        <v>4</v>
      </c>
      <c r="B9" s="34" t="s">
        <v>30</v>
      </c>
      <c r="C9" s="161"/>
    </row>
    <row r="10" spans="1:6">
      <c r="A10" s="80">
        <v>5</v>
      </c>
      <c r="B10" s="34" t="s">
        <v>31</v>
      </c>
      <c r="C10" s="161"/>
    </row>
    <row r="11" spans="1:6">
      <c r="A11" s="80">
        <v>6</v>
      </c>
      <c r="B11" s="40" t="s">
        <v>32</v>
      </c>
      <c r="C11" s="161">
        <v>-24265976.949999999</v>
      </c>
    </row>
    <row r="12" spans="1:6" s="2" customFormat="1">
      <c r="A12" s="80">
        <v>7</v>
      </c>
      <c r="B12" s="42" t="s">
        <v>33</v>
      </c>
      <c r="C12" s="162">
        <f>SUM(C13:C28)</f>
        <v>5338487.0599999996</v>
      </c>
    </row>
    <row r="13" spans="1:6" s="2" customFormat="1">
      <c r="A13" s="80">
        <v>8</v>
      </c>
      <c r="B13" s="41" t="s">
        <v>34</v>
      </c>
      <c r="C13" s="163"/>
    </row>
    <row r="14" spans="1:6" s="2" customFormat="1" ht="27.6">
      <c r="A14" s="80">
        <v>9</v>
      </c>
      <c r="B14" s="35" t="s">
        <v>35</v>
      </c>
      <c r="C14" s="163"/>
    </row>
    <row r="15" spans="1:6" s="2" customFormat="1">
      <c r="A15" s="80">
        <v>10</v>
      </c>
      <c r="B15" s="36" t="s">
        <v>36</v>
      </c>
      <c r="C15" s="163">
        <v>5338487.0599999996</v>
      </c>
    </row>
    <row r="16" spans="1:6" s="2" customFormat="1">
      <c r="A16" s="80">
        <v>11</v>
      </c>
      <c r="B16" s="37" t="s">
        <v>37</v>
      </c>
      <c r="C16" s="163"/>
    </row>
    <row r="17" spans="1:3" s="2" customFormat="1">
      <c r="A17" s="80">
        <v>12</v>
      </c>
      <c r="B17" s="36" t="s">
        <v>38</v>
      </c>
      <c r="C17" s="163"/>
    </row>
    <row r="18" spans="1:3" s="2" customFormat="1">
      <c r="A18" s="80">
        <v>13</v>
      </c>
      <c r="B18" s="36" t="s">
        <v>39</v>
      </c>
      <c r="C18" s="163"/>
    </row>
    <row r="19" spans="1:3" s="2" customFormat="1">
      <c r="A19" s="80">
        <v>14</v>
      </c>
      <c r="B19" s="36" t="s">
        <v>40</v>
      </c>
      <c r="C19" s="163"/>
    </row>
    <row r="20" spans="1:3" s="2" customFormat="1" ht="27.6">
      <c r="A20" s="80">
        <v>15</v>
      </c>
      <c r="B20" s="36" t="s">
        <v>41</v>
      </c>
      <c r="C20" s="163"/>
    </row>
    <row r="21" spans="1:3" s="2" customFormat="1" ht="27.6">
      <c r="A21" s="80">
        <v>16</v>
      </c>
      <c r="B21" s="35" t="s">
        <v>42</v>
      </c>
      <c r="C21" s="163"/>
    </row>
    <row r="22" spans="1:3" s="2" customFormat="1">
      <c r="A22" s="80">
        <v>17</v>
      </c>
      <c r="B22" s="81" t="s">
        <v>43</v>
      </c>
      <c r="C22" s="163"/>
    </row>
    <row r="23" spans="1:3" s="2" customFormat="1">
      <c r="A23" s="80">
        <v>18</v>
      </c>
      <c r="B23" s="566" t="s">
        <v>726</v>
      </c>
      <c r="C23" s="392"/>
    </row>
    <row r="24" spans="1:3" s="2" customFormat="1" ht="27.6">
      <c r="A24" s="80">
        <v>19</v>
      </c>
      <c r="B24" s="35" t="s">
        <v>44</v>
      </c>
      <c r="C24" s="163"/>
    </row>
    <row r="25" spans="1:3" s="2" customFormat="1" ht="27.6">
      <c r="A25" s="80">
        <v>20</v>
      </c>
      <c r="B25" s="35" t="s">
        <v>45</v>
      </c>
      <c r="C25" s="163"/>
    </row>
    <row r="26" spans="1:3" s="2" customFormat="1" ht="27.6">
      <c r="A26" s="80">
        <v>21</v>
      </c>
      <c r="B26" s="37" t="s">
        <v>46</v>
      </c>
      <c r="C26" s="163"/>
    </row>
    <row r="27" spans="1:3" s="2" customFormat="1">
      <c r="A27" s="80">
        <v>22</v>
      </c>
      <c r="B27" s="37" t="s">
        <v>47</v>
      </c>
      <c r="C27" s="163"/>
    </row>
    <row r="28" spans="1:3" s="2" customFormat="1" ht="27.6">
      <c r="A28" s="80">
        <v>23</v>
      </c>
      <c r="B28" s="37" t="s">
        <v>48</v>
      </c>
      <c r="C28" s="163"/>
    </row>
    <row r="29" spans="1:3" s="2" customFormat="1">
      <c r="A29" s="80">
        <v>24</v>
      </c>
      <c r="B29" s="43" t="s">
        <v>22</v>
      </c>
      <c r="C29" s="162">
        <f>C6-C12</f>
        <v>107195535.98999999</v>
      </c>
    </row>
    <row r="30" spans="1:3" s="2" customFormat="1">
      <c r="A30" s="82"/>
      <c r="B30" s="38"/>
      <c r="C30" s="163"/>
    </row>
    <row r="31" spans="1:3" s="2" customFormat="1">
      <c r="A31" s="82">
        <v>25</v>
      </c>
      <c r="B31" s="43" t="s">
        <v>49</v>
      </c>
      <c r="C31" s="162">
        <f>C32+C35</f>
        <v>0</v>
      </c>
    </row>
    <row r="32" spans="1:3" s="2" customFormat="1">
      <c r="A32" s="82">
        <v>26</v>
      </c>
      <c r="B32" s="34" t="s">
        <v>50</v>
      </c>
      <c r="C32" s="164">
        <f>C33+C34</f>
        <v>0</v>
      </c>
    </row>
    <row r="33" spans="1:3" s="2" customFormat="1">
      <c r="A33" s="82">
        <v>27</v>
      </c>
      <c r="B33" s="105" t="s">
        <v>51</v>
      </c>
      <c r="C33" s="163"/>
    </row>
    <row r="34" spans="1:3" s="2" customFormat="1">
      <c r="A34" s="82">
        <v>28</v>
      </c>
      <c r="B34" s="105" t="s">
        <v>52</v>
      </c>
      <c r="C34" s="163"/>
    </row>
    <row r="35" spans="1:3" s="2" customFormat="1">
      <c r="A35" s="82">
        <v>29</v>
      </c>
      <c r="B35" s="34" t="s">
        <v>53</v>
      </c>
      <c r="C35" s="163"/>
    </row>
    <row r="36" spans="1:3" s="2" customFormat="1">
      <c r="A36" s="82">
        <v>30</v>
      </c>
      <c r="B36" s="43" t="s">
        <v>54</v>
      </c>
      <c r="C36" s="162">
        <f>SUM(C37:C41)</f>
        <v>0</v>
      </c>
    </row>
    <row r="37" spans="1:3" s="2" customFormat="1">
      <c r="A37" s="82">
        <v>31</v>
      </c>
      <c r="B37" s="35" t="s">
        <v>55</v>
      </c>
      <c r="C37" s="163"/>
    </row>
    <row r="38" spans="1:3" s="2" customFormat="1">
      <c r="A38" s="82">
        <v>32</v>
      </c>
      <c r="B38" s="36" t="s">
        <v>56</v>
      </c>
      <c r="C38" s="163"/>
    </row>
    <row r="39" spans="1:3" s="2" customFormat="1" ht="27.6">
      <c r="A39" s="82">
        <v>33</v>
      </c>
      <c r="B39" s="35" t="s">
        <v>57</v>
      </c>
      <c r="C39" s="163"/>
    </row>
    <row r="40" spans="1:3" s="2" customFormat="1" ht="27.6">
      <c r="A40" s="82">
        <v>34</v>
      </c>
      <c r="B40" s="35" t="s">
        <v>45</v>
      </c>
      <c r="C40" s="163"/>
    </row>
    <row r="41" spans="1:3" s="2" customFormat="1" ht="27.6">
      <c r="A41" s="82">
        <v>35</v>
      </c>
      <c r="B41" s="37" t="s">
        <v>58</v>
      </c>
      <c r="C41" s="163"/>
    </row>
    <row r="42" spans="1:3" s="2" customFormat="1">
      <c r="A42" s="82">
        <v>36</v>
      </c>
      <c r="B42" s="43" t="s">
        <v>23</v>
      </c>
      <c r="C42" s="162">
        <f>C31-C36</f>
        <v>0</v>
      </c>
    </row>
    <row r="43" spans="1:3" s="2" customFormat="1">
      <c r="A43" s="82"/>
      <c r="B43" s="38"/>
      <c r="C43" s="163"/>
    </row>
    <row r="44" spans="1:3" s="2" customFormat="1">
      <c r="A44" s="82">
        <v>37</v>
      </c>
      <c r="B44" s="44" t="s">
        <v>59</v>
      </c>
      <c r="C44" s="162">
        <f>SUM(C45:C47)</f>
        <v>16170323.932092004</v>
      </c>
    </row>
    <row r="45" spans="1:3" s="2" customFormat="1">
      <c r="A45" s="82">
        <v>38</v>
      </c>
      <c r="B45" s="34" t="s">
        <v>60</v>
      </c>
      <c r="C45" s="163">
        <v>16170323.932092004</v>
      </c>
    </row>
    <row r="46" spans="1:3" s="2" customFormat="1">
      <c r="A46" s="82">
        <v>39</v>
      </c>
      <c r="B46" s="34" t="s">
        <v>61</v>
      </c>
      <c r="C46" s="163"/>
    </row>
    <row r="47" spans="1:3" s="2" customFormat="1">
      <c r="A47" s="82">
        <v>40</v>
      </c>
      <c r="B47" s="567" t="s">
        <v>725</v>
      </c>
      <c r="C47" s="163"/>
    </row>
    <row r="48" spans="1:3" s="2" customFormat="1">
      <c r="A48" s="82">
        <v>41</v>
      </c>
      <c r="B48" s="44" t="s">
        <v>62</v>
      </c>
      <c r="C48" s="162">
        <f>SUM(C49:C52)</f>
        <v>0</v>
      </c>
    </row>
    <row r="49" spans="1:3" s="2" customFormat="1">
      <c r="A49" s="82">
        <v>42</v>
      </c>
      <c r="B49" s="35" t="s">
        <v>63</v>
      </c>
      <c r="C49" s="163"/>
    </row>
    <row r="50" spans="1:3" s="2" customFormat="1">
      <c r="A50" s="82">
        <v>43</v>
      </c>
      <c r="B50" s="36" t="s">
        <v>64</v>
      </c>
      <c r="C50" s="163"/>
    </row>
    <row r="51" spans="1:3" s="2" customFormat="1" ht="27.6">
      <c r="A51" s="82">
        <v>44</v>
      </c>
      <c r="B51" s="35" t="s">
        <v>65</v>
      </c>
      <c r="C51" s="163"/>
    </row>
    <row r="52" spans="1:3" s="2" customFormat="1" ht="27.6">
      <c r="A52" s="82">
        <v>45</v>
      </c>
      <c r="B52" s="35" t="s">
        <v>45</v>
      </c>
      <c r="C52" s="163"/>
    </row>
    <row r="53" spans="1:3" s="2" customFormat="1" ht="15" thickBot="1">
      <c r="A53" s="82">
        <v>46</v>
      </c>
      <c r="B53" s="83" t="s">
        <v>24</v>
      </c>
      <c r="C53" s="165">
        <f>C44-C48</f>
        <v>16170323.932092004</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pageSetup scale="56" orientation="portrait" r:id="rId1"/>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zoomScaleNormal="100" workbookViewId="0">
      <selection activeCell="A3" sqref="A3"/>
    </sheetView>
  </sheetViews>
  <sheetFormatPr defaultColWidth="9.21875" defaultRowHeight="13.8"/>
  <cols>
    <col min="1" max="1" width="10.77734375" style="1" bestFit="1" customWidth="1"/>
    <col min="2" max="2" width="59" style="1" customWidth="1"/>
    <col min="3" max="3" width="16.77734375" style="1" bestFit="1" customWidth="1"/>
    <col min="4" max="4" width="22.21875" style="1" customWidth="1"/>
    <col min="5" max="16384" width="9.21875" style="1"/>
  </cols>
  <sheetData>
    <row r="1" spans="1:4">
      <c r="A1" s="13" t="s">
        <v>108</v>
      </c>
      <c r="B1" s="12" t="str">
        <f>Info!C2</f>
        <v>სს " პაშა ბანკი საქართველო"</v>
      </c>
    </row>
    <row r="2" spans="1:4" s="13" customFormat="1" ht="15.75" customHeight="1">
      <c r="A2" s="13" t="s">
        <v>109</v>
      </c>
      <c r="B2" s="326">
        <f>'1. key ratios'!B2</f>
        <v>45382</v>
      </c>
    </row>
    <row r="3" spans="1:4" s="13" customFormat="1" ht="15.75" customHeight="1"/>
    <row r="4" spans="1:4" ht="14.4" thickBot="1">
      <c r="A4" s="1" t="s">
        <v>357</v>
      </c>
      <c r="B4" s="239" t="s">
        <v>358</v>
      </c>
    </row>
    <row r="5" spans="1:4" s="30" customFormat="1">
      <c r="A5" s="754" t="s">
        <v>359</v>
      </c>
      <c r="B5" s="755"/>
      <c r="C5" s="229" t="s">
        <v>360</v>
      </c>
      <c r="D5" s="230" t="s">
        <v>361</v>
      </c>
    </row>
    <row r="6" spans="1:4" s="240" customFormat="1">
      <c r="A6" s="231">
        <v>1</v>
      </c>
      <c r="B6" s="232" t="s">
        <v>362</v>
      </c>
      <c r="C6" s="232"/>
      <c r="D6" s="233"/>
    </row>
    <row r="7" spans="1:4" s="240" customFormat="1">
      <c r="A7" s="234" t="s">
        <v>363</v>
      </c>
      <c r="B7" s="235" t="s">
        <v>364</v>
      </c>
      <c r="C7" s="284">
        <v>4.4999999999999998E-2</v>
      </c>
      <c r="D7" s="599">
        <f>C7*'5. RWA'!$C$13</f>
        <v>25119316.376998547</v>
      </c>
    </row>
    <row r="8" spans="1:4" s="240" customFormat="1">
      <c r="A8" s="234" t="s">
        <v>365</v>
      </c>
      <c r="B8" s="235" t="s">
        <v>366</v>
      </c>
      <c r="C8" s="285">
        <v>0.06</v>
      </c>
      <c r="D8" s="599">
        <f>C8*'5. RWA'!$C$13</f>
        <v>33492421.835998062</v>
      </c>
    </row>
    <row r="9" spans="1:4" s="240" customFormat="1">
      <c r="A9" s="234" t="s">
        <v>367</v>
      </c>
      <c r="B9" s="235" t="s">
        <v>368</v>
      </c>
      <c r="C9" s="285">
        <v>0.08</v>
      </c>
      <c r="D9" s="599">
        <f>C9*'5. RWA'!$C$13</f>
        <v>44656562.447997421</v>
      </c>
    </row>
    <row r="10" spans="1:4" s="240" customFormat="1">
      <c r="A10" s="231" t="s">
        <v>369</v>
      </c>
      <c r="B10" s="232" t="s">
        <v>370</v>
      </c>
      <c r="C10" s="286"/>
      <c r="D10" s="282"/>
    </row>
    <row r="11" spans="1:4" s="241" customFormat="1">
      <c r="A11" s="236" t="s">
        <v>371</v>
      </c>
      <c r="B11" s="237" t="s">
        <v>433</v>
      </c>
      <c r="C11" s="287">
        <v>2.5000000000000001E-2</v>
      </c>
      <c r="D11" s="598">
        <f>C11*'5. RWA'!$C$13</f>
        <v>13955175.764999194</v>
      </c>
    </row>
    <row r="12" spans="1:4" s="241" customFormat="1">
      <c r="A12" s="236" t="s">
        <v>372</v>
      </c>
      <c r="B12" s="237" t="s">
        <v>373</v>
      </c>
      <c r="C12" s="287">
        <v>2.5000000000000001E-3</v>
      </c>
      <c r="D12" s="598">
        <f>C12*'5. RWA'!$C$13</f>
        <v>1395517.5764999194</v>
      </c>
    </row>
    <row r="13" spans="1:4" s="241" customFormat="1">
      <c r="A13" s="236" t="s">
        <v>374</v>
      </c>
      <c r="B13" s="237" t="s">
        <v>375</v>
      </c>
      <c r="C13" s="287"/>
      <c r="D13" s="598">
        <f>C13*'5. RWA'!$C$13</f>
        <v>0</v>
      </c>
    </row>
    <row r="14" spans="1:4" s="240" customFormat="1">
      <c r="A14" s="231" t="s">
        <v>376</v>
      </c>
      <c r="B14" s="232" t="s">
        <v>431</v>
      </c>
      <c r="C14" s="288"/>
      <c r="D14" s="282"/>
    </row>
    <row r="15" spans="1:4" s="240" customFormat="1">
      <c r="A15" s="250" t="s">
        <v>379</v>
      </c>
      <c r="B15" s="237" t="s">
        <v>432</v>
      </c>
      <c r="C15" s="287">
        <v>6.7459764542999498E-2</v>
      </c>
      <c r="D15" s="598">
        <f>C15*'5. RWA'!$C$13</f>
        <v>37656514.850520737</v>
      </c>
    </row>
    <row r="16" spans="1:4" s="240" customFormat="1">
      <c r="A16" s="250" t="s">
        <v>380</v>
      </c>
      <c r="B16" s="237" t="s">
        <v>382</v>
      </c>
      <c r="C16" s="287">
        <v>8.3398113562848125E-2</v>
      </c>
      <c r="D16" s="598">
        <f>C16*'5. RWA'!$C$13</f>
        <v>46553413.329556346</v>
      </c>
    </row>
    <row r="17" spans="1:4" s="240" customFormat="1">
      <c r="A17" s="250" t="s">
        <v>381</v>
      </c>
      <c r="B17" s="237" t="s">
        <v>429</v>
      </c>
      <c r="C17" s="287">
        <v>0.10436962543106999</v>
      </c>
      <c r="D17" s="598">
        <f>C17*'5. RWA'!$C$13</f>
        <v>58259858.696708456</v>
      </c>
    </row>
    <row r="18" spans="1:4" s="30" customFormat="1">
      <c r="A18" s="756" t="s">
        <v>430</v>
      </c>
      <c r="B18" s="757"/>
      <c r="C18" s="289" t="s">
        <v>360</v>
      </c>
      <c r="D18" s="283" t="s">
        <v>361</v>
      </c>
    </row>
    <row r="19" spans="1:4" s="240" customFormat="1">
      <c r="A19" s="238">
        <v>4</v>
      </c>
      <c r="B19" s="237" t="s">
        <v>22</v>
      </c>
      <c r="C19" s="287">
        <f>C7+C11+C12+C13+C15</f>
        <v>0.13995976454299952</v>
      </c>
      <c r="D19" s="599">
        <f>C19*'5. RWA'!$C$13</f>
        <v>78126524.569018409</v>
      </c>
    </row>
    <row r="20" spans="1:4" s="240" customFormat="1">
      <c r="A20" s="238">
        <v>5</v>
      </c>
      <c r="B20" s="237" t="s">
        <v>86</v>
      </c>
      <c r="C20" s="287">
        <f>C8+C11+C12+C13+C16</f>
        <v>0.17089811356284812</v>
      </c>
      <c r="D20" s="599">
        <f>C20*'5. RWA'!$C$13</f>
        <v>95396528.507053524</v>
      </c>
    </row>
    <row r="21" spans="1:4" s="240" customFormat="1" ht="14.4" thickBot="1">
      <c r="A21" s="242" t="s">
        <v>377</v>
      </c>
      <c r="B21" s="243" t="s">
        <v>85</v>
      </c>
      <c r="C21" s="290">
        <f>C9+C11+C12+C13+C17</f>
        <v>0.21186962543107002</v>
      </c>
      <c r="D21" s="597">
        <f>C21*'5. RWA'!$C$13</f>
        <v>118267114.486205</v>
      </c>
    </row>
    <row r="23" spans="1:4" ht="69">
      <c r="B23" s="17"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1"/>
  <sheetViews>
    <sheetView zoomScale="80" zoomScaleNormal="8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defaultRowHeight="14.4"/>
  <cols>
    <col min="1" max="1" width="10.77734375" style="31" customWidth="1"/>
    <col min="2" max="2" width="91.77734375" style="31" customWidth="1"/>
    <col min="3" max="3" width="53.21875" style="31" customWidth="1"/>
    <col min="4" max="4" width="32.21875" style="31" customWidth="1"/>
    <col min="5" max="5" width="9.44140625" customWidth="1"/>
  </cols>
  <sheetData>
    <row r="1" spans="1:6">
      <c r="A1" s="13" t="s">
        <v>108</v>
      </c>
      <c r="B1" s="14" t="str">
        <f>Info!C2</f>
        <v>სს " პაშა ბანკი საქართველო"</v>
      </c>
      <c r="E1" s="1"/>
      <c r="F1" s="1"/>
    </row>
    <row r="2" spans="1:6" s="13" customFormat="1" ht="15.75" customHeight="1">
      <c r="A2" s="13" t="s">
        <v>109</v>
      </c>
      <c r="B2" s="326">
        <f>'1. key ratios'!B2</f>
        <v>45382</v>
      </c>
    </row>
    <row r="3" spans="1:6" s="13" customFormat="1" ht="15.75" customHeight="1">
      <c r="A3" s="20"/>
    </row>
    <row r="4" spans="1:6" s="13" customFormat="1" ht="15.75" customHeight="1" thickBot="1">
      <c r="A4" s="13" t="s">
        <v>258</v>
      </c>
      <c r="B4" s="127" t="s">
        <v>172</v>
      </c>
      <c r="D4" s="128" t="s">
        <v>87</v>
      </c>
    </row>
    <row r="5" spans="1:6" ht="27.6">
      <c r="A5" s="640" t="s">
        <v>25</v>
      </c>
      <c r="B5" s="641" t="s">
        <v>144</v>
      </c>
      <c r="C5" s="575" t="s">
        <v>858</v>
      </c>
      <c r="D5" s="643" t="s">
        <v>173</v>
      </c>
    </row>
    <row r="6" spans="1:6">
      <c r="A6" s="678">
        <v>1</v>
      </c>
      <c r="B6" s="616" t="s">
        <v>843</v>
      </c>
      <c r="C6" s="593">
        <f>SUM(C7:C9)</f>
        <v>137037459.81369999</v>
      </c>
      <c r="D6" s="679"/>
      <c r="E6" s="4"/>
    </row>
    <row r="7" spans="1:6">
      <c r="A7" s="678">
        <v>1.1000000000000001</v>
      </c>
      <c r="B7" s="615" t="s">
        <v>96</v>
      </c>
      <c r="C7" s="592">
        <v>2171931.9144000001</v>
      </c>
      <c r="D7" s="637"/>
      <c r="E7" s="4"/>
    </row>
    <row r="8" spans="1:6">
      <c r="A8" s="678">
        <v>1.2</v>
      </c>
      <c r="B8" s="615" t="s">
        <v>97</v>
      </c>
      <c r="C8" s="592">
        <v>32706760.6833</v>
      </c>
      <c r="D8" s="637"/>
      <c r="E8" s="4"/>
    </row>
    <row r="9" spans="1:6">
      <c r="A9" s="678">
        <v>1.3</v>
      </c>
      <c r="B9" s="615" t="s">
        <v>98</v>
      </c>
      <c r="C9" s="592">
        <v>102158767.21599999</v>
      </c>
      <c r="D9" s="637"/>
      <c r="E9" s="4"/>
    </row>
    <row r="10" spans="1:6">
      <c r="A10" s="678">
        <v>2</v>
      </c>
      <c r="B10" s="635" t="s">
        <v>730</v>
      </c>
      <c r="C10" s="591">
        <f>C11</f>
        <v>969679.58</v>
      </c>
      <c r="D10" s="637"/>
      <c r="E10" s="4"/>
    </row>
    <row r="11" spans="1:6">
      <c r="A11" s="678">
        <v>2.1</v>
      </c>
      <c r="B11" s="614" t="s">
        <v>731</v>
      </c>
      <c r="C11" s="590">
        <v>969679.58</v>
      </c>
      <c r="D11" s="638"/>
      <c r="E11" s="5"/>
    </row>
    <row r="12" spans="1:6" ht="23.55" customHeight="1">
      <c r="A12" s="678">
        <v>3</v>
      </c>
      <c r="B12" s="659" t="s">
        <v>732</v>
      </c>
      <c r="C12" s="589"/>
      <c r="D12" s="638"/>
      <c r="E12" s="5"/>
    </row>
    <row r="13" spans="1:6" ht="22.95" customHeight="1">
      <c r="A13" s="678">
        <v>4</v>
      </c>
      <c r="B13" s="660" t="s">
        <v>733</v>
      </c>
      <c r="C13" s="589"/>
      <c r="D13" s="638"/>
      <c r="E13" s="5"/>
    </row>
    <row r="14" spans="1:6">
      <c r="A14" s="678">
        <v>5</v>
      </c>
      <c r="B14" s="660" t="s">
        <v>734</v>
      </c>
      <c r="C14" s="589">
        <f>SUM(C15:C17)</f>
        <v>0</v>
      </c>
      <c r="D14" s="638"/>
      <c r="E14" s="5"/>
    </row>
    <row r="15" spans="1:6">
      <c r="A15" s="678">
        <v>5.0999999999999996</v>
      </c>
      <c r="B15" s="661" t="s">
        <v>735</v>
      </c>
      <c r="C15" s="592"/>
      <c r="D15" s="638"/>
      <c r="E15" s="4"/>
    </row>
    <row r="16" spans="1:6">
      <c r="A16" s="678">
        <v>5.2</v>
      </c>
      <c r="B16" s="661" t="s">
        <v>569</v>
      </c>
      <c r="C16" s="592"/>
      <c r="D16" s="637"/>
      <c r="E16" s="4"/>
    </row>
    <row r="17" spans="1:5">
      <c r="A17" s="678">
        <v>5.3</v>
      </c>
      <c r="B17" s="661" t="s">
        <v>736</v>
      </c>
      <c r="C17" s="592"/>
      <c r="D17" s="637"/>
      <c r="E17" s="4"/>
    </row>
    <row r="18" spans="1:5">
      <c r="A18" s="678">
        <v>6</v>
      </c>
      <c r="B18" s="659" t="s">
        <v>737</v>
      </c>
      <c r="C18" s="591">
        <f>SUM(C19:C20)</f>
        <v>359155419.35359997</v>
      </c>
      <c r="D18" s="637"/>
      <c r="E18" s="4"/>
    </row>
    <row r="19" spans="1:5">
      <c r="A19" s="678">
        <v>6.1</v>
      </c>
      <c r="B19" s="661" t="s">
        <v>569</v>
      </c>
      <c r="C19" s="590">
        <v>61791397.714699998</v>
      </c>
      <c r="D19" s="637"/>
      <c r="E19" s="4"/>
    </row>
    <row r="20" spans="1:5">
      <c r="A20" s="678">
        <v>6.2</v>
      </c>
      <c r="B20" s="661" t="s">
        <v>736</v>
      </c>
      <c r="C20" s="590">
        <v>297364021.63889998</v>
      </c>
      <c r="D20" s="637"/>
      <c r="E20" s="4"/>
    </row>
    <row r="21" spans="1:5">
      <c r="A21" s="678">
        <v>7</v>
      </c>
      <c r="B21" s="662" t="s">
        <v>738</v>
      </c>
      <c r="C21" s="589"/>
      <c r="D21" s="637"/>
      <c r="E21" s="4"/>
    </row>
    <row r="22" spans="1:5">
      <c r="A22" s="678">
        <v>8</v>
      </c>
      <c r="B22" s="662" t="s">
        <v>739</v>
      </c>
      <c r="C22" s="591"/>
      <c r="D22" s="637"/>
      <c r="E22" s="4"/>
    </row>
    <row r="23" spans="1:5">
      <c r="A23" s="678">
        <v>9</v>
      </c>
      <c r="B23" s="660" t="s">
        <v>740</v>
      </c>
      <c r="C23" s="591">
        <f>SUM(C24:C25)</f>
        <v>3556501.98</v>
      </c>
      <c r="D23" s="655"/>
      <c r="E23" s="4"/>
    </row>
    <row r="24" spans="1:5">
      <c r="A24" s="678">
        <v>9.1</v>
      </c>
      <c r="B24" s="663" t="s">
        <v>741</v>
      </c>
      <c r="C24" s="588">
        <v>3556501.98</v>
      </c>
      <c r="D24" s="639"/>
      <c r="E24" s="4"/>
    </row>
    <row r="25" spans="1:5">
      <c r="A25" s="678">
        <v>9.1999999999999993</v>
      </c>
      <c r="B25" s="663" t="s">
        <v>742</v>
      </c>
      <c r="C25" s="587"/>
      <c r="D25" s="654"/>
      <c r="E25" s="3"/>
    </row>
    <row r="26" spans="1:5">
      <c r="A26" s="678">
        <v>10</v>
      </c>
      <c r="B26" s="660" t="s">
        <v>36</v>
      </c>
      <c r="C26" s="586">
        <f>SUM(C27:C28)</f>
        <v>5338487.0599999996</v>
      </c>
      <c r="D26" s="656" t="s">
        <v>935</v>
      </c>
      <c r="E26" s="4"/>
    </row>
    <row r="27" spans="1:5">
      <c r="A27" s="678">
        <v>10.1</v>
      </c>
      <c r="B27" s="663" t="s">
        <v>743</v>
      </c>
      <c r="C27" s="592"/>
      <c r="D27" s="637"/>
      <c r="E27" s="4"/>
    </row>
    <row r="28" spans="1:5">
      <c r="A28" s="678">
        <v>10.199999999999999</v>
      </c>
      <c r="B28" s="663" t="s">
        <v>744</v>
      </c>
      <c r="C28" s="592">
        <v>5338487.0599999996</v>
      </c>
      <c r="D28" s="637"/>
      <c r="E28" s="4"/>
    </row>
    <row r="29" spans="1:5">
      <c r="A29" s="678">
        <v>11</v>
      </c>
      <c r="B29" s="660" t="s">
        <v>745</v>
      </c>
      <c r="C29" s="591">
        <f>SUM(C30:C31)</f>
        <v>0</v>
      </c>
      <c r="D29" s="637"/>
      <c r="E29" s="4"/>
    </row>
    <row r="30" spans="1:5">
      <c r="A30" s="678">
        <v>11.1</v>
      </c>
      <c r="B30" s="663" t="s">
        <v>746</v>
      </c>
      <c r="C30" s="592"/>
      <c r="D30" s="637"/>
      <c r="E30" s="4"/>
    </row>
    <row r="31" spans="1:5">
      <c r="A31" s="678">
        <v>11.2</v>
      </c>
      <c r="B31" s="663" t="s">
        <v>747</v>
      </c>
      <c r="C31" s="592"/>
      <c r="D31" s="637"/>
      <c r="E31" s="4"/>
    </row>
    <row r="32" spans="1:5">
      <c r="A32" s="678">
        <v>13</v>
      </c>
      <c r="B32" s="660" t="s">
        <v>99</v>
      </c>
      <c r="C32" s="591">
        <v>19664270.582199998</v>
      </c>
      <c r="D32" s="637"/>
      <c r="E32" s="4"/>
    </row>
    <row r="33" spans="1:5">
      <c r="A33" s="678">
        <v>13.1</v>
      </c>
      <c r="B33" s="613" t="s">
        <v>748</v>
      </c>
      <c r="C33" s="592">
        <v>15709917.699999999</v>
      </c>
      <c r="D33" s="637"/>
      <c r="E33" s="4"/>
    </row>
    <row r="34" spans="1:5">
      <c r="A34" s="678">
        <v>13.2</v>
      </c>
      <c r="B34" s="613" t="s">
        <v>749</v>
      </c>
      <c r="C34" s="588"/>
      <c r="D34" s="639"/>
      <c r="E34" s="4"/>
    </row>
    <row r="35" spans="1:5">
      <c r="A35" s="678">
        <v>14</v>
      </c>
      <c r="B35" s="612" t="s">
        <v>750</v>
      </c>
      <c r="C35" s="585">
        <f>SUM(C6,C10,C12,C13,C14,C18,C21,C22,C23,C26,C29,C32)</f>
        <v>525721818.36949998</v>
      </c>
      <c r="D35" s="637"/>
      <c r="E35" s="4"/>
    </row>
    <row r="36" spans="1:5">
      <c r="A36" s="678"/>
      <c r="B36" s="611" t="s">
        <v>104</v>
      </c>
      <c r="C36" s="584"/>
      <c r="D36" s="637"/>
      <c r="E36" s="4"/>
    </row>
    <row r="37" spans="1:5">
      <c r="A37" s="678">
        <v>15</v>
      </c>
      <c r="B37" s="662" t="s">
        <v>751</v>
      </c>
      <c r="C37" s="587">
        <f>C38</f>
        <v>454492.42</v>
      </c>
      <c r="D37" s="654"/>
      <c r="E37" s="3"/>
    </row>
    <row r="38" spans="1:5">
      <c r="A38" s="678">
        <v>15.1</v>
      </c>
      <c r="B38" s="614" t="s">
        <v>731</v>
      </c>
      <c r="C38" s="592">
        <v>454492.42</v>
      </c>
      <c r="D38" s="637"/>
      <c r="E38" s="4"/>
    </row>
    <row r="39" spans="1:5" ht="20.399999999999999">
      <c r="A39" s="678">
        <v>16</v>
      </c>
      <c r="B39" s="662" t="s">
        <v>752</v>
      </c>
      <c r="C39" s="591"/>
      <c r="D39" s="637"/>
      <c r="E39" s="4"/>
    </row>
    <row r="40" spans="1:5">
      <c r="A40" s="678">
        <v>17</v>
      </c>
      <c r="B40" s="662" t="s">
        <v>753</v>
      </c>
      <c r="C40" s="591">
        <f>SUM(C41:C44)</f>
        <v>365362721.34150004</v>
      </c>
      <c r="D40" s="637"/>
      <c r="E40" s="4"/>
    </row>
    <row r="41" spans="1:5">
      <c r="A41" s="678">
        <v>17.100000000000001</v>
      </c>
      <c r="B41" s="664" t="s">
        <v>754</v>
      </c>
      <c r="C41" s="592">
        <v>343610403.09140003</v>
      </c>
      <c r="D41" s="637"/>
      <c r="E41" s="4"/>
    </row>
    <row r="42" spans="1:5">
      <c r="A42" s="596">
        <v>17.2</v>
      </c>
      <c r="B42" s="615" t="s">
        <v>100</v>
      </c>
      <c r="C42" s="588">
        <v>21752318.250100002</v>
      </c>
      <c r="D42" s="639"/>
      <c r="E42" s="4"/>
    </row>
    <row r="43" spans="1:5">
      <c r="A43" s="678">
        <v>17.3</v>
      </c>
      <c r="B43" s="664" t="s">
        <v>755</v>
      </c>
      <c r="C43" s="594"/>
      <c r="D43" s="680"/>
      <c r="E43" s="4"/>
    </row>
    <row r="44" spans="1:5">
      <c r="A44" s="678">
        <v>17.399999999999999</v>
      </c>
      <c r="B44" s="664" t="s">
        <v>756</v>
      </c>
      <c r="C44" s="594">
        <v>0</v>
      </c>
      <c r="D44" s="680"/>
      <c r="E44" s="4"/>
    </row>
    <row r="45" spans="1:5">
      <c r="A45" s="678">
        <v>18</v>
      </c>
      <c r="B45" s="660" t="s">
        <v>757</v>
      </c>
      <c r="C45" s="595">
        <v>443208.103</v>
      </c>
      <c r="D45" s="680"/>
      <c r="E45" s="3"/>
    </row>
    <row r="46" spans="1:5">
      <c r="A46" s="678">
        <v>19</v>
      </c>
      <c r="B46" s="660" t="s">
        <v>758</v>
      </c>
      <c r="C46" s="595">
        <f>SUM(C47:C48)</f>
        <v>0</v>
      </c>
      <c r="D46" s="681"/>
    </row>
    <row r="47" spans="1:5">
      <c r="A47" s="678">
        <v>19.100000000000001</v>
      </c>
      <c r="B47" s="665" t="s">
        <v>759</v>
      </c>
      <c r="C47" s="594"/>
      <c r="D47" s="681"/>
    </row>
    <row r="48" spans="1:5">
      <c r="A48" s="678">
        <v>19.2</v>
      </c>
      <c r="B48" s="665" t="s">
        <v>760</v>
      </c>
      <c r="C48" s="594"/>
      <c r="D48" s="681"/>
    </row>
    <row r="49" spans="1:4">
      <c r="A49" s="678">
        <v>20</v>
      </c>
      <c r="B49" s="612" t="s">
        <v>101</v>
      </c>
      <c r="C49" s="595">
        <v>32173285.774300002</v>
      </c>
      <c r="D49" s="656" t="s">
        <v>984</v>
      </c>
    </row>
    <row r="50" spans="1:4">
      <c r="A50" s="678">
        <v>21</v>
      </c>
      <c r="B50" s="635" t="s">
        <v>89</v>
      </c>
      <c r="C50" s="595">
        <v>13599176.868999999</v>
      </c>
      <c r="D50" s="681"/>
    </row>
    <row r="51" spans="1:4">
      <c r="A51" s="678">
        <v>21.1</v>
      </c>
      <c r="B51" s="615" t="s">
        <v>761</v>
      </c>
      <c r="C51" s="594"/>
      <c r="D51" s="681"/>
    </row>
    <row r="52" spans="1:4">
      <c r="A52" s="678">
        <v>22</v>
      </c>
      <c r="B52" s="612" t="s">
        <v>762</v>
      </c>
      <c r="C52" s="595">
        <f>SUM(C37,C39,C40,C45,C46,C49,C50)</f>
        <v>412032884.50780004</v>
      </c>
      <c r="D52" s="681"/>
    </row>
    <row r="53" spans="1:4">
      <c r="A53" s="678"/>
      <c r="B53" s="611" t="s">
        <v>763</v>
      </c>
      <c r="C53" s="594"/>
      <c r="D53" s="681"/>
    </row>
    <row r="54" spans="1:4">
      <c r="A54" s="678">
        <v>23</v>
      </c>
      <c r="B54" s="612" t="s">
        <v>105</v>
      </c>
      <c r="C54" s="594">
        <v>136800000</v>
      </c>
      <c r="D54" s="656" t="s">
        <v>985</v>
      </c>
    </row>
    <row r="55" spans="1:4">
      <c r="A55" s="678">
        <v>24</v>
      </c>
      <c r="B55" s="612" t="s">
        <v>764</v>
      </c>
      <c r="C55" s="595"/>
      <c r="D55" s="681"/>
    </row>
    <row r="56" spans="1:4">
      <c r="A56" s="678">
        <v>25</v>
      </c>
      <c r="B56" s="612" t="s">
        <v>102</v>
      </c>
      <c r="C56" s="595"/>
      <c r="D56" s="681"/>
    </row>
    <row r="57" spans="1:4">
      <c r="A57" s="678">
        <v>26</v>
      </c>
      <c r="B57" s="660" t="s">
        <v>765</v>
      </c>
      <c r="C57" s="595"/>
      <c r="D57" s="681"/>
    </row>
    <row r="58" spans="1:4">
      <c r="A58" s="678">
        <v>27</v>
      </c>
      <c r="B58" s="660" t="s">
        <v>766</v>
      </c>
      <c r="C58" s="595">
        <f>SUM(C59:C60)</f>
        <v>1154910.5</v>
      </c>
      <c r="D58" s="681"/>
    </row>
    <row r="59" spans="1:4">
      <c r="A59" s="678">
        <v>27.1</v>
      </c>
      <c r="B59" s="665" t="s">
        <v>767</v>
      </c>
      <c r="C59" s="594">
        <v>1154910.5</v>
      </c>
      <c r="D59" s="681"/>
    </row>
    <row r="60" spans="1:4">
      <c r="A60" s="678">
        <v>27.2</v>
      </c>
      <c r="B60" s="664" t="s">
        <v>768</v>
      </c>
      <c r="C60" s="594"/>
      <c r="D60" s="681"/>
    </row>
    <row r="61" spans="1:4">
      <c r="A61" s="678">
        <v>28</v>
      </c>
      <c r="B61" s="635" t="s">
        <v>769</v>
      </c>
      <c r="C61" s="595"/>
      <c r="D61" s="681"/>
    </row>
    <row r="62" spans="1:4">
      <c r="A62" s="678">
        <v>29</v>
      </c>
      <c r="B62" s="660" t="s">
        <v>770</v>
      </c>
      <c r="C62" s="595">
        <f>SUM(C63:C65)</f>
        <v>0</v>
      </c>
      <c r="D62" s="681"/>
    </row>
    <row r="63" spans="1:4">
      <c r="A63" s="678">
        <v>29.1</v>
      </c>
      <c r="B63" s="661" t="s">
        <v>771</v>
      </c>
      <c r="C63" s="594"/>
      <c r="D63" s="681"/>
    </row>
    <row r="64" spans="1:4" ht="24" customHeight="1">
      <c r="A64" s="678">
        <v>29.2</v>
      </c>
      <c r="B64" s="665" t="s">
        <v>772</v>
      </c>
      <c r="C64" s="594"/>
      <c r="D64" s="681"/>
    </row>
    <row r="65" spans="1:4" ht="22.05" customHeight="1">
      <c r="A65" s="678">
        <v>29.3</v>
      </c>
      <c r="B65" s="663" t="s">
        <v>773</v>
      </c>
      <c r="C65" s="594"/>
      <c r="D65" s="681"/>
    </row>
    <row r="66" spans="1:4">
      <c r="A66" s="678">
        <v>30</v>
      </c>
      <c r="B66" s="660" t="s">
        <v>103</v>
      </c>
      <c r="C66" s="594">
        <v>-24265976.949999999</v>
      </c>
      <c r="D66" s="656" t="s">
        <v>986</v>
      </c>
    </row>
    <row r="67" spans="1:4">
      <c r="A67" s="678">
        <v>31</v>
      </c>
      <c r="B67" s="666" t="s">
        <v>774</v>
      </c>
      <c r="C67" s="594">
        <f>SUM(C54,C55,C56,C57,C58,C61,C62,C66)</f>
        <v>113688933.55</v>
      </c>
      <c r="D67" s="681"/>
    </row>
    <row r="68" spans="1:4" ht="15" thickBot="1">
      <c r="A68" s="682">
        <v>32</v>
      </c>
      <c r="B68" s="683" t="s">
        <v>775</v>
      </c>
      <c r="C68" s="583">
        <f>SUM(C52,C67)</f>
        <v>525721818.05780005</v>
      </c>
      <c r="D68" s="684"/>
    </row>
    <row r="71" spans="1:4">
      <c r="C71" s="181"/>
    </row>
  </sheetData>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Normal="100" workbookViewId="0">
      <pane xSplit="2" ySplit="7" topLeftCell="D8" activePane="bottomRight" state="frozen"/>
      <selection activeCell="A3" sqref="A3"/>
      <selection pane="topRight" activeCell="A3" sqref="A3"/>
      <selection pane="bottomLeft" activeCell="A3" sqref="A3"/>
      <selection pane="bottomRight" activeCell="A3" sqref="A3"/>
    </sheetView>
  </sheetViews>
  <sheetFormatPr defaultColWidth="9.21875" defaultRowHeight="13.8"/>
  <cols>
    <col min="1" max="1" width="10.5546875" style="1" bestFit="1" customWidth="1"/>
    <col min="2" max="2" width="97" style="1" bestFit="1" customWidth="1"/>
    <col min="3" max="18" width="13.77734375" style="1" customWidth="1"/>
    <col min="19" max="19" width="31.5546875" style="1" bestFit="1" customWidth="1"/>
    <col min="20" max="16384" width="9.21875" style="8"/>
  </cols>
  <sheetData>
    <row r="1" spans="1:19">
      <c r="A1" s="1" t="s">
        <v>108</v>
      </c>
      <c r="B1" s="1" t="str">
        <f>Info!C2</f>
        <v>სს " პაშა ბანკი საქართველო"</v>
      </c>
    </row>
    <row r="2" spans="1:19">
      <c r="A2" s="1" t="s">
        <v>109</v>
      </c>
      <c r="B2" s="326">
        <f>'1. key ratios'!B2</f>
        <v>45382</v>
      </c>
    </row>
    <row r="4" spans="1:19" ht="28.2" thickBot="1">
      <c r="A4" s="30" t="s">
        <v>259</v>
      </c>
      <c r="B4" s="189" t="s">
        <v>294</v>
      </c>
    </row>
    <row r="5" spans="1:19">
      <c r="A5" s="74"/>
      <c r="B5" s="76"/>
      <c r="C5" s="68" t="s">
        <v>0</v>
      </c>
      <c r="D5" s="68" t="s">
        <v>1</v>
      </c>
      <c r="E5" s="68" t="s">
        <v>2</v>
      </c>
      <c r="F5" s="68" t="s">
        <v>3</v>
      </c>
      <c r="G5" s="68" t="s">
        <v>4</v>
      </c>
      <c r="H5" s="68" t="s">
        <v>5</v>
      </c>
      <c r="I5" s="68" t="s">
        <v>145</v>
      </c>
      <c r="J5" s="68" t="s">
        <v>146</v>
      </c>
      <c r="K5" s="68" t="s">
        <v>147</v>
      </c>
      <c r="L5" s="68" t="s">
        <v>148</v>
      </c>
      <c r="M5" s="68" t="s">
        <v>149</v>
      </c>
      <c r="N5" s="68" t="s">
        <v>150</v>
      </c>
      <c r="O5" s="68" t="s">
        <v>281</v>
      </c>
      <c r="P5" s="68" t="s">
        <v>282</v>
      </c>
      <c r="Q5" s="68" t="s">
        <v>283</v>
      </c>
      <c r="R5" s="182" t="s">
        <v>284</v>
      </c>
      <c r="S5" s="69" t="s">
        <v>285</v>
      </c>
    </row>
    <row r="6" spans="1:19" ht="46.5" customHeight="1">
      <c r="A6" s="84"/>
      <c r="B6" s="762" t="s">
        <v>286</v>
      </c>
      <c r="C6" s="760">
        <v>0</v>
      </c>
      <c r="D6" s="761"/>
      <c r="E6" s="760">
        <v>0.2</v>
      </c>
      <c r="F6" s="761"/>
      <c r="G6" s="760">
        <v>0.35</v>
      </c>
      <c r="H6" s="761"/>
      <c r="I6" s="760">
        <v>0.5</v>
      </c>
      <c r="J6" s="761"/>
      <c r="K6" s="760">
        <v>0.75</v>
      </c>
      <c r="L6" s="761"/>
      <c r="M6" s="760">
        <v>1</v>
      </c>
      <c r="N6" s="761"/>
      <c r="O6" s="760">
        <v>1.5</v>
      </c>
      <c r="P6" s="761"/>
      <c r="Q6" s="760">
        <v>2.5</v>
      </c>
      <c r="R6" s="761"/>
      <c r="S6" s="758" t="s">
        <v>156</v>
      </c>
    </row>
    <row r="7" spans="1:19">
      <c r="A7" s="84"/>
      <c r="B7" s="763"/>
      <c r="C7" s="188" t="s">
        <v>279</v>
      </c>
      <c r="D7" s="188" t="s">
        <v>280</v>
      </c>
      <c r="E7" s="188" t="s">
        <v>279</v>
      </c>
      <c r="F7" s="188" t="s">
        <v>280</v>
      </c>
      <c r="G7" s="188" t="s">
        <v>279</v>
      </c>
      <c r="H7" s="188" t="s">
        <v>280</v>
      </c>
      <c r="I7" s="188" t="s">
        <v>279</v>
      </c>
      <c r="J7" s="188" t="s">
        <v>280</v>
      </c>
      <c r="K7" s="188" t="s">
        <v>279</v>
      </c>
      <c r="L7" s="188" t="s">
        <v>280</v>
      </c>
      <c r="M7" s="188" t="s">
        <v>279</v>
      </c>
      <c r="N7" s="188" t="s">
        <v>280</v>
      </c>
      <c r="O7" s="188" t="s">
        <v>279</v>
      </c>
      <c r="P7" s="188" t="s">
        <v>280</v>
      </c>
      <c r="Q7" s="188" t="s">
        <v>279</v>
      </c>
      <c r="R7" s="188" t="s">
        <v>280</v>
      </c>
      <c r="S7" s="759"/>
    </row>
    <row r="8" spans="1:19">
      <c r="A8" s="72">
        <v>1</v>
      </c>
      <c r="B8" s="104" t="s">
        <v>134</v>
      </c>
      <c r="C8" s="582">
        <v>6204907.8899999997</v>
      </c>
      <c r="D8" s="582"/>
      <c r="E8" s="582">
        <v>0</v>
      </c>
      <c r="F8" s="581"/>
      <c r="G8" s="582">
        <v>0</v>
      </c>
      <c r="H8" s="582"/>
      <c r="I8" s="582">
        <v>0</v>
      </c>
      <c r="J8" s="582"/>
      <c r="K8" s="582">
        <v>0</v>
      </c>
      <c r="L8" s="582"/>
      <c r="M8" s="582">
        <v>31848252.793299999</v>
      </c>
      <c r="N8" s="582"/>
      <c r="O8" s="582">
        <v>0</v>
      </c>
      <c r="P8" s="582"/>
      <c r="Q8" s="582">
        <v>0</v>
      </c>
      <c r="R8" s="581"/>
      <c r="S8" s="580">
        <f>$C$6*SUM(C8:D8)+$E$6*SUM(E8:F8)+$G$6*SUM(G8:H8)+$I$6*SUM(I8:J8)+$K$6*SUM(K8:L8)+$M$6*SUM(M8:N8)+$O$6*SUM(O8:P8)+$Q$6*SUM(Q8:R8)</f>
        <v>31848252.793299999</v>
      </c>
    </row>
    <row r="9" spans="1:19">
      <c r="A9" s="72">
        <v>2</v>
      </c>
      <c r="B9" s="104" t="s">
        <v>135</v>
      </c>
      <c r="C9" s="582">
        <v>0</v>
      </c>
      <c r="D9" s="582"/>
      <c r="E9" s="582">
        <v>0</v>
      </c>
      <c r="F9" s="582"/>
      <c r="G9" s="582">
        <v>0</v>
      </c>
      <c r="H9" s="582"/>
      <c r="I9" s="582">
        <v>0</v>
      </c>
      <c r="J9" s="582"/>
      <c r="K9" s="582">
        <v>0</v>
      </c>
      <c r="L9" s="582"/>
      <c r="M9" s="582">
        <v>0</v>
      </c>
      <c r="N9" s="582"/>
      <c r="O9" s="582">
        <v>0</v>
      </c>
      <c r="P9" s="582"/>
      <c r="Q9" s="582">
        <v>0</v>
      </c>
      <c r="R9" s="581"/>
      <c r="S9" s="580">
        <f t="shared" ref="S9:S21" si="0">$C$6*SUM(C9:D9)+$E$6*SUM(E9:F9)+$G$6*SUM(G9:H9)+$I$6*SUM(I9:J9)+$K$6*SUM(K9:L9)+$M$6*SUM(M9:N9)+$O$6*SUM(O9:P9)+$Q$6*SUM(Q9:R9)</f>
        <v>0</v>
      </c>
    </row>
    <row r="10" spans="1:19">
      <c r="A10" s="72">
        <v>3</v>
      </c>
      <c r="B10" s="104" t="s">
        <v>136</v>
      </c>
      <c r="C10" s="582">
        <v>0</v>
      </c>
      <c r="D10" s="582"/>
      <c r="E10" s="582">
        <v>0</v>
      </c>
      <c r="F10" s="582"/>
      <c r="G10" s="582">
        <v>0</v>
      </c>
      <c r="H10" s="582"/>
      <c r="I10" s="582">
        <v>0</v>
      </c>
      <c r="J10" s="582"/>
      <c r="K10" s="582">
        <v>0</v>
      </c>
      <c r="L10" s="582"/>
      <c r="M10" s="582">
        <v>0</v>
      </c>
      <c r="N10" s="582"/>
      <c r="O10" s="582">
        <v>0</v>
      </c>
      <c r="P10" s="582"/>
      <c r="Q10" s="582">
        <v>0</v>
      </c>
      <c r="R10" s="581"/>
      <c r="S10" s="580">
        <f t="shared" si="0"/>
        <v>0</v>
      </c>
    </row>
    <row r="11" spans="1:19">
      <c r="A11" s="72">
        <v>4</v>
      </c>
      <c r="B11" s="104" t="s">
        <v>137</v>
      </c>
      <c r="C11" s="582">
        <v>0</v>
      </c>
      <c r="D11" s="582"/>
      <c r="E11" s="582">
        <v>0</v>
      </c>
      <c r="F11" s="582"/>
      <c r="G11" s="582">
        <v>0</v>
      </c>
      <c r="H11" s="582"/>
      <c r="I11" s="582">
        <v>0</v>
      </c>
      <c r="J11" s="582"/>
      <c r="K11" s="582">
        <v>0</v>
      </c>
      <c r="L11" s="582"/>
      <c r="M11" s="582">
        <v>0</v>
      </c>
      <c r="N11" s="582"/>
      <c r="O11" s="582">
        <v>0</v>
      </c>
      <c r="P11" s="582"/>
      <c r="Q11" s="582">
        <v>0</v>
      </c>
      <c r="R11" s="581"/>
      <c r="S11" s="580">
        <f t="shared" si="0"/>
        <v>0</v>
      </c>
    </row>
    <row r="12" spans="1:19">
      <c r="A12" s="72">
        <v>5</v>
      </c>
      <c r="B12" s="104" t="s">
        <v>949</v>
      </c>
      <c r="C12" s="582">
        <v>0</v>
      </c>
      <c r="D12" s="582"/>
      <c r="E12" s="582">
        <v>0</v>
      </c>
      <c r="F12" s="582"/>
      <c r="G12" s="582">
        <v>0</v>
      </c>
      <c r="H12" s="582"/>
      <c r="I12" s="582">
        <v>0</v>
      </c>
      <c r="J12" s="582"/>
      <c r="K12" s="582">
        <v>0</v>
      </c>
      <c r="L12" s="582"/>
      <c r="M12" s="582">
        <v>0</v>
      </c>
      <c r="N12" s="582"/>
      <c r="O12" s="582">
        <v>0</v>
      </c>
      <c r="P12" s="582"/>
      <c r="Q12" s="582">
        <v>0</v>
      </c>
      <c r="R12" s="581"/>
      <c r="S12" s="580">
        <f t="shared" si="0"/>
        <v>0</v>
      </c>
    </row>
    <row r="13" spans="1:19">
      <c r="A13" s="72">
        <v>6</v>
      </c>
      <c r="B13" s="104" t="s">
        <v>138</v>
      </c>
      <c r="C13" s="582">
        <v>0</v>
      </c>
      <c r="D13" s="582"/>
      <c r="E13" s="582">
        <v>81719597.113700002</v>
      </c>
      <c r="F13" s="582"/>
      <c r="G13" s="582">
        <v>0</v>
      </c>
      <c r="H13" s="582"/>
      <c r="I13" s="582">
        <v>20668539.522500001</v>
      </c>
      <c r="J13" s="582"/>
      <c r="K13" s="582">
        <v>0</v>
      </c>
      <c r="L13" s="582"/>
      <c r="M13" s="582">
        <v>44368992.702299997</v>
      </c>
      <c r="N13" s="582">
        <v>298297.5944</v>
      </c>
      <c r="O13" s="582">
        <v>0</v>
      </c>
      <c r="P13" s="582"/>
      <c r="Q13" s="582">
        <v>0</v>
      </c>
      <c r="R13" s="581"/>
      <c r="S13" s="580">
        <f t="shared" si="0"/>
        <v>71345479.480690002</v>
      </c>
    </row>
    <row r="14" spans="1:19">
      <c r="A14" s="72">
        <v>7</v>
      </c>
      <c r="B14" s="104" t="s">
        <v>71</v>
      </c>
      <c r="C14" s="582">
        <v>0</v>
      </c>
      <c r="D14" s="582"/>
      <c r="E14" s="582">
        <v>0</v>
      </c>
      <c r="F14" s="582"/>
      <c r="G14" s="582">
        <v>0</v>
      </c>
      <c r="H14" s="582"/>
      <c r="I14" s="582">
        <v>0</v>
      </c>
      <c r="J14" s="582"/>
      <c r="K14" s="582">
        <v>0</v>
      </c>
      <c r="L14" s="582"/>
      <c r="M14" s="582">
        <v>270367625.8775</v>
      </c>
      <c r="N14" s="582">
        <v>45137660.530000001</v>
      </c>
      <c r="O14" s="582">
        <v>0</v>
      </c>
      <c r="P14" s="582"/>
      <c r="Q14" s="582">
        <v>0</v>
      </c>
      <c r="R14" s="581"/>
      <c r="S14" s="580">
        <f t="shared" si="0"/>
        <v>315505286.40750003</v>
      </c>
    </row>
    <row r="15" spans="1:19">
      <c r="A15" s="72">
        <v>8</v>
      </c>
      <c r="B15" s="104" t="s">
        <v>72</v>
      </c>
      <c r="C15" s="582">
        <v>0</v>
      </c>
      <c r="D15" s="582"/>
      <c r="E15" s="582">
        <v>0</v>
      </c>
      <c r="F15" s="582"/>
      <c r="G15" s="582">
        <v>0</v>
      </c>
      <c r="H15" s="582"/>
      <c r="I15" s="582">
        <v>0</v>
      </c>
      <c r="J15" s="582"/>
      <c r="K15" s="582">
        <v>11141.4355</v>
      </c>
      <c r="L15" s="582"/>
      <c r="M15" s="582">
        <v>498799.56630000001</v>
      </c>
      <c r="N15" s="582">
        <v>4323.6499999999996</v>
      </c>
      <c r="O15" s="582">
        <v>0</v>
      </c>
      <c r="P15" s="582"/>
      <c r="Q15" s="582">
        <v>0</v>
      </c>
      <c r="R15" s="581"/>
      <c r="S15" s="580">
        <f t="shared" si="0"/>
        <v>511479.29292500002</v>
      </c>
    </row>
    <row r="16" spans="1:19">
      <c r="A16" s="72">
        <v>9</v>
      </c>
      <c r="B16" s="104" t="s">
        <v>950</v>
      </c>
      <c r="C16" s="582">
        <v>0</v>
      </c>
      <c r="D16" s="582"/>
      <c r="E16" s="582">
        <v>0</v>
      </c>
      <c r="F16" s="582"/>
      <c r="G16" s="582">
        <v>0</v>
      </c>
      <c r="H16" s="582"/>
      <c r="I16" s="582">
        <v>0</v>
      </c>
      <c r="J16" s="582"/>
      <c r="K16" s="582">
        <v>0</v>
      </c>
      <c r="L16" s="582"/>
      <c r="M16" s="582">
        <v>0</v>
      </c>
      <c r="N16" s="582"/>
      <c r="O16" s="582">
        <v>0</v>
      </c>
      <c r="P16" s="582"/>
      <c r="Q16" s="582">
        <v>0</v>
      </c>
      <c r="R16" s="581"/>
      <c r="S16" s="580">
        <f t="shared" si="0"/>
        <v>0</v>
      </c>
    </row>
    <row r="17" spans="1:19">
      <c r="A17" s="72">
        <v>10</v>
      </c>
      <c r="B17" s="104" t="s">
        <v>67</v>
      </c>
      <c r="C17" s="582">
        <v>0</v>
      </c>
      <c r="D17" s="582"/>
      <c r="E17" s="582">
        <v>0</v>
      </c>
      <c r="F17" s="582"/>
      <c r="G17" s="582">
        <v>0</v>
      </c>
      <c r="H17" s="582"/>
      <c r="I17" s="582">
        <v>0</v>
      </c>
      <c r="J17" s="582"/>
      <c r="K17" s="582">
        <v>175.03729999999999</v>
      </c>
      <c r="L17" s="582"/>
      <c r="M17" s="582">
        <v>38664055.0568</v>
      </c>
      <c r="N17" s="582"/>
      <c r="O17" s="582">
        <v>0</v>
      </c>
      <c r="P17" s="582"/>
      <c r="Q17" s="582">
        <v>0</v>
      </c>
      <c r="R17" s="581"/>
      <c r="S17" s="580">
        <f t="shared" si="0"/>
        <v>38664186.334775001</v>
      </c>
    </row>
    <row r="18" spans="1:19">
      <c r="A18" s="72">
        <v>11</v>
      </c>
      <c r="B18" s="104" t="s">
        <v>68</v>
      </c>
      <c r="C18" s="582">
        <v>0</v>
      </c>
      <c r="D18" s="582"/>
      <c r="E18" s="582">
        <v>0</v>
      </c>
      <c r="F18" s="582"/>
      <c r="G18" s="582">
        <v>0</v>
      </c>
      <c r="H18" s="582"/>
      <c r="I18" s="582">
        <v>0</v>
      </c>
      <c r="J18" s="582"/>
      <c r="K18" s="582">
        <v>0</v>
      </c>
      <c r="L18" s="582"/>
      <c r="M18" s="582">
        <v>0</v>
      </c>
      <c r="N18" s="582"/>
      <c r="O18" s="582">
        <v>0</v>
      </c>
      <c r="P18" s="582"/>
      <c r="Q18" s="582">
        <v>0</v>
      </c>
      <c r="R18" s="581"/>
      <c r="S18" s="580">
        <f t="shared" si="0"/>
        <v>0</v>
      </c>
    </row>
    <row r="19" spans="1:19">
      <c r="A19" s="72">
        <v>12</v>
      </c>
      <c r="B19" s="104" t="s">
        <v>69</v>
      </c>
      <c r="C19" s="582">
        <v>0</v>
      </c>
      <c r="D19" s="582"/>
      <c r="E19" s="582">
        <v>0</v>
      </c>
      <c r="F19" s="582"/>
      <c r="G19" s="582">
        <v>0</v>
      </c>
      <c r="H19" s="582"/>
      <c r="I19" s="582">
        <v>0</v>
      </c>
      <c r="J19" s="582"/>
      <c r="K19" s="582">
        <v>0</v>
      </c>
      <c r="L19" s="582"/>
      <c r="M19" s="582">
        <v>0</v>
      </c>
      <c r="N19" s="582"/>
      <c r="O19" s="582">
        <v>0</v>
      </c>
      <c r="P19" s="582"/>
      <c r="Q19" s="582">
        <v>0</v>
      </c>
      <c r="R19" s="581"/>
      <c r="S19" s="580">
        <f t="shared" si="0"/>
        <v>0</v>
      </c>
    </row>
    <row r="20" spans="1:19">
      <c r="A20" s="72">
        <v>13</v>
      </c>
      <c r="B20" s="104" t="s">
        <v>70</v>
      </c>
      <c r="C20" s="582">
        <v>0</v>
      </c>
      <c r="D20" s="582"/>
      <c r="E20" s="582">
        <v>0</v>
      </c>
      <c r="F20" s="582"/>
      <c r="G20" s="582">
        <v>0</v>
      </c>
      <c r="H20" s="582"/>
      <c r="I20" s="582">
        <v>0</v>
      </c>
      <c r="J20" s="582"/>
      <c r="K20" s="582">
        <v>0</v>
      </c>
      <c r="L20" s="582"/>
      <c r="M20" s="582">
        <v>0</v>
      </c>
      <c r="N20" s="582"/>
      <c r="O20" s="582">
        <v>0</v>
      </c>
      <c r="P20" s="582"/>
      <c r="Q20" s="582">
        <v>0</v>
      </c>
      <c r="R20" s="581"/>
      <c r="S20" s="580">
        <f t="shared" si="0"/>
        <v>0</v>
      </c>
    </row>
    <row r="21" spans="1:19">
      <c r="A21" s="72">
        <v>14</v>
      </c>
      <c r="B21" s="104" t="s">
        <v>154</v>
      </c>
      <c r="C21" s="582">
        <v>2171931.9144000001</v>
      </c>
      <c r="D21" s="582"/>
      <c r="E21" s="582">
        <v>0</v>
      </c>
      <c r="F21" s="582"/>
      <c r="G21" s="582">
        <v>0</v>
      </c>
      <c r="H21" s="582"/>
      <c r="I21" s="582">
        <v>0</v>
      </c>
      <c r="J21" s="582"/>
      <c r="K21" s="582">
        <v>0</v>
      </c>
      <c r="L21" s="582"/>
      <c r="M21" s="582">
        <v>19780915.119599998</v>
      </c>
      <c r="N21" s="582"/>
      <c r="O21" s="582">
        <v>0</v>
      </c>
      <c r="P21" s="582"/>
      <c r="Q21" s="582">
        <v>4078397.28</v>
      </c>
      <c r="R21" s="581"/>
      <c r="S21" s="580">
        <f t="shared" si="0"/>
        <v>29976908.319599997</v>
      </c>
    </row>
    <row r="22" spans="1:19" ht="14.4" thickBot="1">
      <c r="A22" s="55"/>
      <c r="B22" s="88" t="s">
        <v>66</v>
      </c>
      <c r="C22" s="167">
        <f>SUM(C8:C21)</f>
        <v>8376839.8043999998</v>
      </c>
      <c r="D22" s="167">
        <f t="shared" ref="D22:S22" si="1">SUM(D8:D21)</f>
        <v>0</v>
      </c>
      <c r="E22" s="167">
        <f t="shared" si="1"/>
        <v>81719597.113700002</v>
      </c>
      <c r="F22" s="167">
        <f t="shared" si="1"/>
        <v>0</v>
      </c>
      <c r="G22" s="167">
        <f t="shared" si="1"/>
        <v>0</v>
      </c>
      <c r="H22" s="167">
        <f t="shared" si="1"/>
        <v>0</v>
      </c>
      <c r="I22" s="167">
        <f t="shared" si="1"/>
        <v>20668539.522500001</v>
      </c>
      <c r="J22" s="167">
        <f t="shared" si="1"/>
        <v>0</v>
      </c>
      <c r="K22" s="167">
        <f t="shared" si="1"/>
        <v>11316.4728</v>
      </c>
      <c r="L22" s="167">
        <f t="shared" si="1"/>
        <v>0</v>
      </c>
      <c r="M22" s="167">
        <f t="shared" si="1"/>
        <v>405528641.11579996</v>
      </c>
      <c r="N22" s="167">
        <f t="shared" si="1"/>
        <v>45440281.774400003</v>
      </c>
      <c r="O22" s="167">
        <f t="shared" si="1"/>
        <v>0</v>
      </c>
      <c r="P22" s="167">
        <f t="shared" si="1"/>
        <v>0</v>
      </c>
      <c r="Q22" s="167">
        <f t="shared" si="1"/>
        <v>4078397.28</v>
      </c>
      <c r="R22" s="167">
        <f t="shared" si="1"/>
        <v>0</v>
      </c>
      <c r="S22" s="192">
        <f t="shared" si="1"/>
        <v>487851592.62879002</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scale="2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Normal="100" workbookViewId="0">
      <pane xSplit="2" ySplit="6" topLeftCell="C7" activePane="bottomRight" state="frozen"/>
      <selection activeCell="A3" sqref="A3"/>
      <selection pane="topRight" activeCell="A3" sqref="A3"/>
      <selection pane="bottomLeft" activeCell="A3" sqref="A3"/>
      <selection pane="bottomRight" activeCell="A3" sqref="A3"/>
    </sheetView>
  </sheetViews>
  <sheetFormatPr defaultColWidth="9.21875" defaultRowHeight="13.8"/>
  <cols>
    <col min="1" max="1" width="10.5546875" style="1" bestFit="1" customWidth="1"/>
    <col min="2" max="2" width="97" style="1" bestFit="1" customWidth="1"/>
    <col min="3" max="3" width="19" style="1" customWidth="1"/>
    <col min="4" max="4" width="19.5546875" style="1" customWidth="1"/>
    <col min="5" max="5" width="31.21875" style="1" customWidth="1"/>
    <col min="6" max="6" width="29.21875" style="1" customWidth="1"/>
    <col min="7" max="7" width="28.5546875" style="1" customWidth="1"/>
    <col min="8" max="8" width="26.44140625" style="1" customWidth="1"/>
    <col min="9" max="9" width="23.77734375" style="1" customWidth="1"/>
    <col min="10" max="10" width="21.5546875" style="1" customWidth="1"/>
    <col min="11" max="11" width="15.77734375" style="1" customWidth="1"/>
    <col min="12" max="12" width="13.21875" style="1" customWidth="1"/>
    <col min="13" max="13" width="20.77734375" style="1" customWidth="1"/>
    <col min="14" max="14" width="19.21875" style="1" customWidth="1"/>
    <col min="15" max="15" width="18.44140625" style="1" customWidth="1"/>
    <col min="16" max="16" width="19" style="1" customWidth="1"/>
    <col min="17" max="17" width="20.21875" style="1" customWidth="1"/>
    <col min="18" max="18" width="18" style="1" customWidth="1"/>
    <col min="19" max="19" width="36" style="1" customWidth="1"/>
    <col min="20" max="20" width="19.44140625" style="1" customWidth="1"/>
    <col min="21" max="21" width="19.21875" style="1" customWidth="1"/>
    <col min="22" max="22" width="20" style="1" customWidth="1"/>
    <col min="23" max="16384" width="9.21875" style="8"/>
  </cols>
  <sheetData>
    <row r="1" spans="1:22">
      <c r="A1" s="1" t="s">
        <v>108</v>
      </c>
      <c r="B1" s="1" t="str">
        <f>Info!C2</f>
        <v>სს " პაშა ბანკი საქართველო"</v>
      </c>
    </row>
    <row r="2" spans="1:22">
      <c r="A2" s="1" t="s">
        <v>109</v>
      </c>
      <c r="B2" s="326">
        <f>'1. key ratios'!B2</f>
        <v>45382</v>
      </c>
    </row>
    <row r="4" spans="1:22" ht="28.2" thickBot="1">
      <c r="A4" s="1" t="s">
        <v>260</v>
      </c>
      <c r="B4" s="189" t="s">
        <v>295</v>
      </c>
      <c r="V4" s="128" t="s">
        <v>87</v>
      </c>
    </row>
    <row r="5" spans="1:22">
      <c r="A5" s="53"/>
      <c r="B5" s="54"/>
      <c r="C5" s="764" t="s">
        <v>116</v>
      </c>
      <c r="D5" s="765"/>
      <c r="E5" s="765"/>
      <c r="F5" s="765"/>
      <c r="G5" s="765"/>
      <c r="H5" s="765"/>
      <c r="I5" s="765"/>
      <c r="J5" s="765"/>
      <c r="K5" s="765"/>
      <c r="L5" s="766"/>
      <c r="M5" s="764" t="s">
        <v>117</v>
      </c>
      <c r="N5" s="765"/>
      <c r="O5" s="765"/>
      <c r="P5" s="765"/>
      <c r="Q5" s="765"/>
      <c r="R5" s="765"/>
      <c r="S5" s="766"/>
      <c r="T5" s="769" t="s">
        <v>293</v>
      </c>
      <c r="U5" s="769" t="s">
        <v>292</v>
      </c>
      <c r="V5" s="767" t="s">
        <v>118</v>
      </c>
    </row>
    <row r="6" spans="1:22" s="30" customFormat="1" ht="138">
      <c r="A6" s="70"/>
      <c r="B6" s="106"/>
      <c r="C6" s="51" t="s">
        <v>119</v>
      </c>
      <c r="D6" s="50" t="s">
        <v>120</v>
      </c>
      <c r="E6" s="48" t="s">
        <v>121</v>
      </c>
      <c r="F6" s="48" t="s">
        <v>287</v>
      </c>
      <c r="G6" s="50" t="s">
        <v>122</v>
      </c>
      <c r="H6" s="50" t="s">
        <v>123</v>
      </c>
      <c r="I6" s="50" t="s">
        <v>124</v>
      </c>
      <c r="J6" s="50" t="s">
        <v>153</v>
      </c>
      <c r="K6" s="50" t="s">
        <v>125</v>
      </c>
      <c r="L6" s="52" t="s">
        <v>126</v>
      </c>
      <c r="M6" s="51" t="s">
        <v>127</v>
      </c>
      <c r="N6" s="50" t="s">
        <v>128</v>
      </c>
      <c r="O6" s="50" t="s">
        <v>129</v>
      </c>
      <c r="P6" s="50" t="s">
        <v>130</v>
      </c>
      <c r="Q6" s="50" t="s">
        <v>131</v>
      </c>
      <c r="R6" s="50" t="s">
        <v>132</v>
      </c>
      <c r="S6" s="52" t="s">
        <v>133</v>
      </c>
      <c r="T6" s="770"/>
      <c r="U6" s="770"/>
      <c r="V6" s="768"/>
    </row>
    <row r="7" spans="1:22">
      <c r="A7" s="87">
        <v>1</v>
      </c>
      <c r="B7" s="104" t="s">
        <v>134</v>
      </c>
      <c r="C7" s="168"/>
      <c r="D7" s="166"/>
      <c r="E7" s="166"/>
      <c r="F7" s="166"/>
      <c r="G7" s="166"/>
      <c r="H7" s="166"/>
      <c r="I7" s="166"/>
      <c r="J7" s="166"/>
      <c r="K7" s="166"/>
      <c r="L7" s="169"/>
      <c r="M7" s="168"/>
      <c r="N7" s="166"/>
      <c r="O7" s="166"/>
      <c r="P7" s="166"/>
      <c r="Q7" s="166"/>
      <c r="R7" s="166"/>
      <c r="S7" s="169"/>
      <c r="T7" s="186"/>
      <c r="U7" s="185"/>
      <c r="V7" s="170">
        <f>SUM(C7:S7)</f>
        <v>0</v>
      </c>
    </row>
    <row r="8" spans="1:22">
      <c r="A8" s="87">
        <v>2</v>
      </c>
      <c r="B8" s="104" t="s">
        <v>135</v>
      </c>
      <c r="C8" s="168"/>
      <c r="D8" s="166"/>
      <c r="E8" s="166"/>
      <c r="F8" s="166"/>
      <c r="G8" s="166"/>
      <c r="H8" s="166"/>
      <c r="I8" s="166"/>
      <c r="J8" s="166"/>
      <c r="K8" s="166"/>
      <c r="L8" s="169"/>
      <c r="M8" s="168"/>
      <c r="N8" s="166"/>
      <c r="O8" s="166"/>
      <c r="P8" s="166"/>
      <c r="Q8" s="166"/>
      <c r="R8" s="166"/>
      <c r="S8" s="169"/>
      <c r="T8" s="185"/>
      <c r="U8" s="185"/>
      <c r="V8" s="170">
        <f t="shared" ref="V8:V20" si="0">SUM(C8:S8)</f>
        <v>0</v>
      </c>
    </row>
    <row r="9" spans="1:22">
      <c r="A9" s="87">
        <v>3</v>
      </c>
      <c r="B9" s="104" t="s">
        <v>136</v>
      </c>
      <c r="C9" s="168"/>
      <c r="D9" s="166"/>
      <c r="E9" s="166"/>
      <c r="F9" s="166"/>
      <c r="G9" s="166"/>
      <c r="H9" s="166"/>
      <c r="I9" s="166"/>
      <c r="J9" s="166"/>
      <c r="K9" s="166"/>
      <c r="L9" s="169"/>
      <c r="M9" s="168"/>
      <c r="N9" s="166"/>
      <c r="O9" s="166"/>
      <c r="P9" s="166"/>
      <c r="Q9" s="166"/>
      <c r="R9" s="166"/>
      <c r="S9" s="169"/>
      <c r="T9" s="185"/>
      <c r="U9" s="185"/>
      <c r="V9" s="170">
        <f>SUM(C9:S9)</f>
        <v>0</v>
      </c>
    </row>
    <row r="10" spans="1:22">
      <c r="A10" s="87">
        <v>4</v>
      </c>
      <c r="B10" s="104" t="s">
        <v>137</v>
      </c>
      <c r="C10" s="168"/>
      <c r="D10" s="166"/>
      <c r="E10" s="166"/>
      <c r="F10" s="166"/>
      <c r="G10" s="166"/>
      <c r="H10" s="166"/>
      <c r="I10" s="166"/>
      <c r="J10" s="166"/>
      <c r="K10" s="166"/>
      <c r="L10" s="169"/>
      <c r="M10" s="168"/>
      <c r="N10" s="166"/>
      <c r="O10" s="166"/>
      <c r="P10" s="166"/>
      <c r="Q10" s="166"/>
      <c r="R10" s="166"/>
      <c r="S10" s="169"/>
      <c r="T10" s="185"/>
      <c r="U10" s="185"/>
      <c r="V10" s="170">
        <f t="shared" si="0"/>
        <v>0</v>
      </c>
    </row>
    <row r="11" spans="1:22">
      <c r="A11" s="87">
        <v>5</v>
      </c>
      <c r="B11" s="104" t="s">
        <v>949</v>
      </c>
      <c r="C11" s="168"/>
      <c r="D11" s="166"/>
      <c r="E11" s="166"/>
      <c r="F11" s="166"/>
      <c r="G11" s="166"/>
      <c r="H11" s="166"/>
      <c r="I11" s="166"/>
      <c r="J11" s="166"/>
      <c r="K11" s="166"/>
      <c r="L11" s="169"/>
      <c r="M11" s="168"/>
      <c r="N11" s="166"/>
      <c r="O11" s="166"/>
      <c r="P11" s="166"/>
      <c r="Q11" s="166"/>
      <c r="R11" s="166"/>
      <c r="S11" s="169"/>
      <c r="T11" s="185"/>
      <c r="U11" s="185"/>
      <c r="V11" s="170">
        <f t="shared" si="0"/>
        <v>0</v>
      </c>
    </row>
    <row r="12" spans="1:22">
      <c r="A12" s="87">
        <v>6</v>
      </c>
      <c r="B12" s="104" t="s">
        <v>138</v>
      </c>
      <c r="C12" s="168"/>
      <c r="D12" s="166"/>
      <c r="E12" s="166"/>
      <c r="F12" s="166"/>
      <c r="G12" s="166"/>
      <c r="H12" s="166"/>
      <c r="I12" s="166"/>
      <c r="J12" s="166"/>
      <c r="K12" s="166"/>
      <c r="L12" s="169"/>
      <c r="M12" s="168"/>
      <c r="N12" s="166"/>
      <c r="O12" s="166"/>
      <c r="P12" s="166"/>
      <c r="Q12" s="166"/>
      <c r="R12" s="166"/>
      <c r="S12" s="169"/>
      <c r="T12" s="185"/>
      <c r="U12" s="185"/>
      <c r="V12" s="170">
        <f t="shared" si="0"/>
        <v>0</v>
      </c>
    </row>
    <row r="13" spans="1:22">
      <c r="A13" s="87">
        <v>7</v>
      </c>
      <c r="B13" s="104" t="s">
        <v>71</v>
      </c>
      <c r="C13" s="168"/>
      <c r="D13" s="166">
        <v>3579418.7764999997</v>
      </c>
      <c r="E13" s="166"/>
      <c r="F13" s="166"/>
      <c r="G13" s="166"/>
      <c r="H13" s="166"/>
      <c r="I13" s="166"/>
      <c r="J13" s="166"/>
      <c r="K13" s="166"/>
      <c r="L13" s="169"/>
      <c r="M13" s="168"/>
      <c r="N13" s="166"/>
      <c r="O13" s="166"/>
      <c r="P13" s="166"/>
      <c r="Q13" s="166"/>
      <c r="R13" s="166"/>
      <c r="S13" s="169"/>
      <c r="T13" s="185">
        <v>1554397.6505</v>
      </c>
      <c r="U13" s="185">
        <v>2025021.1259999999</v>
      </c>
      <c r="V13" s="170">
        <f t="shared" si="0"/>
        <v>3579418.7764999997</v>
      </c>
    </row>
    <row r="14" spans="1:22">
      <c r="A14" s="87">
        <v>8</v>
      </c>
      <c r="B14" s="104" t="s">
        <v>72</v>
      </c>
      <c r="C14" s="168"/>
      <c r="D14" s="166">
        <v>65514.463499999998</v>
      </c>
      <c r="E14" s="166"/>
      <c r="F14" s="166"/>
      <c r="G14" s="166"/>
      <c r="H14" s="166"/>
      <c r="I14" s="166"/>
      <c r="J14" s="166"/>
      <c r="K14" s="166"/>
      <c r="L14" s="169"/>
      <c r="M14" s="168"/>
      <c r="N14" s="166"/>
      <c r="O14" s="166"/>
      <c r="P14" s="166"/>
      <c r="Q14" s="166"/>
      <c r="R14" s="166"/>
      <c r="S14" s="169"/>
      <c r="T14" s="185">
        <v>65514.463499999998</v>
      </c>
      <c r="U14" s="185">
        <v>0</v>
      </c>
      <c r="V14" s="170">
        <f t="shared" si="0"/>
        <v>65514.463499999998</v>
      </c>
    </row>
    <row r="15" spans="1:22">
      <c r="A15" s="87">
        <v>9</v>
      </c>
      <c r="B15" s="104" t="s">
        <v>950</v>
      </c>
      <c r="C15" s="168"/>
      <c r="D15" s="166"/>
      <c r="E15" s="166"/>
      <c r="F15" s="166"/>
      <c r="G15" s="166"/>
      <c r="H15" s="166"/>
      <c r="I15" s="166"/>
      <c r="J15" s="166"/>
      <c r="K15" s="166"/>
      <c r="L15" s="169"/>
      <c r="M15" s="168"/>
      <c r="N15" s="166"/>
      <c r="O15" s="166"/>
      <c r="P15" s="166"/>
      <c r="Q15" s="166"/>
      <c r="R15" s="166"/>
      <c r="S15" s="169"/>
      <c r="T15" s="185"/>
      <c r="U15" s="185"/>
      <c r="V15" s="170">
        <f t="shared" si="0"/>
        <v>0</v>
      </c>
    </row>
    <row r="16" spans="1:22">
      <c r="A16" s="87">
        <v>10</v>
      </c>
      <c r="B16" s="104" t="s">
        <v>67</v>
      </c>
      <c r="C16" s="168"/>
      <c r="D16" s="166">
        <v>0</v>
      </c>
      <c r="E16" s="166"/>
      <c r="F16" s="166"/>
      <c r="G16" s="166"/>
      <c r="H16" s="166"/>
      <c r="I16" s="166"/>
      <c r="J16" s="166"/>
      <c r="K16" s="166"/>
      <c r="L16" s="169"/>
      <c r="M16" s="168"/>
      <c r="N16" s="166"/>
      <c r="O16" s="166"/>
      <c r="P16" s="166"/>
      <c r="Q16" s="166"/>
      <c r="R16" s="166"/>
      <c r="S16" s="169"/>
      <c r="T16" s="185">
        <v>0</v>
      </c>
      <c r="U16" s="185"/>
      <c r="V16" s="170">
        <f t="shared" si="0"/>
        <v>0</v>
      </c>
    </row>
    <row r="17" spans="1:22">
      <c r="A17" s="87">
        <v>11</v>
      </c>
      <c r="B17" s="104" t="s">
        <v>68</v>
      </c>
      <c r="C17" s="168"/>
      <c r="D17" s="166"/>
      <c r="E17" s="166"/>
      <c r="F17" s="166"/>
      <c r="G17" s="166"/>
      <c r="H17" s="166"/>
      <c r="I17" s="166"/>
      <c r="J17" s="166"/>
      <c r="K17" s="166"/>
      <c r="L17" s="169"/>
      <c r="M17" s="168"/>
      <c r="N17" s="166"/>
      <c r="O17" s="166"/>
      <c r="P17" s="166"/>
      <c r="Q17" s="166"/>
      <c r="R17" s="166"/>
      <c r="S17" s="169"/>
      <c r="T17" s="185"/>
      <c r="U17" s="185"/>
      <c r="V17" s="170">
        <f t="shared" si="0"/>
        <v>0</v>
      </c>
    </row>
    <row r="18" spans="1:22">
      <c r="A18" s="87">
        <v>12</v>
      </c>
      <c r="B18" s="104" t="s">
        <v>69</v>
      </c>
      <c r="C18" s="168"/>
      <c r="D18" s="166"/>
      <c r="E18" s="166"/>
      <c r="F18" s="166"/>
      <c r="G18" s="166"/>
      <c r="H18" s="166"/>
      <c r="I18" s="166"/>
      <c r="J18" s="166"/>
      <c r="K18" s="166"/>
      <c r="L18" s="169"/>
      <c r="M18" s="168"/>
      <c r="N18" s="166"/>
      <c r="O18" s="166"/>
      <c r="P18" s="166"/>
      <c r="Q18" s="166"/>
      <c r="R18" s="166"/>
      <c r="S18" s="169"/>
      <c r="T18" s="185"/>
      <c r="U18" s="185"/>
      <c r="V18" s="170">
        <f t="shared" si="0"/>
        <v>0</v>
      </c>
    </row>
    <row r="19" spans="1:22">
      <c r="A19" s="87">
        <v>13</v>
      </c>
      <c r="B19" s="104" t="s">
        <v>70</v>
      </c>
      <c r="C19" s="168"/>
      <c r="D19" s="166"/>
      <c r="E19" s="166"/>
      <c r="F19" s="166"/>
      <c r="G19" s="166"/>
      <c r="H19" s="166"/>
      <c r="I19" s="166"/>
      <c r="J19" s="166"/>
      <c r="K19" s="166"/>
      <c r="L19" s="169"/>
      <c r="M19" s="168"/>
      <c r="N19" s="166"/>
      <c r="O19" s="166"/>
      <c r="P19" s="166"/>
      <c r="Q19" s="166"/>
      <c r="R19" s="166"/>
      <c r="S19" s="169"/>
      <c r="T19" s="185"/>
      <c r="U19" s="185"/>
      <c r="V19" s="170">
        <f t="shared" si="0"/>
        <v>0</v>
      </c>
    </row>
    <row r="20" spans="1:22">
      <c r="A20" s="87">
        <v>14</v>
      </c>
      <c r="B20" s="104" t="s">
        <v>154</v>
      </c>
      <c r="C20" s="168"/>
      <c r="D20" s="166"/>
      <c r="E20" s="166"/>
      <c r="F20" s="166"/>
      <c r="G20" s="166"/>
      <c r="H20" s="166"/>
      <c r="I20" s="166"/>
      <c r="J20" s="166"/>
      <c r="K20" s="166"/>
      <c r="L20" s="169"/>
      <c r="M20" s="168"/>
      <c r="N20" s="166"/>
      <c r="O20" s="166"/>
      <c r="P20" s="166"/>
      <c r="Q20" s="166"/>
      <c r="R20" s="166"/>
      <c r="S20" s="169"/>
      <c r="T20" s="185"/>
      <c r="U20" s="185"/>
      <c r="V20" s="170">
        <f t="shared" si="0"/>
        <v>0</v>
      </c>
    </row>
    <row r="21" spans="1:22" ht="14.4" thickBot="1">
      <c r="A21" s="55"/>
      <c r="B21" s="56" t="s">
        <v>66</v>
      </c>
      <c r="C21" s="171">
        <f>SUM(C7:C20)</f>
        <v>0</v>
      </c>
      <c r="D21" s="167">
        <f t="shared" ref="D21:V21" si="1">SUM(D7:D20)</f>
        <v>3644933.2399999998</v>
      </c>
      <c r="E21" s="167">
        <f t="shared" si="1"/>
        <v>0</v>
      </c>
      <c r="F21" s="167">
        <f t="shared" si="1"/>
        <v>0</v>
      </c>
      <c r="G21" s="167">
        <f t="shared" si="1"/>
        <v>0</v>
      </c>
      <c r="H21" s="167">
        <f t="shared" si="1"/>
        <v>0</v>
      </c>
      <c r="I21" s="167">
        <f t="shared" si="1"/>
        <v>0</v>
      </c>
      <c r="J21" s="167">
        <f t="shared" si="1"/>
        <v>0</v>
      </c>
      <c r="K21" s="167">
        <f t="shared" si="1"/>
        <v>0</v>
      </c>
      <c r="L21" s="172">
        <f t="shared" si="1"/>
        <v>0</v>
      </c>
      <c r="M21" s="171">
        <f t="shared" si="1"/>
        <v>0</v>
      </c>
      <c r="N21" s="167">
        <f t="shared" si="1"/>
        <v>0</v>
      </c>
      <c r="O21" s="167">
        <f t="shared" si="1"/>
        <v>0</v>
      </c>
      <c r="P21" s="167">
        <f t="shared" si="1"/>
        <v>0</v>
      </c>
      <c r="Q21" s="167">
        <f t="shared" si="1"/>
        <v>0</v>
      </c>
      <c r="R21" s="167">
        <f t="shared" si="1"/>
        <v>0</v>
      </c>
      <c r="S21" s="172">
        <f t="shared" si="1"/>
        <v>0</v>
      </c>
      <c r="T21" s="172">
        <f>SUM(T7:T20)</f>
        <v>1619912.1140000001</v>
      </c>
      <c r="U21" s="172">
        <f t="shared" si="1"/>
        <v>2025021.1259999999</v>
      </c>
      <c r="V21" s="173">
        <f t="shared" si="1"/>
        <v>3644933.2399999998</v>
      </c>
    </row>
    <row r="24" spans="1:22">
      <c r="C24" s="33"/>
      <c r="D24" s="33"/>
      <c r="E24" s="33"/>
    </row>
    <row r="25" spans="1:22">
      <c r="A25" s="29"/>
      <c r="B25" s="29"/>
      <c r="D25" s="33"/>
      <c r="E25" s="33"/>
    </row>
    <row r="26" spans="1:22">
      <c r="A26" s="29"/>
      <c r="B26" s="49"/>
      <c r="D26" s="33"/>
      <c r="E26" s="33"/>
    </row>
    <row r="27" spans="1:22">
      <c r="A27" s="29"/>
      <c r="B27" s="29"/>
      <c r="D27" s="33"/>
      <c r="E27" s="33"/>
    </row>
    <row r="28" spans="1:22">
      <c r="A28" s="29"/>
      <c r="B28" s="49"/>
      <c r="D28" s="33"/>
      <c r="E28" s="33"/>
    </row>
  </sheetData>
  <mergeCells count="5">
    <mergeCell ref="C5:L5"/>
    <mergeCell ref="M5:S5"/>
    <mergeCell ref="V5:V6"/>
    <mergeCell ref="T5:T6"/>
    <mergeCell ref="U5:U6"/>
  </mergeCells>
  <pageMargins left="0.7" right="0.7" top="0.75" bottom="0.75" header="0.3" footer="0.3"/>
  <pageSetup scale="1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8"/>
  <sheetViews>
    <sheetView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defaultColWidth="9.21875" defaultRowHeight="13.8"/>
  <cols>
    <col min="1" max="1" width="10.5546875" style="1" bestFit="1" customWidth="1"/>
    <col min="2" max="2" width="101.77734375" style="1" customWidth="1"/>
    <col min="3" max="3" width="13.77734375" style="1" customWidth="1"/>
    <col min="4" max="4" width="14.77734375" style="1" bestFit="1" customWidth="1"/>
    <col min="5" max="5" width="17.77734375" style="1" customWidth="1"/>
    <col min="6" max="6" width="15.77734375" style="1" customWidth="1"/>
    <col min="7" max="7" width="17.44140625" style="1" customWidth="1"/>
    <col min="8" max="8" width="15.21875" style="1" customWidth="1"/>
    <col min="9" max="16384" width="9.21875" style="8"/>
  </cols>
  <sheetData>
    <row r="1" spans="1:9">
      <c r="A1" s="1" t="s">
        <v>108</v>
      </c>
      <c r="B1" s="1" t="str">
        <f>Info!C2</f>
        <v>სს " პაშა ბანკი საქართველო"</v>
      </c>
    </row>
    <row r="2" spans="1:9">
      <c r="A2" s="1" t="s">
        <v>109</v>
      </c>
      <c r="B2" s="326">
        <f>'1. key ratios'!B2</f>
        <v>45382</v>
      </c>
    </row>
    <row r="4" spans="1:9" ht="14.4" thickBot="1">
      <c r="A4" s="1" t="s">
        <v>261</v>
      </c>
      <c r="B4" s="23" t="s">
        <v>296</v>
      </c>
    </row>
    <row r="5" spans="1:9">
      <c r="A5" s="53"/>
      <c r="B5" s="85"/>
      <c r="C5" s="89" t="s">
        <v>0</v>
      </c>
      <c r="D5" s="89" t="s">
        <v>1</v>
      </c>
      <c r="E5" s="89" t="s">
        <v>2</v>
      </c>
      <c r="F5" s="89" t="s">
        <v>3</v>
      </c>
      <c r="G5" s="184" t="s">
        <v>4</v>
      </c>
      <c r="H5" s="90" t="s">
        <v>5</v>
      </c>
      <c r="I5" s="18"/>
    </row>
    <row r="6" spans="1:9" ht="15" customHeight="1">
      <c r="A6" s="84"/>
      <c r="B6" s="16"/>
      <c r="C6" s="762" t="s">
        <v>288</v>
      </c>
      <c r="D6" s="773" t="s">
        <v>309</v>
      </c>
      <c r="E6" s="774"/>
      <c r="F6" s="762" t="s">
        <v>315</v>
      </c>
      <c r="G6" s="762" t="s">
        <v>316</v>
      </c>
      <c r="H6" s="771" t="s">
        <v>290</v>
      </c>
      <c r="I6" s="18"/>
    </row>
    <row r="7" spans="1:9" ht="69">
      <c r="A7" s="84"/>
      <c r="B7" s="16"/>
      <c r="C7" s="763"/>
      <c r="D7" s="187" t="s">
        <v>291</v>
      </c>
      <c r="E7" s="187" t="s">
        <v>289</v>
      </c>
      <c r="F7" s="763"/>
      <c r="G7" s="763"/>
      <c r="H7" s="772"/>
      <c r="I7" s="18"/>
    </row>
    <row r="8" spans="1:9">
      <c r="A8" s="45">
        <v>1</v>
      </c>
      <c r="B8" s="104" t="s">
        <v>134</v>
      </c>
      <c r="C8" s="166">
        <v>38053160.683299996</v>
      </c>
      <c r="D8" s="166"/>
      <c r="E8" s="166"/>
      <c r="F8" s="166">
        <v>31848252.793299999</v>
      </c>
      <c r="G8" s="183">
        <v>31848252.793299999</v>
      </c>
      <c r="H8" s="190">
        <f>G8/(C8+E8)</f>
        <v>0.8369410640645395</v>
      </c>
    </row>
    <row r="9" spans="1:9" ht="15" customHeight="1">
      <c r="A9" s="45">
        <v>2</v>
      </c>
      <c r="B9" s="104" t="s">
        <v>135</v>
      </c>
      <c r="C9" s="166">
        <v>0</v>
      </c>
      <c r="D9" s="166"/>
      <c r="E9" s="166"/>
      <c r="F9" s="166">
        <v>0</v>
      </c>
      <c r="G9" s="183">
        <v>0</v>
      </c>
      <c r="H9" s="190" t="e">
        <f t="shared" ref="H9:H21" si="0">G9/(C9+E9)</f>
        <v>#DIV/0!</v>
      </c>
    </row>
    <row r="10" spans="1:9">
      <c r="A10" s="45">
        <v>3</v>
      </c>
      <c r="B10" s="104" t="s">
        <v>136</v>
      </c>
      <c r="C10" s="166">
        <v>0</v>
      </c>
      <c r="D10" s="166"/>
      <c r="E10" s="166"/>
      <c r="F10" s="166">
        <v>0</v>
      </c>
      <c r="G10" s="183">
        <v>0</v>
      </c>
      <c r="H10" s="190" t="e">
        <f t="shared" si="0"/>
        <v>#DIV/0!</v>
      </c>
    </row>
    <row r="11" spans="1:9">
      <c r="A11" s="45">
        <v>4</v>
      </c>
      <c r="B11" s="104" t="s">
        <v>137</v>
      </c>
      <c r="C11" s="166">
        <v>0</v>
      </c>
      <c r="D11" s="166"/>
      <c r="E11" s="166"/>
      <c r="F11" s="166">
        <v>0</v>
      </c>
      <c r="G11" s="183">
        <v>0</v>
      </c>
      <c r="H11" s="190" t="e">
        <f t="shared" si="0"/>
        <v>#DIV/0!</v>
      </c>
    </row>
    <row r="12" spans="1:9">
      <c r="A12" s="45">
        <v>5</v>
      </c>
      <c r="B12" s="104" t="s">
        <v>949</v>
      </c>
      <c r="C12" s="166">
        <v>0</v>
      </c>
      <c r="D12" s="166"/>
      <c r="E12" s="166"/>
      <c r="F12" s="166">
        <v>0</v>
      </c>
      <c r="G12" s="183">
        <v>0</v>
      </c>
      <c r="H12" s="190" t="e">
        <f t="shared" si="0"/>
        <v>#DIV/0!</v>
      </c>
    </row>
    <row r="13" spans="1:9">
      <c r="A13" s="45">
        <v>6</v>
      </c>
      <c r="B13" s="104" t="s">
        <v>138</v>
      </c>
      <c r="C13" s="166">
        <v>146757129.33850002</v>
      </c>
      <c r="D13" s="166">
        <v>596595.18900000001</v>
      </c>
      <c r="E13" s="166">
        <v>298297.5944</v>
      </c>
      <c r="F13" s="166">
        <v>71345479.480690002</v>
      </c>
      <c r="G13" s="183">
        <v>71345479.480690002</v>
      </c>
      <c r="H13" s="190">
        <f t="shared" si="0"/>
        <v>0.48516046615025138</v>
      </c>
    </row>
    <row r="14" spans="1:9">
      <c r="A14" s="45">
        <v>7</v>
      </c>
      <c r="B14" s="104" t="s">
        <v>71</v>
      </c>
      <c r="C14" s="166">
        <v>270367625.8775</v>
      </c>
      <c r="D14" s="166">
        <v>86008386.239999995</v>
      </c>
      <c r="E14" s="166">
        <v>45137660.530000001</v>
      </c>
      <c r="F14" s="166">
        <v>315505286.40750003</v>
      </c>
      <c r="G14" s="183">
        <v>311925867.63099998</v>
      </c>
      <c r="H14" s="190">
        <f>G14/(C14+E14)</f>
        <v>0.98865496417744025</v>
      </c>
    </row>
    <row r="15" spans="1:9">
      <c r="A15" s="45">
        <v>8</v>
      </c>
      <c r="B15" s="104" t="s">
        <v>72</v>
      </c>
      <c r="C15" s="166">
        <v>509941.00180000003</v>
      </c>
      <c r="D15" s="166">
        <v>9947.4599999999991</v>
      </c>
      <c r="E15" s="166">
        <v>4323.6499999999996</v>
      </c>
      <c r="F15" s="166">
        <v>511479.29292500002</v>
      </c>
      <c r="G15" s="183">
        <v>445964.829425</v>
      </c>
      <c r="H15" s="190">
        <f t="shared" si="0"/>
        <v>0.86718935058837732</v>
      </c>
    </row>
    <row r="16" spans="1:9">
      <c r="A16" s="45">
        <v>9</v>
      </c>
      <c r="B16" s="104" t="s">
        <v>950</v>
      </c>
      <c r="C16" s="166">
        <v>0</v>
      </c>
      <c r="D16" s="166">
        <v>0</v>
      </c>
      <c r="E16" s="166">
        <v>0</v>
      </c>
      <c r="F16" s="166">
        <v>0</v>
      </c>
      <c r="G16" s="183">
        <v>0</v>
      </c>
      <c r="H16" s="190" t="e">
        <f t="shared" si="0"/>
        <v>#DIV/0!</v>
      </c>
    </row>
    <row r="17" spans="1:8">
      <c r="A17" s="45">
        <v>10</v>
      </c>
      <c r="B17" s="104" t="s">
        <v>67</v>
      </c>
      <c r="C17" s="166">
        <v>38664230.094099998</v>
      </c>
      <c r="D17" s="166"/>
      <c r="E17" s="166"/>
      <c r="F17" s="166">
        <v>38664186.334775001</v>
      </c>
      <c r="G17" s="183">
        <v>38664186.334775001</v>
      </c>
      <c r="H17" s="190">
        <f t="shared" si="0"/>
        <v>0.99999886822200024</v>
      </c>
    </row>
    <row r="18" spans="1:8">
      <c r="A18" s="45">
        <v>11</v>
      </c>
      <c r="B18" s="104" t="s">
        <v>68</v>
      </c>
      <c r="C18" s="166">
        <v>0</v>
      </c>
      <c r="D18" s="166"/>
      <c r="E18" s="166"/>
      <c r="F18" s="166">
        <v>0</v>
      </c>
      <c r="G18" s="183">
        <v>0</v>
      </c>
      <c r="H18" s="190" t="e">
        <f t="shared" si="0"/>
        <v>#DIV/0!</v>
      </c>
    </row>
    <row r="19" spans="1:8">
      <c r="A19" s="45">
        <v>12</v>
      </c>
      <c r="B19" s="104" t="s">
        <v>69</v>
      </c>
      <c r="C19" s="166">
        <v>0</v>
      </c>
      <c r="D19" s="166"/>
      <c r="E19" s="166"/>
      <c r="F19" s="166">
        <v>0</v>
      </c>
      <c r="G19" s="183">
        <v>0</v>
      </c>
      <c r="H19" s="190" t="e">
        <f t="shared" si="0"/>
        <v>#DIV/0!</v>
      </c>
    </row>
    <row r="20" spans="1:8">
      <c r="A20" s="45">
        <v>13</v>
      </c>
      <c r="B20" s="104" t="s">
        <v>70</v>
      </c>
      <c r="C20" s="166">
        <v>0</v>
      </c>
      <c r="D20" s="166"/>
      <c r="E20" s="166"/>
      <c r="F20" s="166">
        <v>0</v>
      </c>
      <c r="G20" s="183">
        <v>0</v>
      </c>
      <c r="H20" s="190" t="e">
        <f t="shared" si="0"/>
        <v>#DIV/0!</v>
      </c>
    </row>
    <row r="21" spans="1:8">
      <c r="A21" s="45">
        <v>14</v>
      </c>
      <c r="B21" s="104" t="s">
        <v>154</v>
      </c>
      <c r="C21" s="166">
        <v>26031244.314000003</v>
      </c>
      <c r="D21" s="166"/>
      <c r="E21" s="166"/>
      <c r="F21" s="166">
        <v>29976908.319599997</v>
      </c>
      <c r="G21" s="183">
        <v>29976908.319599997</v>
      </c>
      <c r="H21" s="190">
        <f t="shared" si="0"/>
        <v>1.1515741605743355</v>
      </c>
    </row>
    <row r="22" spans="1:8" ht="14.4" thickBot="1">
      <c r="A22" s="86"/>
      <c r="B22" s="91" t="s">
        <v>66</v>
      </c>
      <c r="C22" s="167">
        <f>SUM(C8:C21)</f>
        <v>520383331.30919999</v>
      </c>
      <c r="D22" s="167">
        <f>SUM(D8:D21)</f>
        <v>86614928.888999984</v>
      </c>
      <c r="E22" s="167">
        <f>SUM(E8:E21)</f>
        <v>45440281.774400003</v>
      </c>
      <c r="F22" s="167">
        <f>SUM(F8:F21)</f>
        <v>487851592.62879002</v>
      </c>
      <c r="G22" s="167">
        <f>SUM(G8:G21)</f>
        <v>484206659.38878989</v>
      </c>
      <c r="H22" s="191">
        <f>G22/(C22+E22)</f>
        <v>0.85575548314426508</v>
      </c>
    </row>
    <row r="28" spans="1:8" ht="10.5" customHeight="1"/>
  </sheetData>
  <mergeCells count="5">
    <mergeCell ref="C6:C7"/>
    <mergeCell ref="F6:F7"/>
    <mergeCell ref="G6:G7"/>
    <mergeCell ref="H6:H7"/>
    <mergeCell ref="D6:E6"/>
  </mergeCells>
  <pageMargins left="0.7" right="0.7" top="0.75" bottom="0.75" header="0.3" footer="0.3"/>
  <pageSetup scale="4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zoomScale="85" zoomScaleNormal="85" workbookViewId="0">
      <pane xSplit="2" ySplit="6" topLeftCell="C7" activePane="bottomRight" state="frozen"/>
      <selection activeCell="A3" sqref="A3"/>
      <selection pane="topRight" activeCell="A3" sqref="A3"/>
      <selection pane="bottomLeft" activeCell="A3" sqref="A3"/>
      <selection pane="bottomRight" activeCell="A3" sqref="A3"/>
    </sheetView>
  </sheetViews>
  <sheetFormatPr defaultColWidth="9.21875" defaultRowHeight="13.8"/>
  <cols>
    <col min="1" max="1" width="10.5546875" style="1" bestFit="1" customWidth="1"/>
    <col min="2" max="2" width="104.21875" style="1" customWidth="1"/>
    <col min="3" max="11" width="12.77734375" style="1" customWidth="1"/>
    <col min="12" max="16384" width="9.21875" style="1"/>
  </cols>
  <sheetData>
    <row r="1" spans="1:11">
      <c r="A1" s="1" t="s">
        <v>108</v>
      </c>
      <c r="B1" s="1" t="str">
        <f>Info!C2</f>
        <v>სს " პაშა ბანკი საქართველო"</v>
      </c>
    </row>
    <row r="2" spans="1:11">
      <c r="A2" s="1" t="s">
        <v>109</v>
      </c>
      <c r="B2" s="326">
        <f>'1. key ratios'!B2</f>
        <v>45382</v>
      </c>
    </row>
    <row r="4" spans="1:11" ht="14.4" thickBot="1">
      <c r="A4" s="1" t="s">
        <v>352</v>
      </c>
      <c r="B4" s="23" t="s">
        <v>351</v>
      </c>
    </row>
    <row r="5" spans="1:11" ht="30" customHeight="1">
      <c r="A5" s="778"/>
      <c r="B5" s="779"/>
      <c r="C5" s="776" t="s">
        <v>384</v>
      </c>
      <c r="D5" s="776"/>
      <c r="E5" s="776"/>
      <c r="F5" s="776" t="s">
        <v>385</v>
      </c>
      <c r="G5" s="776"/>
      <c r="H5" s="776"/>
      <c r="I5" s="776" t="s">
        <v>386</v>
      </c>
      <c r="J5" s="776"/>
      <c r="K5" s="777"/>
    </row>
    <row r="6" spans="1:11">
      <c r="A6" s="218"/>
      <c r="B6" s="219"/>
      <c r="C6" s="220" t="s">
        <v>26</v>
      </c>
      <c r="D6" s="220" t="s">
        <v>90</v>
      </c>
      <c r="E6" s="220" t="s">
        <v>66</v>
      </c>
      <c r="F6" s="220" t="s">
        <v>26</v>
      </c>
      <c r="G6" s="220" t="s">
        <v>90</v>
      </c>
      <c r="H6" s="220" t="s">
        <v>66</v>
      </c>
      <c r="I6" s="220" t="s">
        <v>26</v>
      </c>
      <c r="J6" s="220" t="s">
        <v>90</v>
      </c>
      <c r="K6" s="222" t="s">
        <v>66</v>
      </c>
    </row>
    <row r="7" spans="1:11">
      <c r="A7" s="223" t="s">
        <v>322</v>
      </c>
      <c r="B7" s="217"/>
      <c r="C7" s="217"/>
      <c r="D7" s="217"/>
      <c r="E7" s="217"/>
      <c r="F7" s="217"/>
      <c r="G7" s="217"/>
      <c r="H7" s="217"/>
      <c r="I7" s="217"/>
      <c r="J7" s="217"/>
      <c r="K7" s="224"/>
    </row>
    <row r="8" spans="1:11">
      <c r="A8" s="216">
        <v>1</v>
      </c>
      <c r="B8" s="197" t="s">
        <v>322</v>
      </c>
      <c r="C8" s="688"/>
      <c r="D8" s="688"/>
      <c r="E8" s="688"/>
      <c r="F8" s="689">
        <v>63801143.680696696</v>
      </c>
      <c r="G8" s="689">
        <v>75901505.462871388</v>
      </c>
      <c r="H8" s="689">
        <v>139702649.14356813</v>
      </c>
      <c r="I8" s="689">
        <v>45095226.34285716</v>
      </c>
      <c r="J8" s="689">
        <v>32247036.001473617</v>
      </c>
      <c r="K8" s="690">
        <v>77342262.344330758</v>
      </c>
    </row>
    <row r="9" spans="1:11">
      <c r="A9" s="223" t="s">
        <v>323</v>
      </c>
      <c r="B9" s="217"/>
      <c r="C9" s="691"/>
      <c r="D9" s="691"/>
      <c r="E9" s="691"/>
      <c r="F9" s="691"/>
      <c r="G9" s="691"/>
      <c r="H9" s="691"/>
      <c r="I9" s="691"/>
      <c r="J9" s="691"/>
      <c r="K9" s="692"/>
    </row>
    <row r="10" spans="1:11">
      <c r="A10" s="225">
        <v>2</v>
      </c>
      <c r="B10" s="198" t="s">
        <v>324</v>
      </c>
      <c r="C10" s="345">
        <v>20148638.137824181</v>
      </c>
      <c r="D10" s="693">
        <v>35675979.991517574</v>
      </c>
      <c r="E10" s="693">
        <v>55824618.129341796</v>
      </c>
      <c r="F10" s="693">
        <v>2212321.0717576928</v>
      </c>
      <c r="G10" s="693">
        <v>9337413.8493898995</v>
      </c>
      <c r="H10" s="693">
        <v>11549734.921147596</v>
      </c>
      <c r="I10" s="693">
        <v>577030.22369230771</v>
      </c>
      <c r="J10" s="693">
        <v>2354180.1764465407</v>
      </c>
      <c r="K10" s="694">
        <v>2931210.4001388466</v>
      </c>
    </row>
    <row r="11" spans="1:11">
      <c r="A11" s="225">
        <v>3</v>
      </c>
      <c r="B11" s="198" t="s">
        <v>325</v>
      </c>
      <c r="C11" s="345">
        <v>99789502.409318715</v>
      </c>
      <c r="D11" s="693">
        <v>236294224.10945168</v>
      </c>
      <c r="E11" s="693">
        <v>336083726.5187704</v>
      </c>
      <c r="F11" s="693">
        <v>38576964.583653837</v>
      </c>
      <c r="G11" s="693">
        <v>36434343.246310495</v>
      </c>
      <c r="H11" s="693">
        <v>75011307.82996437</v>
      </c>
      <c r="I11" s="693">
        <v>33217344.300374724</v>
      </c>
      <c r="J11" s="693">
        <v>30684191.11150248</v>
      </c>
      <c r="K11" s="694">
        <v>63901535.411877193</v>
      </c>
    </row>
    <row r="12" spans="1:11">
      <c r="A12" s="225">
        <v>4</v>
      </c>
      <c r="B12" s="198" t="s">
        <v>326</v>
      </c>
      <c r="C12" s="345">
        <v>0</v>
      </c>
      <c r="D12" s="693">
        <v>0</v>
      </c>
      <c r="E12" s="693">
        <v>0</v>
      </c>
      <c r="F12" s="693">
        <v>0</v>
      </c>
      <c r="G12" s="693">
        <v>0</v>
      </c>
      <c r="H12" s="693">
        <v>0</v>
      </c>
      <c r="I12" s="693">
        <v>0</v>
      </c>
      <c r="J12" s="693">
        <v>0</v>
      </c>
      <c r="K12" s="694">
        <v>0</v>
      </c>
    </row>
    <row r="13" spans="1:11">
      <c r="A13" s="225">
        <v>5</v>
      </c>
      <c r="B13" s="198" t="s">
        <v>327</v>
      </c>
      <c r="C13" s="345">
        <v>108232762.97999999</v>
      </c>
      <c r="D13" s="693">
        <v>48027727.30096595</v>
      </c>
      <c r="E13" s="693">
        <v>156260490.28096592</v>
      </c>
      <c r="F13" s="693">
        <v>22728418.451840661</v>
      </c>
      <c r="G13" s="693">
        <v>10440728.106807061</v>
      </c>
      <c r="H13" s="693">
        <v>33169146.558647733</v>
      </c>
      <c r="I13" s="693">
        <v>7693841.9639505474</v>
      </c>
      <c r="J13" s="693">
        <v>3934711.1718409867</v>
      </c>
      <c r="K13" s="694">
        <v>11628553.135791544</v>
      </c>
    </row>
    <row r="14" spans="1:11">
      <c r="A14" s="225">
        <v>6</v>
      </c>
      <c r="B14" s="198" t="s">
        <v>342</v>
      </c>
      <c r="C14" s="345">
        <v>0</v>
      </c>
      <c r="D14" s="693">
        <v>0</v>
      </c>
      <c r="E14" s="693">
        <v>0</v>
      </c>
      <c r="F14" s="693">
        <v>0</v>
      </c>
      <c r="G14" s="693">
        <v>0</v>
      </c>
      <c r="H14" s="693">
        <v>0</v>
      </c>
      <c r="I14" s="693">
        <v>0</v>
      </c>
      <c r="J14" s="693">
        <v>0</v>
      </c>
      <c r="K14" s="694">
        <v>0</v>
      </c>
    </row>
    <row r="15" spans="1:11">
      <c r="A15" s="225">
        <v>7</v>
      </c>
      <c r="B15" s="198" t="s">
        <v>329</v>
      </c>
      <c r="C15" s="345">
        <v>7939533.6514285728</v>
      </c>
      <c r="D15" s="693">
        <v>7308084.8592428612</v>
      </c>
      <c r="E15" s="693">
        <v>15247618.510671433</v>
      </c>
      <c r="F15" s="693">
        <v>1729702.8861538456</v>
      </c>
      <c r="G15" s="693">
        <v>1709275.6791120882</v>
      </c>
      <c r="H15" s="693">
        <v>3438978.5652659326</v>
      </c>
      <c r="I15" s="693">
        <v>1729702.8861538456</v>
      </c>
      <c r="J15" s="693">
        <v>1709275.6791120882</v>
      </c>
      <c r="K15" s="694">
        <v>3438978.5652659326</v>
      </c>
    </row>
    <row r="16" spans="1:11">
      <c r="A16" s="225">
        <v>8</v>
      </c>
      <c r="B16" s="199" t="s">
        <v>330</v>
      </c>
      <c r="C16" s="345">
        <v>236110437.17857146</v>
      </c>
      <c r="D16" s="693">
        <v>327306016.26117808</v>
      </c>
      <c r="E16" s="693">
        <v>563416453.43974948</v>
      </c>
      <c r="F16" s="693">
        <v>65247406.993406035</v>
      </c>
      <c r="G16" s="693">
        <v>57921760.88161955</v>
      </c>
      <c r="H16" s="693">
        <v>123169167.87502564</v>
      </c>
      <c r="I16" s="693">
        <v>43217919.374171421</v>
      </c>
      <c r="J16" s="693">
        <v>38682358.138902098</v>
      </c>
      <c r="K16" s="694">
        <v>81900277.513073519</v>
      </c>
    </row>
    <row r="17" spans="1:11">
      <c r="A17" s="223" t="s">
        <v>331</v>
      </c>
      <c r="B17" s="217"/>
      <c r="C17" s="691"/>
      <c r="D17" s="691"/>
      <c r="E17" s="691"/>
      <c r="F17" s="691"/>
      <c r="G17" s="691"/>
      <c r="H17" s="691"/>
      <c r="I17" s="691"/>
      <c r="J17" s="691"/>
      <c r="K17" s="692"/>
    </row>
    <row r="18" spans="1:11">
      <c r="A18" s="225">
        <v>9</v>
      </c>
      <c r="B18" s="198" t="s">
        <v>332</v>
      </c>
      <c r="C18" s="345">
        <v>0</v>
      </c>
      <c r="D18" s="693">
        <v>0</v>
      </c>
      <c r="E18" s="693">
        <v>0</v>
      </c>
      <c r="F18" s="693">
        <v>0</v>
      </c>
      <c r="G18" s="693">
        <v>0</v>
      </c>
      <c r="H18" s="693">
        <v>0</v>
      </c>
      <c r="I18" s="693">
        <v>0</v>
      </c>
      <c r="J18" s="693">
        <v>0</v>
      </c>
      <c r="K18" s="694">
        <v>0</v>
      </c>
    </row>
    <row r="19" spans="1:11">
      <c r="A19" s="225">
        <v>10</v>
      </c>
      <c r="B19" s="198" t="s">
        <v>333</v>
      </c>
      <c r="C19" s="345">
        <v>151662292.32542974</v>
      </c>
      <c r="D19" s="693">
        <v>216219629.72166812</v>
      </c>
      <c r="E19" s="693">
        <v>367881922.04709774</v>
      </c>
      <c r="F19" s="693">
        <v>21829083.342148345</v>
      </c>
      <c r="G19" s="693">
        <v>4723792.0657329671</v>
      </c>
      <c r="H19" s="693">
        <v>26552875.407881338</v>
      </c>
      <c r="I19" s="693">
        <v>41712637.97680112</v>
      </c>
      <c r="J19" s="693">
        <v>55790679.452232987</v>
      </c>
      <c r="K19" s="694">
        <v>97503317.429034069</v>
      </c>
    </row>
    <row r="20" spans="1:11">
      <c r="A20" s="225">
        <v>11</v>
      </c>
      <c r="B20" s="198" t="s">
        <v>334</v>
      </c>
      <c r="C20" s="345">
        <v>36346678.845869236</v>
      </c>
      <c r="D20" s="693">
        <v>7297978.840785712</v>
      </c>
      <c r="E20" s="693">
        <v>43644657.686654948</v>
      </c>
      <c r="F20" s="693">
        <v>605859.18901098904</v>
      </c>
      <c r="G20" s="693">
        <v>1576720.5976670329</v>
      </c>
      <c r="H20" s="693">
        <v>2182579.7866780213</v>
      </c>
      <c r="I20" s="693">
        <v>605859.18901098904</v>
      </c>
      <c r="J20" s="693">
        <v>1576720.5976670329</v>
      </c>
      <c r="K20" s="694">
        <v>2182579.7866780213</v>
      </c>
    </row>
    <row r="21" spans="1:11" ht="14.4" thickBot="1">
      <c r="A21" s="136">
        <v>12</v>
      </c>
      <c r="B21" s="226" t="s">
        <v>335</v>
      </c>
      <c r="C21" s="695">
        <v>188008971.17129898</v>
      </c>
      <c r="D21" s="696">
        <v>223517608.56245384</v>
      </c>
      <c r="E21" s="695">
        <v>411526579.73375267</v>
      </c>
      <c r="F21" s="696">
        <v>22434942.531159334</v>
      </c>
      <c r="G21" s="696">
        <v>6300512.6634</v>
      </c>
      <c r="H21" s="696">
        <v>28735455.194559358</v>
      </c>
      <c r="I21" s="696">
        <v>42318497.165812112</v>
      </c>
      <c r="J21" s="696">
        <v>57367400.049900018</v>
      </c>
      <c r="K21" s="697">
        <v>99685897.215712085</v>
      </c>
    </row>
    <row r="22" spans="1:11" ht="38.25" customHeight="1" thickBot="1">
      <c r="A22" s="214"/>
      <c r="B22" s="215"/>
      <c r="C22" s="215"/>
      <c r="D22" s="215"/>
      <c r="E22" s="215"/>
      <c r="F22" s="775" t="s">
        <v>336</v>
      </c>
      <c r="G22" s="776"/>
      <c r="H22" s="776"/>
      <c r="I22" s="775" t="s">
        <v>337</v>
      </c>
      <c r="J22" s="776"/>
      <c r="K22" s="777"/>
    </row>
    <row r="23" spans="1:11">
      <c r="A23" s="205">
        <v>13</v>
      </c>
      <c r="B23" s="200" t="s">
        <v>322</v>
      </c>
      <c r="C23" s="213"/>
      <c r="D23" s="213"/>
      <c r="E23" s="213"/>
      <c r="F23" s="201">
        <f t="shared" ref="F23:K23" si="0">F8</f>
        <v>63801143.680696696</v>
      </c>
      <c r="G23" s="201">
        <f t="shared" si="0"/>
        <v>75901505.462871388</v>
      </c>
      <c r="H23" s="201">
        <f t="shared" si="0"/>
        <v>139702649.14356813</v>
      </c>
      <c r="I23" s="201">
        <f t="shared" si="0"/>
        <v>45095226.34285716</v>
      </c>
      <c r="J23" s="201">
        <f t="shared" si="0"/>
        <v>32247036.001473617</v>
      </c>
      <c r="K23" s="206">
        <f t="shared" si="0"/>
        <v>77342262.344330758</v>
      </c>
    </row>
    <row r="24" spans="1:11" ht="14.4" thickBot="1">
      <c r="A24" s="207">
        <v>14</v>
      </c>
      <c r="B24" s="202" t="s">
        <v>338</v>
      </c>
      <c r="C24" s="227"/>
      <c r="D24" s="211"/>
      <c r="E24" s="212"/>
      <c r="F24" s="203">
        <f>MAX(F16-F21,F16*0.25)</f>
        <v>42812464.462246701</v>
      </c>
      <c r="G24" s="203">
        <f t="shared" ref="G24:H24" si="1">MAX(G16-G21,G16*0.25)</f>
        <v>51621248.218219548</v>
      </c>
      <c r="H24" s="203">
        <f t="shared" si="1"/>
        <v>94433712.680466294</v>
      </c>
      <c r="I24" s="203">
        <f>MAX(I16-I21,I16*0.25)</f>
        <v>10804479.843542855</v>
      </c>
      <c r="J24" s="203">
        <f t="shared" ref="J24:K24" si="2">MAX(J16-J21,J16*0.25)</f>
        <v>9670589.5347255245</v>
      </c>
      <c r="K24" s="208">
        <f t="shared" si="2"/>
        <v>20475069.37826838</v>
      </c>
    </row>
    <row r="25" spans="1:11" ht="14.4" thickBot="1">
      <c r="A25" s="209">
        <v>15</v>
      </c>
      <c r="B25" s="204" t="s">
        <v>339</v>
      </c>
      <c r="C25" s="210"/>
      <c r="D25" s="210"/>
      <c r="E25" s="210"/>
      <c r="F25" s="721">
        <f>F23/F24</f>
        <v>1.4902469288344387</v>
      </c>
      <c r="G25" s="721">
        <f t="shared" ref="G25:K25" si="3">G23/G24</f>
        <v>1.4703539353022115</v>
      </c>
      <c r="H25" s="721">
        <f t="shared" si="3"/>
        <v>1.4793726221087753</v>
      </c>
      <c r="I25" s="721">
        <f t="shared" si="3"/>
        <v>4.1737526466679178</v>
      </c>
      <c r="J25" s="721">
        <f t="shared" si="3"/>
        <v>3.3345470703393749</v>
      </c>
      <c r="K25" s="721">
        <f t="shared" si="3"/>
        <v>3.7773870708550321</v>
      </c>
    </row>
    <row r="28" spans="1:11" ht="41.4">
      <c r="B28" s="17" t="s">
        <v>383</v>
      </c>
    </row>
  </sheetData>
  <mergeCells count="6">
    <mergeCell ref="F22:H22"/>
    <mergeCell ref="I22:K22"/>
    <mergeCell ref="A5:B5"/>
    <mergeCell ref="C5:E5"/>
    <mergeCell ref="F5:H5"/>
    <mergeCell ref="I5:K5"/>
  </mergeCells>
  <pageMargins left="0.7" right="0.7" top="0.75" bottom="0.75" header="0.3" footer="0.3"/>
  <pageSetup scale="3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defaultColWidth="9.21875" defaultRowHeight="13.8"/>
  <cols>
    <col min="1" max="1" width="10.5546875" style="31" bestFit="1" customWidth="1"/>
    <col min="2" max="2" width="95" style="31" customWidth="1"/>
    <col min="3" max="3" width="12.5546875" style="31" bestFit="1" customWidth="1"/>
    <col min="4" max="4" width="10" style="31" bestFit="1" customWidth="1"/>
    <col min="5" max="5" width="18.21875" style="31" bestFit="1" customWidth="1"/>
    <col min="6" max="13" width="10.77734375" style="31" customWidth="1"/>
    <col min="14" max="14" width="31" style="31" bestFit="1" customWidth="1"/>
    <col min="15" max="16384" width="9.21875" style="8"/>
  </cols>
  <sheetData>
    <row r="1" spans="1:14">
      <c r="A1" s="1" t="s">
        <v>108</v>
      </c>
      <c r="B1" s="31" t="str">
        <f>Info!C2</f>
        <v>სს " პაშა ბანკი საქართველო"</v>
      </c>
    </row>
    <row r="2" spans="1:14" ht="14.25" customHeight="1">
      <c r="A2" s="31" t="s">
        <v>109</v>
      </c>
      <c r="B2" s="326">
        <f>'1. key ratios'!B2</f>
        <v>45382</v>
      </c>
    </row>
    <row r="3" spans="1:14" ht="14.25" customHeight="1"/>
    <row r="4" spans="1:14" ht="14.4" thickBot="1">
      <c r="A4" s="1" t="s">
        <v>262</v>
      </c>
      <c r="B4" s="47" t="s">
        <v>74</v>
      </c>
    </row>
    <row r="5" spans="1:14" s="19" customFormat="1">
      <c r="A5" s="100"/>
      <c r="B5" s="101"/>
      <c r="C5" s="102" t="s">
        <v>0</v>
      </c>
      <c r="D5" s="102" t="s">
        <v>1</v>
      </c>
      <c r="E5" s="102" t="s">
        <v>2</v>
      </c>
      <c r="F5" s="102" t="s">
        <v>3</v>
      </c>
      <c r="G5" s="102" t="s">
        <v>4</v>
      </c>
      <c r="H5" s="102" t="s">
        <v>5</v>
      </c>
      <c r="I5" s="102" t="s">
        <v>145</v>
      </c>
      <c r="J5" s="102" t="s">
        <v>146</v>
      </c>
      <c r="K5" s="102" t="s">
        <v>147</v>
      </c>
      <c r="L5" s="102" t="s">
        <v>148</v>
      </c>
      <c r="M5" s="102" t="s">
        <v>149</v>
      </c>
      <c r="N5" s="103" t="s">
        <v>150</v>
      </c>
    </row>
    <row r="6" spans="1:14" ht="41.4">
      <c r="A6" s="92"/>
      <c r="B6" s="57"/>
      <c r="C6" s="58" t="s">
        <v>84</v>
      </c>
      <c r="D6" s="59" t="s">
        <v>73</v>
      </c>
      <c r="E6" s="60" t="s">
        <v>83</v>
      </c>
      <c r="F6" s="61">
        <v>0</v>
      </c>
      <c r="G6" s="61">
        <v>0.2</v>
      </c>
      <c r="H6" s="61">
        <v>0.35</v>
      </c>
      <c r="I6" s="61">
        <v>0.5</v>
      </c>
      <c r="J6" s="61">
        <v>0.75</v>
      </c>
      <c r="K6" s="61">
        <v>1</v>
      </c>
      <c r="L6" s="61">
        <v>1.5</v>
      </c>
      <c r="M6" s="61">
        <v>2.5</v>
      </c>
      <c r="N6" s="93" t="s">
        <v>74</v>
      </c>
    </row>
    <row r="7" spans="1:14">
      <c r="A7" s="94">
        <v>1</v>
      </c>
      <c r="B7" s="62" t="s">
        <v>75</v>
      </c>
      <c r="C7" s="174">
        <f>SUM(C8:C13)</f>
        <v>97077109.570899993</v>
      </c>
      <c r="D7" s="57"/>
      <c r="E7" s="177">
        <f t="shared" ref="E7:M7" si="0">SUM(E8:E13)</f>
        <v>1941542.1914179998</v>
      </c>
      <c r="F7" s="174">
        <f>SUM(F8:F13)</f>
        <v>0</v>
      </c>
      <c r="G7" s="174">
        <f t="shared" si="0"/>
        <v>0</v>
      </c>
      <c r="H7" s="174">
        <f t="shared" si="0"/>
        <v>0</v>
      </c>
      <c r="I7" s="174">
        <f t="shared" si="0"/>
        <v>0</v>
      </c>
      <c r="J7" s="174">
        <f t="shared" si="0"/>
        <v>0</v>
      </c>
      <c r="K7" s="174">
        <f t="shared" si="0"/>
        <v>1941542.1913999999</v>
      </c>
      <c r="L7" s="174">
        <f t="shared" si="0"/>
        <v>0</v>
      </c>
      <c r="M7" s="174">
        <f t="shared" si="0"/>
        <v>0</v>
      </c>
      <c r="N7" s="95">
        <f>SUM(N8:N13)</f>
        <v>1941542.1913999999</v>
      </c>
    </row>
    <row r="8" spans="1:14">
      <c r="A8" s="94">
        <v>1.1000000000000001</v>
      </c>
      <c r="B8" s="63" t="s">
        <v>76</v>
      </c>
      <c r="C8" s="175">
        <v>97077109.570899993</v>
      </c>
      <c r="D8" s="64">
        <v>0.02</v>
      </c>
      <c r="E8" s="177">
        <f>C8*D8</f>
        <v>1941542.1914179998</v>
      </c>
      <c r="F8" s="175"/>
      <c r="G8" s="175"/>
      <c r="H8" s="175"/>
      <c r="I8" s="175"/>
      <c r="J8" s="175"/>
      <c r="K8" s="175">
        <v>1941542.1913999999</v>
      </c>
      <c r="L8" s="175"/>
      <c r="M8" s="175"/>
      <c r="N8" s="95">
        <f>SUMPRODUCT($F$6:$M$6,F8:M8)</f>
        <v>1941542.1913999999</v>
      </c>
    </row>
    <row r="9" spans="1:14">
      <c r="A9" s="94">
        <v>1.2</v>
      </c>
      <c r="B9" s="63" t="s">
        <v>77</v>
      </c>
      <c r="C9" s="175">
        <v>0</v>
      </c>
      <c r="D9" s="64">
        <v>0.05</v>
      </c>
      <c r="E9" s="177">
        <f>C9*D9</f>
        <v>0</v>
      </c>
      <c r="F9" s="175"/>
      <c r="G9" s="175"/>
      <c r="H9" s="175"/>
      <c r="I9" s="175"/>
      <c r="J9" s="175"/>
      <c r="K9" s="175"/>
      <c r="L9" s="175"/>
      <c r="M9" s="175"/>
      <c r="N9" s="95">
        <f t="shared" ref="N9:N12" si="1">SUMPRODUCT($F$6:$M$6,F9:M9)</f>
        <v>0</v>
      </c>
    </row>
    <row r="10" spans="1:14">
      <c r="A10" s="94">
        <v>1.3</v>
      </c>
      <c r="B10" s="63" t="s">
        <v>78</v>
      </c>
      <c r="C10" s="175">
        <v>0</v>
      </c>
      <c r="D10" s="64">
        <v>0.08</v>
      </c>
      <c r="E10" s="177">
        <f>C10*D10</f>
        <v>0</v>
      </c>
      <c r="F10" s="175"/>
      <c r="G10" s="175"/>
      <c r="H10" s="175"/>
      <c r="I10" s="175"/>
      <c r="J10" s="175"/>
      <c r="K10" s="175"/>
      <c r="L10" s="175"/>
      <c r="M10" s="175"/>
      <c r="N10" s="95">
        <f>SUMPRODUCT($F$6:$M$6,F10:M10)</f>
        <v>0</v>
      </c>
    </row>
    <row r="11" spans="1:14">
      <c r="A11" s="94">
        <v>1.4</v>
      </c>
      <c r="B11" s="63" t="s">
        <v>79</v>
      </c>
      <c r="C11" s="175">
        <v>0</v>
      </c>
      <c r="D11" s="64">
        <v>0.11</v>
      </c>
      <c r="E11" s="177">
        <f>C11*D11</f>
        <v>0</v>
      </c>
      <c r="F11" s="175"/>
      <c r="G11" s="175"/>
      <c r="H11" s="175"/>
      <c r="I11" s="175"/>
      <c r="J11" s="175"/>
      <c r="K11" s="175"/>
      <c r="L11" s="175"/>
      <c r="M11" s="175"/>
      <c r="N11" s="95">
        <f t="shared" si="1"/>
        <v>0</v>
      </c>
    </row>
    <row r="12" spans="1:14">
      <c r="A12" s="94">
        <v>1.5</v>
      </c>
      <c r="B12" s="63" t="s">
        <v>80</v>
      </c>
      <c r="C12" s="175">
        <v>0</v>
      </c>
      <c r="D12" s="64">
        <v>0.14000000000000001</v>
      </c>
      <c r="E12" s="177">
        <f>C12*D12</f>
        <v>0</v>
      </c>
      <c r="F12" s="175"/>
      <c r="G12" s="175"/>
      <c r="H12" s="175"/>
      <c r="I12" s="175"/>
      <c r="J12" s="175"/>
      <c r="K12" s="175"/>
      <c r="L12" s="175"/>
      <c r="M12" s="175"/>
      <c r="N12" s="95">
        <f t="shared" si="1"/>
        <v>0</v>
      </c>
    </row>
    <row r="13" spans="1:14">
      <c r="A13" s="94">
        <v>1.6</v>
      </c>
      <c r="B13" s="65" t="s">
        <v>81</v>
      </c>
      <c r="C13" s="175">
        <v>0</v>
      </c>
      <c r="D13" s="66"/>
      <c r="E13" s="175"/>
      <c r="F13" s="175"/>
      <c r="G13" s="175"/>
      <c r="H13" s="175"/>
      <c r="I13" s="175"/>
      <c r="J13" s="175"/>
      <c r="K13" s="175"/>
      <c r="L13" s="175"/>
      <c r="M13" s="175"/>
      <c r="N13" s="95">
        <f>SUMPRODUCT($F$6:$M$6,F13:M13)</f>
        <v>0</v>
      </c>
    </row>
    <row r="14" spans="1:14">
      <c r="A14" s="94">
        <v>2</v>
      </c>
      <c r="B14" s="67" t="s">
        <v>82</v>
      </c>
      <c r="C14" s="174">
        <f>SUM(C15:C20)</f>
        <v>0</v>
      </c>
      <c r="D14" s="57"/>
      <c r="E14" s="177">
        <f t="shared" ref="E14:M14" si="2">SUM(E15:E20)</f>
        <v>0</v>
      </c>
      <c r="F14" s="175">
        <f t="shared" si="2"/>
        <v>0</v>
      </c>
      <c r="G14" s="175">
        <f t="shared" si="2"/>
        <v>0</v>
      </c>
      <c r="H14" s="175">
        <f t="shared" si="2"/>
        <v>0</v>
      </c>
      <c r="I14" s="175">
        <f t="shared" si="2"/>
        <v>0</v>
      </c>
      <c r="J14" s="175">
        <f t="shared" si="2"/>
        <v>0</v>
      </c>
      <c r="K14" s="175">
        <f t="shared" si="2"/>
        <v>0</v>
      </c>
      <c r="L14" s="175">
        <f t="shared" si="2"/>
        <v>0</v>
      </c>
      <c r="M14" s="175">
        <f t="shared" si="2"/>
        <v>0</v>
      </c>
      <c r="N14" s="95">
        <f>SUM(N15:N20)</f>
        <v>0</v>
      </c>
    </row>
    <row r="15" spans="1:14">
      <c r="A15" s="94">
        <v>2.1</v>
      </c>
      <c r="B15" s="65" t="s">
        <v>76</v>
      </c>
      <c r="C15" s="175"/>
      <c r="D15" s="64">
        <v>5.0000000000000001E-3</v>
      </c>
      <c r="E15" s="177">
        <f>C15*D15</f>
        <v>0</v>
      </c>
      <c r="F15" s="175"/>
      <c r="G15" s="175"/>
      <c r="H15" s="175"/>
      <c r="I15" s="175"/>
      <c r="J15" s="175"/>
      <c r="K15" s="175"/>
      <c r="L15" s="175"/>
      <c r="M15" s="175"/>
      <c r="N15" s="95">
        <f>SUMPRODUCT($F$6:$M$6,F15:M15)</f>
        <v>0</v>
      </c>
    </row>
    <row r="16" spans="1:14">
      <c r="A16" s="94">
        <v>2.2000000000000002</v>
      </c>
      <c r="B16" s="65" t="s">
        <v>77</v>
      </c>
      <c r="C16" s="175"/>
      <c r="D16" s="64">
        <v>0.01</v>
      </c>
      <c r="E16" s="177">
        <f>C16*D16</f>
        <v>0</v>
      </c>
      <c r="F16" s="175"/>
      <c r="G16" s="175"/>
      <c r="H16" s="175"/>
      <c r="I16" s="175"/>
      <c r="J16" s="175"/>
      <c r="K16" s="175"/>
      <c r="L16" s="175"/>
      <c r="M16" s="175"/>
      <c r="N16" s="95">
        <f t="shared" ref="N16:N20" si="3">SUMPRODUCT($F$6:$M$6,F16:M16)</f>
        <v>0</v>
      </c>
    </row>
    <row r="17" spans="1:14">
      <c r="A17" s="94">
        <v>2.2999999999999998</v>
      </c>
      <c r="B17" s="65" t="s">
        <v>78</v>
      </c>
      <c r="C17" s="175"/>
      <c r="D17" s="64">
        <v>0.02</v>
      </c>
      <c r="E17" s="177">
        <f>C17*D17</f>
        <v>0</v>
      </c>
      <c r="F17" s="175"/>
      <c r="G17" s="175"/>
      <c r="H17" s="175"/>
      <c r="I17" s="175"/>
      <c r="J17" s="175"/>
      <c r="K17" s="175"/>
      <c r="L17" s="175"/>
      <c r="M17" s="175"/>
      <c r="N17" s="95">
        <f t="shared" si="3"/>
        <v>0</v>
      </c>
    </row>
    <row r="18" spans="1:14">
      <c r="A18" s="94">
        <v>2.4</v>
      </c>
      <c r="B18" s="65" t="s">
        <v>79</v>
      </c>
      <c r="C18" s="175"/>
      <c r="D18" s="64">
        <v>0.03</v>
      </c>
      <c r="E18" s="177">
        <f>C18*D18</f>
        <v>0</v>
      </c>
      <c r="F18" s="175"/>
      <c r="G18" s="175"/>
      <c r="H18" s="175"/>
      <c r="I18" s="175"/>
      <c r="J18" s="175"/>
      <c r="K18" s="175"/>
      <c r="L18" s="175"/>
      <c r="M18" s="175"/>
      <c r="N18" s="95">
        <f t="shared" si="3"/>
        <v>0</v>
      </c>
    </row>
    <row r="19" spans="1:14">
      <c r="A19" s="94">
        <v>2.5</v>
      </c>
      <c r="B19" s="65" t="s">
        <v>80</v>
      </c>
      <c r="C19" s="175"/>
      <c r="D19" s="64">
        <v>0.04</v>
      </c>
      <c r="E19" s="177">
        <f>C19*D19</f>
        <v>0</v>
      </c>
      <c r="F19" s="175"/>
      <c r="G19" s="175"/>
      <c r="H19" s="175"/>
      <c r="I19" s="175"/>
      <c r="J19" s="175"/>
      <c r="K19" s="175"/>
      <c r="L19" s="175"/>
      <c r="M19" s="175"/>
      <c r="N19" s="95">
        <f t="shared" si="3"/>
        <v>0</v>
      </c>
    </row>
    <row r="20" spans="1:14">
      <c r="A20" s="94">
        <v>2.6</v>
      </c>
      <c r="B20" s="65" t="s">
        <v>81</v>
      </c>
      <c r="C20" s="175"/>
      <c r="D20" s="66"/>
      <c r="E20" s="178"/>
      <c r="F20" s="175"/>
      <c r="G20" s="175"/>
      <c r="H20" s="175"/>
      <c r="I20" s="175"/>
      <c r="J20" s="175"/>
      <c r="K20" s="175"/>
      <c r="L20" s="175"/>
      <c r="M20" s="175"/>
      <c r="N20" s="95">
        <f t="shared" si="3"/>
        <v>0</v>
      </c>
    </row>
    <row r="21" spans="1:14" ht="14.4" thickBot="1">
      <c r="A21" s="96">
        <v>3</v>
      </c>
      <c r="B21" s="97" t="s">
        <v>66</v>
      </c>
      <c r="C21" s="176">
        <f>C14+C7</f>
        <v>97077109.570899993</v>
      </c>
      <c r="D21" s="98"/>
      <c r="E21" s="179">
        <f>E14+E7</f>
        <v>1941542.1914179998</v>
      </c>
      <c r="F21" s="180">
        <f>F7+F14</f>
        <v>0</v>
      </c>
      <c r="G21" s="180">
        <f t="shared" ref="G21:L21" si="4">G7+G14</f>
        <v>0</v>
      </c>
      <c r="H21" s="180">
        <f t="shared" si="4"/>
        <v>0</v>
      </c>
      <c r="I21" s="180">
        <f t="shared" si="4"/>
        <v>0</v>
      </c>
      <c r="J21" s="180">
        <f t="shared" si="4"/>
        <v>0</v>
      </c>
      <c r="K21" s="180">
        <f t="shared" si="4"/>
        <v>1941542.1913999999</v>
      </c>
      <c r="L21" s="180">
        <f t="shared" si="4"/>
        <v>0</v>
      </c>
      <c r="M21" s="180">
        <f>M7+M14</f>
        <v>0</v>
      </c>
      <c r="N21" s="99">
        <f>N14+N7</f>
        <v>1941542.1913999999</v>
      </c>
    </row>
    <row r="22" spans="1:14">
      <c r="E22" s="181"/>
      <c r="F22" s="181"/>
      <c r="G22" s="181"/>
      <c r="H22" s="181"/>
      <c r="I22" s="181"/>
      <c r="J22" s="181"/>
      <c r="K22" s="181"/>
      <c r="L22" s="181"/>
      <c r="M22" s="181"/>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pageSetup scale="3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Normal="100" workbookViewId="0">
      <selection activeCell="A3" sqref="A3"/>
    </sheetView>
  </sheetViews>
  <sheetFormatPr defaultRowHeight="14.4"/>
  <cols>
    <col min="1" max="1" width="11.44140625" customWidth="1"/>
    <col min="2" max="2" width="76.77734375" style="2" customWidth="1"/>
    <col min="3" max="3" width="22.77734375" customWidth="1"/>
  </cols>
  <sheetData>
    <row r="1" spans="1:3">
      <c r="A1" s="1" t="s">
        <v>108</v>
      </c>
      <c r="B1" t="str">
        <f>Info!C2</f>
        <v>სს " პაშა ბანკი საქართველო"</v>
      </c>
    </row>
    <row r="2" spans="1:3">
      <c r="A2" s="1" t="s">
        <v>109</v>
      </c>
      <c r="B2" s="326">
        <f>'1. key ratios'!B2</f>
        <v>45382</v>
      </c>
    </row>
    <row r="3" spans="1:3">
      <c r="A3" s="1"/>
      <c r="B3"/>
    </row>
    <row r="4" spans="1:3">
      <c r="A4" s="1" t="s">
        <v>428</v>
      </c>
      <c r="B4" t="s">
        <v>387</v>
      </c>
    </row>
    <row r="5" spans="1:3">
      <c r="A5" s="257"/>
      <c r="B5" s="257" t="s">
        <v>388</v>
      </c>
      <c r="C5" s="269"/>
    </row>
    <row r="6" spans="1:3">
      <c r="A6" s="258">
        <v>1</v>
      </c>
      <c r="B6" s="270" t="s">
        <v>440</v>
      </c>
      <c r="C6" s="271">
        <v>525721818.36919999</v>
      </c>
    </row>
    <row r="7" spans="1:3">
      <c r="A7" s="258">
        <v>2</v>
      </c>
      <c r="B7" s="270" t="s">
        <v>389</v>
      </c>
      <c r="C7" s="271">
        <v>-5338487.0599999996</v>
      </c>
    </row>
    <row r="8" spans="1:3">
      <c r="A8" s="259">
        <v>3</v>
      </c>
      <c r="B8" s="272" t="s">
        <v>390</v>
      </c>
      <c r="C8" s="273">
        <f>C6+C7</f>
        <v>520383331.30919999</v>
      </c>
    </row>
    <row r="9" spans="1:3">
      <c r="A9" s="260"/>
      <c r="B9" s="260" t="s">
        <v>391</v>
      </c>
      <c r="C9" s="274"/>
    </row>
    <row r="10" spans="1:3">
      <c r="A10" s="261">
        <v>4</v>
      </c>
      <c r="B10" s="275" t="s">
        <v>392</v>
      </c>
      <c r="C10" s="271"/>
    </row>
    <row r="11" spans="1:3">
      <c r="A11" s="261">
        <v>5</v>
      </c>
      <c r="B11" s="276" t="s">
        <v>393</v>
      </c>
      <c r="C11" s="271"/>
    </row>
    <row r="12" spans="1:3">
      <c r="A12" s="261" t="s">
        <v>394</v>
      </c>
      <c r="B12" s="270" t="s">
        <v>395</v>
      </c>
      <c r="C12" s="273">
        <f>'15. CCR'!E21</f>
        <v>1941542.1914179998</v>
      </c>
    </row>
    <row r="13" spans="1:3">
      <c r="A13" s="262">
        <v>6</v>
      </c>
      <c r="B13" s="277" t="s">
        <v>396</v>
      </c>
      <c r="C13" s="271"/>
    </row>
    <row r="14" spans="1:3">
      <c r="A14" s="262">
        <v>7</v>
      </c>
      <c r="B14" s="278" t="s">
        <v>397</v>
      </c>
      <c r="C14" s="271"/>
    </row>
    <row r="15" spans="1:3">
      <c r="A15" s="263">
        <v>8</v>
      </c>
      <c r="B15" s="270" t="s">
        <v>398</v>
      </c>
      <c r="C15" s="271"/>
    </row>
    <row r="16" spans="1:3" ht="22.8">
      <c r="A16" s="262">
        <v>9</v>
      </c>
      <c r="B16" s="278" t="s">
        <v>399</v>
      </c>
      <c r="C16" s="271"/>
    </row>
    <row r="17" spans="1:3">
      <c r="A17" s="262">
        <v>10</v>
      </c>
      <c r="B17" s="278" t="s">
        <v>400</v>
      </c>
      <c r="C17" s="271"/>
    </row>
    <row r="18" spans="1:3">
      <c r="A18" s="264">
        <v>11</v>
      </c>
      <c r="B18" s="279" t="s">
        <v>401</v>
      </c>
      <c r="C18" s="273">
        <f>SUM(C10:C17)</f>
        <v>1941542.1914179998</v>
      </c>
    </row>
    <row r="19" spans="1:3">
      <c r="A19" s="260"/>
      <c r="B19" s="260" t="s">
        <v>402</v>
      </c>
      <c r="C19" s="280"/>
    </row>
    <row r="20" spans="1:3">
      <c r="A20" s="262">
        <v>12</v>
      </c>
      <c r="B20" s="275" t="s">
        <v>403</v>
      </c>
      <c r="C20" s="271"/>
    </row>
    <row r="21" spans="1:3">
      <c r="A21" s="262">
        <v>13</v>
      </c>
      <c r="B21" s="275" t="s">
        <v>404</v>
      </c>
      <c r="C21" s="271"/>
    </row>
    <row r="22" spans="1:3">
      <c r="A22" s="262">
        <v>14</v>
      </c>
      <c r="B22" s="275" t="s">
        <v>405</v>
      </c>
      <c r="C22" s="271"/>
    </row>
    <row r="23" spans="1:3" ht="22.8">
      <c r="A23" s="262" t="s">
        <v>406</v>
      </c>
      <c r="B23" s="275" t="s">
        <v>407</v>
      </c>
      <c r="C23" s="271"/>
    </row>
    <row r="24" spans="1:3">
      <c r="A24" s="262">
        <v>15</v>
      </c>
      <c r="B24" s="275" t="s">
        <v>408</v>
      </c>
      <c r="C24" s="271"/>
    </row>
    <row r="25" spans="1:3">
      <c r="A25" s="262" t="s">
        <v>409</v>
      </c>
      <c r="B25" s="270" t="s">
        <v>410</v>
      </c>
      <c r="C25" s="271"/>
    </row>
    <row r="26" spans="1:3">
      <c r="A26" s="264">
        <v>16</v>
      </c>
      <c r="B26" s="279" t="s">
        <v>411</v>
      </c>
      <c r="C26" s="273">
        <f>SUM(C20:C25)</f>
        <v>0</v>
      </c>
    </row>
    <row r="27" spans="1:3">
      <c r="A27" s="260"/>
      <c r="B27" s="260" t="s">
        <v>412</v>
      </c>
      <c r="C27" s="274"/>
    </row>
    <row r="28" spans="1:3">
      <c r="A28" s="261">
        <v>17</v>
      </c>
      <c r="B28" s="270" t="s">
        <v>413</v>
      </c>
      <c r="C28" s="271">
        <v>86614928.885599986</v>
      </c>
    </row>
    <row r="29" spans="1:3">
      <c r="A29" s="261">
        <v>18</v>
      </c>
      <c r="B29" s="270" t="s">
        <v>414</v>
      </c>
      <c r="C29" s="271">
        <v>-41174517.093739994</v>
      </c>
    </row>
    <row r="30" spans="1:3">
      <c r="A30" s="264">
        <v>19</v>
      </c>
      <c r="B30" s="279" t="s">
        <v>415</v>
      </c>
      <c r="C30" s="273">
        <f>C28+C29</f>
        <v>45440411.791859992</v>
      </c>
    </row>
    <row r="31" spans="1:3">
      <c r="A31" s="265"/>
      <c r="B31" s="260" t="s">
        <v>416</v>
      </c>
      <c r="C31" s="274"/>
    </row>
    <row r="32" spans="1:3">
      <c r="A32" s="261" t="s">
        <v>417</v>
      </c>
      <c r="B32" s="275" t="s">
        <v>418</v>
      </c>
      <c r="C32" s="281"/>
    </row>
    <row r="33" spans="1:3">
      <c r="A33" s="261" t="s">
        <v>419</v>
      </c>
      <c r="B33" s="276" t="s">
        <v>420</v>
      </c>
      <c r="C33" s="281"/>
    </row>
    <row r="34" spans="1:3">
      <c r="A34" s="260"/>
      <c r="B34" s="260" t="s">
        <v>421</v>
      </c>
      <c r="C34" s="274"/>
    </row>
    <row r="35" spans="1:3">
      <c r="A35" s="264">
        <v>20</v>
      </c>
      <c r="B35" s="279" t="s">
        <v>86</v>
      </c>
      <c r="C35" s="273">
        <f>'1. key ratios'!C9</f>
        <v>107195535.98999999</v>
      </c>
    </row>
    <row r="36" spans="1:3">
      <c r="A36" s="264">
        <v>21</v>
      </c>
      <c r="B36" s="279" t="s">
        <v>422</v>
      </c>
      <c r="C36" s="273">
        <f>C8+C18+C26+C30</f>
        <v>567765285.29247797</v>
      </c>
    </row>
    <row r="37" spans="1:3">
      <c r="A37" s="266"/>
      <c r="B37" s="266" t="s">
        <v>387</v>
      </c>
      <c r="C37" s="274"/>
    </row>
    <row r="38" spans="1:3">
      <c r="A38" s="264">
        <v>22</v>
      </c>
      <c r="B38" s="279" t="s">
        <v>387</v>
      </c>
      <c r="C38" s="576">
        <f>IFERROR(C35/C36,0)</f>
        <v>0.18880255409553512</v>
      </c>
    </row>
    <row r="39" spans="1:3">
      <c r="A39" s="266"/>
      <c r="B39" s="266" t="s">
        <v>423</v>
      </c>
      <c r="C39" s="274"/>
    </row>
    <row r="40" spans="1:3">
      <c r="A40" s="267" t="s">
        <v>424</v>
      </c>
      <c r="B40" s="275" t="s">
        <v>425</v>
      </c>
      <c r="C40" s="281"/>
    </row>
    <row r="41" spans="1:3">
      <c r="A41" s="268" t="s">
        <v>426</v>
      </c>
      <c r="B41" s="276" t="s">
        <v>427</v>
      </c>
      <c r="C41" s="281"/>
    </row>
    <row r="43" spans="1:3">
      <c r="B43" s="292" t="s">
        <v>441</v>
      </c>
    </row>
  </sheetData>
  <pageMargins left="0.7" right="0.7" top="0.75" bottom="0.75" header="0.3" footer="0.3"/>
  <pageSetup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activeCell="A3" sqref="A3"/>
      <selection pane="topRight" activeCell="A3" sqref="A3"/>
      <selection pane="bottomLeft" activeCell="A3" sqref="A3"/>
      <selection pane="bottomRight" activeCell="A3" sqref="A3"/>
    </sheetView>
  </sheetViews>
  <sheetFormatPr defaultRowHeight="14.4"/>
  <cols>
    <col min="1" max="1" width="9.88671875" style="1" bestFit="1" customWidth="1"/>
    <col min="2" max="2" width="82.6640625" style="17" customWidth="1"/>
    <col min="3" max="7" width="17.5546875" style="1" customWidth="1"/>
  </cols>
  <sheetData>
    <row r="1" spans="1:7">
      <c r="A1" s="1" t="s">
        <v>108</v>
      </c>
      <c r="B1" s="1" t="str">
        <f>Info!C2</f>
        <v>სს " პაშა ბანკი საქართველო"</v>
      </c>
    </row>
    <row r="2" spans="1:7">
      <c r="A2" s="1" t="s">
        <v>109</v>
      </c>
      <c r="B2" s="326">
        <f>'1. key ratios'!B2</f>
        <v>45382</v>
      </c>
    </row>
    <row r="3" spans="1:7">
      <c r="B3" s="326"/>
    </row>
    <row r="4" spans="1:7" ht="15" thickBot="1">
      <c r="A4" s="1" t="s">
        <v>488</v>
      </c>
      <c r="B4" s="189" t="s">
        <v>453</v>
      </c>
    </row>
    <row r="5" spans="1:7">
      <c r="A5" s="330"/>
      <c r="B5" s="331"/>
      <c r="C5" s="780" t="s">
        <v>454</v>
      </c>
      <c r="D5" s="780"/>
      <c r="E5" s="780"/>
      <c r="F5" s="780"/>
      <c r="G5" s="781" t="s">
        <v>455</v>
      </c>
    </row>
    <row r="6" spans="1:7">
      <c r="A6" s="332"/>
      <c r="B6" s="333"/>
      <c r="C6" s="334" t="s">
        <v>456</v>
      </c>
      <c r="D6" s="334" t="s">
        <v>457</v>
      </c>
      <c r="E6" s="334" t="s">
        <v>458</v>
      </c>
      <c r="F6" s="334" t="s">
        <v>459</v>
      </c>
      <c r="G6" s="782"/>
    </row>
    <row r="7" spans="1:7">
      <c r="A7" s="335"/>
      <c r="B7" s="336" t="s">
        <v>460</v>
      </c>
      <c r="C7" s="337"/>
      <c r="D7" s="337"/>
      <c r="E7" s="337"/>
      <c r="F7" s="337"/>
      <c r="G7" s="338"/>
    </row>
    <row r="8" spans="1:7">
      <c r="A8" s="339">
        <v>1</v>
      </c>
      <c r="B8" s="340" t="s">
        <v>461</v>
      </c>
      <c r="C8" s="341">
        <f>SUM(C9:C10)</f>
        <v>123365859.92209199</v>
      </c>
      <c r="D8" s="341">
        <f>SUM(D9:D10)</f>
        <v>0</v>
      </c>
      <c r="E8" s="341">
        <f>SUM(E9:E10)</f>
        <v>0</v>
      </c>
      <c r="F8" s="341">
        <f>SUM(F9:F10)</f>
        <v>87110850.512208015</v>
      </c>
      <c r="G8" s="342">
        <f>SUM(G9:G10)</f>
        <v>210476710.43430001</v>
      </c>
    </row>
    <row r="9" spans="1:7">
      <c r="A9" s="339">
        <v>2</v>
      </c>
      <c r="B9" s="343" t="s">
        <v>85</v>
      </c>
      <c r="C9" s="341">
        <v>123365859.92209199</v>
      </c>
      <c r="D9" s="341"/>
      <c r="E9" s="341"/>
      <c r="F9" s="341"/>
      <c r="G9" s="342">
        <v>123365859.92209199</v>
      </c>
    </row>
    <row r="10" spans="1:7">
      <c r="A10" s="339">
        <v>3</v>
      </c>
      <c r="B10" s="343" t="s">
        <v>462</v>
      </c>
      <c r="C10" s="344"/>
      <c r="D10" s="344"/>
      <c r="E10" s="344"/>
      <c r="F10" s="341">
        <v>87110850.512208015</v>
      </c>
      <c r="G10" s="342">
        <v>87110850.512208015</v>
      </c>
    </row>
    <row r="11" spans="1:7" ht="27.6">
      <c r="A11" s="339">
        <v>4</v>
      </c>
      <c r="B11" s="340" t="s">
        <v>463</v>
      </c>
      <c r="C11" s="341">
        <f t="shared" ref="C11:F11" si="0">SUM(C12:C13)</f>
        <v>13834376.289999999</v>
      </c>
      <c r="D11" s="341">
        <f t="shared" si="0"/>
        <v>22212256.620200008</v>
      </c>
      <c r="E11" s="341">
        <f t="shared" si="0"/>
        <v>10121892.979899999</v>
      </c>
      <c r="F11" s="341">
        <f t="shared" si="0"/>
        <v>1011642.4138999996</v>
      </c>
      <c r="G11" s="342">
        <f>SUM(G12:G13)</f>
        <v>33760731.332550004</v>
      </c>
    </row>
    <row r="12" spans="1:7">
      <c r="A12" s="339">
        <v>5</v>
      </c>
      <c r="B12" s="343" t="s">
        <v>464</v>
      </c>
      <c r="C12" s="341">
        <v>3699797.79</v>
      </c>
      <c r="D12" s="345">
        <v>10253628.8101</v>
      </c>
      <c r="E12" s="341">
        <v>8010230.2744999994</v>
      </c>
      <c r="F12" s="341">
        <v>637781.30439999979</v>
      </c>
      <c r="G12" s="342">
        <v>21471366.270049997</v>
      </c>
    </row>
    <row r="13" spans="1:7">
      <c r="A13" s="339">
        <v>6</v>
      </c>
      <c r="B13" s="343" t="s">
        <v>465</v>
      </c>
      <c r="C13" s="341">
        <v>10134578.5</v>
      </c>
      <c r="D13" s="345">
        <v>11958627.810100008</v>
      </c>
      <c r="E13" s="341">
        <v>2111662.7054000003</v>
      </c>
      <c r="F13" s="341">
        <v>373861.10949999979</v>
      </c>
      <c r="G13" s="342">
        <v>12289365.062500004</v>
      </c>
    </row>
    <row r="14" spans="1:7">
      <c r="A14" s="339">
        <v>7</v>
      </c>
      <c r="B14" s="340" t="s">
        <v>466</v>
      </c>
      <c r="C14" s="341">
        <f t="shared" ref="C14:F14" si="1">SUM(C15:C16)</f>
        <v>96027935.960000008</v>
      </c>
      <c r="D14" s="341">
        <f t="shared" si="1"/>
        <v>55260888.907500029</v>
      </c>
      <c r="E14" s="341">
        <f t="shared" si="1"/>
        <v>92600456.83420001</v>
      </c>
      <c r="F14" s="341">
        <f t="shared" si="1"/>
        <v>300000.0040999949</v>
      </c>
      <c r="G14" s="342">
        <f>SUM(G15:G16)</f>
        <v>91665878.087900013</v>
      </c>
    </row>
    <row r="15" spans="1:7" ht="55.2">
      <c r="A15" s="339">
        <v>8</v>
      </c>
      <c r="B15" s="343" t="s">
        <v>467</v>
      </c>
      <c r="C15" s="341">
        <v>55917710.979999997</v>
      </c>
      <c r="D15" s="345">
        <v>34513588.357500032</v>
      </c>
      <c r="E15" s="341">
        <v>12599284.604200002</v>
      </c>
      <c r="F15" s="341">
        <v>300000.0040999949</v>
      </c>
      <c r="G15" s="342">
        <v>51665291.972900018</v>
      </c>
    </row>
    <row r="16" spans="1:7" ht="27.6">
      <c r="A16" s="339">
        <v>9</v>
      </c>
      <c r="B16" s="343" t="s">
        <v>468</v>
      </c>
      <c r="C16" s="341">
        <v>40110224.980000004</v>
      </c>
      <c r="D16" s="345">
        <v>20747300.550000001</v>
      </c>
      <c r="E16" s="341">
        <v>80001172.230000004</v>
      </c>
      <c r="F16" s="341">
        <v>0</v>
      </c>
      <c r="G16" s="342">
        <v>40000586.115000002</v>
      </c>
    </row>
    <row r="17" spans="1:7">
      <c r="A17" s="339">
        <v>10</v>
      </c>
      <c r="B17" s="340" t="s">
        <v>469</v>
      </c>
      <c r="C17" s="341"/>
      <c r="D17" s="345"/>
      <c r="E17" s="341"/>
      <c r="F17" s="341"/>
      <c r="G17" s="342"/>
    </row>
    <row r="18" spans="1:7">
      <c r="A18" s="339">
        <v>11</v>
      </c>
      <c r="B18" s="340" t="s">
        <v>89</v>
      </c>
      <c r="C18" s="341">
        <f>SUM(C19:C20)</f>
        <v>0</v>
      </c>
      <c r="D18" s="345">
        <f t="shared" ref="D18:G18" si="2">SUM(D19:D20)</f>
        <v>17466701.557800002</v>
      </c>
      <c r="E18" s="341">
        <f t="shared" si="2"/>
        <v>0</v>
      </c>
      <c r="F18" s="341">
        <f t="shared" si="2"/>
        <v>0</v>
      </c>
      <c r="G18" s="342">
        <f t="shared" si="2"/>
        <v>0</v>
      </c>
    </row>
    <row r="19" spans="1:7">
      <c r="A19" s="339">
        <v>12</v>
      </c>
      <c r="B19" s="343" t="s">
        <v>470</v>
      </c>
      <c r="C19" s="344"/>
      <c r="D19" s="345">
        <v>217162.89</v>
      </c>
      <c r="E19" s="341">
        <v>0</v>
      </c>
      <c r="F19" s="341">
        <v>0</v>
      </c>
      <c r="G19" s="342"/>
    </row>
    <row r="20" spans="1:7" ht="27.6">
      <c r="A20" s="339">
        <v>13</v>
      </c>
      <c r="B20" s="343" t="s">
        <v>471</v>
      </c>
      <c r="C20" s="341">
        <v>0</v>
      </c>
      <c r="D20" s="341">
        <v>17249538.667800002</v>
      </c>
      <c r="E20" s="341">
        <v>0</v>
      </c>
      <c r="F20" s="341">
        <v>0</v>
      </c>
      <c r="G20" s="342"/>
    </row>
    <row r="21" spans="1:7">
      <c r="A21" s="346">
        <v>14</v>
      </c>
      <c r="B21" s="347" t="s">
        <v>472</v>
      </c>
      <c r="C21" s="344"/>
      <c r="D21" s="344"/>
      <c r="E21" s="344"/>
      <c r="F21" s="344"/>
      <c r="G21" s="348">
        <f>SUM(G8,G11,G14,G17,G18)</f>
        <v>335903319.85475004</v>
      </c>
    </row>
    <row r="22" spans="1:7">
      <c r="A22" s="349"/>
      <c r="B22" s="369" t="s">
        <v>473</v>
      </c>
      <c r="C22" s="350"/>
      <c r="D22" s="351"/>
      <c r="E22" s="350"/>
      <c r="F22" s="350"/>
      <c r="G22" s="352"/>
    </row>
    <row r="23" spans="1:7">
      <c r="A23" s="339">
        <v>15</v>
      </c>
      <c r="B23" s="340" t="s">
        <v>322</v>
      </c>
      <c r="C23" s="353">
        <v>132935613.90544018</v>
      </c>
      <c r="D23" s="354">
        <v>44020600</v>
      </c>
      <c r="E23" s="353">
        <v>0</v>
      </c>
      <c r="F23" s="353">
        <v>0</v>
      </c>
      <c r="G23" s="342">
        <v>7103876.0653870096</v>
      </c>
    </row>
    <row r="24" spans="1:7">
      <c r="A24" s="339">
        <v>16</v>
      </c>
      <c r="B24" s="340" t="s">
        <v>474</v>
      </c>
      <c r="C24" s="341">
        <f>SUM(C25:C27,C29,C31)</f>
        <v>4051421.2404068001</v>
      </c>
      <c r="D24" s="345">
        <f t="shared" ref="D24:G24" si="3">SUM(D25:D27,D29,D31)</f>
        <v>34071455.845719874</v>
      </c>
      <c r="E24" s="341">
        <f t="shared" si="3"/>
        <v>44433813.723614976</v>
      </c>
      <c r="F24" s="341">
        <f t="shared" si="3"/>
        <v>209342959.01164615</v>
      </c>
      <c r="G24" s="342">
        <f t="shared" si="3"/>
        <v>222132729.68570811</v>
      </c>
    </row>
    <row r="25" spans="1:7" ht="27.6">
      <c r="A25" s="339">
        <v>17</v>
      </c>
      <c r="B25" s="343" t="s">
        <v>475</v>
      </c>
      <c r="C25" s="341">
        <v>0</v>
      </c>
      <c r="D25" s="345">
        <v>0</v>
      </c>
      <c r="E25" s="341">
        <v>0</v>
      </c>
      <c r="F25" s="341">
        <v>0</v>
      </c>
      <c r="G25" s="342"/>
    </row>
    <row r="26" spans="1:7" ht="27.6">
      <c r="A26" s="339">
        <v>18</v>
      </c>
      <c r="B26" s="343" t="s">
        <v>476</v>
      </c>
      <c r="C26" s="341">
        <v>4051421.2404068001</v>
      </c>
      <c r="D26" s="345">
        <v>15378097.225719869</v>
      </c>
      <c r="E26" s="341">
        <v>22129505.769700248</v>
      </c>
      <c r="F26" s="341">
        <v>64754670.560549155</v>
      </c>
      <c r="G26" s="342">
        <v>78733851.215318277</v>
      </c>
    </row>
    <row r="27" spans="1:7">
      <c r="A27" s="339">
        <v>19</v>
      </c>
      <c r="B27" s="343" t="s">
        <v>477</v>
      </c>
      <c r="C27" s="341">
        <v>0</v>
      </c>
      <c r="D27" s="345">
        <v>18693358.620000001</v>
      </c>
      <c r="E27" s="341">
        <v>18319835.170000002</v>
      </c>
      <c r="F27" s="341">
        <v>131657021.89335676</v>
      </c>
      <c r="G27" s="342">
        <v>130415065.50435326</v>
      </c>
    </row>
    <row r="28" spans="1:7">
      <c r="A28" s="339">
        <v>20</v>
      </c>
      <c r="B28" s="355" t="s">
        <v>478</v>
      </c>
      <c r="C28" s="341"/>
      <c r="D28" s="345"/>
      <c r="E28" s="341"/>
      <c r="F28" s="341"/>
      <c r="G28" s="342"/>
    </row>
    <row r="29" spans="1:7">
      <c r="A29" s="339">
        <v>21</v>
      </c>
      <c r="B29" s="343" t="s">
        <v>479</v>
      </c>
      <c r="C29" s="341"/>
      <c r="D29" s="345"/>
      <c r="E29" s="341"/>
      <c r="F29" s="341"/>
      <c r="G29" s="342"/>
    </row>
    <row r="30" spans="1:7">
      <c r="A30" s="339">
        <v>22</v>
      </c>
      <c r="B30" s="355" t="s">
        <v>478</v>
      </c>
      <c r="C30" s="341"/>
      <c r="D30" s="345"/>
      <c r="E30" s="341"/>
      <c r="F30" s="341"/>
      <c r="G30" s="342"/>
    </row>
    <row r="31" spans="1:7" ht="27.6">
      <c r="A31" s="339">
        <v>23</v>
      </c>
      <c r="B31" s="343" t="s">
        <v>480</v>
      </c>
      <c r="C31" s="341">
        <v>0</v>
      </c>
      <c r="D31" s="345">
        <v>0</v>
      </c>
      <c r="E31" s="341">
        <v>3984472.78391473</v>
      </c>
      <c r="F31" s="341">
        <v>12931266.55774023</v>
      </c>
      <c r="G31" s="342">
        <v>12983812.96603656</v>
      </c>
    </row>
    <row r="32" spans="1:7">
      <c r="A32" s="339">
        <v>24</v>
      </c>
      <c r="B32" s="340" t="s">
        <v>481</v>
      </c>
      <c r="C32" s="341"/>
      <c r="D32" s="345"/>
      <c r="E32" s="341"/>
      <c r="F32" s="341"/>
      <c r="G32" s="342"/>
    </row>
    <row r="33" spans="1:7">
      <c r="A33" s="339">
        <v>25</v>
      </c>
      <c r="B33" s="340" t="s">
        <v>99</v>
      </c>
      <c r="C33" s="341">
        <f>SUM(C34:C35)</f>
        <v>3556501.9800000004</v>
      </c>
      <c r="D33" s="341">
        <f>SUM(D34:D35)</f>
        <v>20733524.869478002</v>
      </c>
      <c r="E33" s="341">
        <f>SUM(E34:E35)</f>
        <v>262434.32</v>
      </c>
      <c r="F33" s="341">
        <f>SUM(F34:F35)</f>
        <v>26598360.49698231</v>
      </c>
      <c r="G33" s="342">
        <f>SUM(G34:G35)</f>
        <v>41019017.096721306</v>
      </c>
    </row>
    <row r="34" spans="1:7">
      <c r="A34" s="339">
        <v>26</v>
      </c>
      <c r="B34" s="343" t="s">
        <v>482</v>
      </c>
      <c r="C34" s="344"/>
      <c r="D34" s="345">
        <v>732350.04999999993</v>
      </c>
      <c r="E34" s="341">
        <v>0</v>
      </c>
      <c r="F34" s="341">
        <v>0</v>
      </c>
      <c r="G34" s="342">
        <v>732350.04999999993</v>
      </c>
    </row>
    <row r="35" spans="1:7">
      <c r="A35" s="339">
        <v>27</v>
      </c>
      <c r="B35" s="343" t="s">
        <v>483</v>
      </c>
      <c r="C35" s="341">
        <v>3556501.9800000004</v>
      </c>
      <c r="D35" s="345">
        <v>20001174.819478001</v>
      </c>
      <c r="E35" s="341">
        <v>262434.32</v>
      </c>
      <c r="F35" s="341">
        <v>26598360.49698231</v>
      </c>
      <c r="G35" s="342">
        <v>40286667.046721309</v>
      </c>
    </row>
    <row r="36" spans="1:7">
      <c r="A36" s="339">
        <v>28</v>
      </c>
      <c r="B36" s="340" t="s">
        <v>484</v>
      </c>
      <c r="C36" s="341">
        <v>0</v>
      </c>
      <c r="D36" s="345">
        <v>11779910.532325499</v>
      </c>
      <c r="E36" s="341">
        <v>33549390.940000001</v>
      </c>
      <c r="F36" s="341">
        <v>41261128.520000003</v>
      </c>
      <c r="G36" s="342">
        <v>10133103.898616275</v>
      </c>
    </row>
    <row r="37" spans="1:7">
      <c r="A37" s="346">
        <v>29</v>
      </c>
      <c r="B37" s="347" t="s">
        <v>485</v>
      </c>
      <c r="C37" s="344"/>
      <c r="D37" s="344"/>
      <c r="E37" s="344"/>
      <c r="F37" s="344"/>
      <c r="G37" s="348">
        <f>SUM(G23:G24,G32:G33,G36)</f>
        <v>280388726.74643266</v>
      </c>
    </row>
    <row r="38" spans="1:7">
      <c r="A38" s="335"/>
      <c r="B38" s="356"/>
      <c r="C38" s="357"/>
      <c r="D38" s="357"/>
      <c r="E38" s="357"/>
      <c r="F38" s="357"/>
      <c r="G38" s="358"/>
    </row>
    <row r="39" spans="1:7" ht="15" thickBot="1">
      <c r="A39" s="359">
        <v>30</v>
      </c>
      <c r="B39" s="360" t="s">
        <v>453</v>
      </c>
      <c r="C39" s="227"/>
      <c r="D39" s="211"/>
      <c r="E39" s="211"/>
      <c r="F39" s="361"/>
      <c r="G39" s="362">
        <f>IFERROR(G21/G37,0)</f>
        <v>1.19799153037462</v>
      </c>
    </row>
    <row r="42" spans="1:7" ht="41.4">
      <c r="B42" s="17" t="s">
        <v>486</v>
      </c>
    </row>
  </sheetData>
  <mergeCells count="2">
    <mergeCell ref="C5:F5"/>
    <mergeCell ref="G5:G6"/>
  </mergeCells>
  <pageMargins left="0.7" right="0.7" top="0.75" bottom="0.75" header="0.3" footer="0.3"/>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6"/>
  <sheetViews>
    <sheetView showGridLines="0" zoomScale="80" zoomScaleNormal="80" workbookViewId="0">
      <selection activeCell="A3" sqref="A3"/>
    </sheetView>
  </sheetViews>
  <sheetFormatPr defaultColWidth="9.21875" defaultRowHeight="12"/>
  <cols>
    <col min="1" max="1" width="11.77734375" style="374" bestFit="1" customWidth="1"/>
    <col min="2" max="2" width="105.21875" style="374" bestFit="1" customWidth="1"/>
    <col min="3" max="3" width="14.109375" style="374" bestFit="1" customWidth="1"/>
    <col min="4" max="4" width="15.109375" style="374" bestFit="1" customWidth="1"/>
    <col min="5" max="5" width="17.44140625" style="374" bestFit="1" customWidth="1"/>
    <col min="6" max="6" width="14.44140625" style="374" customWidth="1"/>
    <col min="7" max="7" width="30.44140625" style="374" customWidth="1"/>
    <col min="8" max="8" width="14.21875" style="374" customWidth="1"/>
    <col min="9" max="9" width="13.109375" style="374" bestFit="1" customWidth="1"/>
    <col min="10" max="16384" width="9.21875" style="374"/>
  </cols>
  <sheetData>
    <row r="1" spans="1:11" ht="13.8">
      <c r="A1" s="373" t="s">
        <v>108</v>
      </c>
      <c r="B1" s="291" t="str">
        <f>Info!C2</f>
        <v>სს " პაშა ბანკი საქართველო"</v>
      </c>
    </row>
    <row r="2" spans="1:11">
      <c r="A2" s="373" t="s">
        <v>109</v>
      </c>
      <c r="B2" s="376">
        <f>'1. key ratios'!B2</f>
        <v>45382</v>
      </c>
      <c r="E2" s="701"/>
    </row>
    <row r="3" spans="1:11">
      <c r="A3" s="375" t="s">
        <v>493</v>
      </c>
      <c r="D3" s="710"/>
    </row>
    <row r="5" spans="1:11">
      <c r="A5" s="783" t="s">
        <v>494</v>
      </c>
      <c r="B5" s="784"/>
      <c r="C5" s="789" t="s">
        <v>495</v>
      </c>
      <c r="D5" s="790"/>
      <c r="E5" s="790"/>
      <c r="F5" s="790"/>
      <c r="G5" s="790"/>
      <c r="H5" s="791"/>
    </row>
    <row r="6" spans="1:11">
      <c r="A6" s="785"/>
      <c r="B6" s="786"/>
      <c r="C6" s="792"/>
      <c r="D6" s="793"/>
      <c r="E6" s="793"/>
      <c r="F6" s="793"/>
      <c r="G6" s="793"/>
      <c r="H6" s="794"/>
    </row>
    <row r="7" spans="1:11" ht="24">
      <c r="A7" s="787"/>
      <c r="B7" s="788"/>
      <c r="C7" s="418" t="s">
        <v>496</v>
      </c>
      <c r="D7" s="418" t="s">
        <v>497</v>
      </c>
      <c r="E7" s="418" t="s">
        <v>498</v>
      </c>
      <c r="F7" s="418" t="s">
        <v>499</v>
      </c>
      <c r="G7" s="418" t="s">
        <v>679</v>
      </c>
      <c r="H7" s="418" t="s">
        <v>66</v>
      </c>
    </row>
    <row r="8" spans="1:11">
      <c r="A8" s="414">
        <v>1</v>
      </c>
      <c r="B8" s="413" t="s">
        <v>134</v>
      </c>
      <c r="C8" s="703">
        <v>878568.1054</v>
      </c>
      <c r="D8" s="704"/>
      <c r="E8" s="703">
        <v>5346400</v>
      </c>
      <c r="F8" s="704"/>
      <c r="G8" s="718">
        <v>31828192.5779</v>
      </c>
      <c r="H8" s="704">
        <f t="shared" ref="H8:H20" si="0">SUM(C8:G8)</f>
        <v>38053160.683300003</v>
      </c>
    </row>
    <row r="9" spans="1:11">
      <c r="A9" s="414">
        <v>2</v>
      </c>
      <c r="B9" s="413" t="s">
        <v>135</v>
      </c>
      <c r="C9" s="704"/>
      <c r="D9" s="704"/>
      <c r="E9" s="704"/>
      <c r="F9" s="704"/>
      <c r="G9" s="704"/>
      <c r="H9" s="704">
        <f t="shared" si="0"/>
        <v>0</v>
      </c>
    </row>
    <row r="10" spans="1:11">
      <c r="A10" s="414">
        <v>3</v>
      </c>
      <c r="B10" s="413" t="s">
        <v>136</v>
      </c>
      <c r="C10" s="704"/>
      <c r="D10" s="704"/>
      <c r="E10" s="704"/>
      <c r="F10" s="704"/>
      <c r="G10" s="704"/>
      <c r="H10" s="704">
        <f t="shared" si="0"/>
        <v>0</v>
      </c>
    </row>
    <row r="11" spans="1:11">
      <c r="A11" s="414">
        <v>4</v>
      </c>
      <c r="B11" s="413" t="s">
        <v>137</v>
      </c>
      <c r="C11" s="704"/>
      <c r="D11" s="704"/>
      <c r="E11" s="704"/>
      <c r="F11" s="704"/>
      <c r="G11" s="704"/>
      <c r="H11" s="704">
        <f t="shared" si="0"/>
        <v>0</v>
      </c>
    </row>
    <row r="12" spans="1:11">
      <c r="A12" s="414">
        <v>5</v>
      </c>
      <c r="B12" s="413" t="s">
        <v>949</v>
      </c>
      <c r="C12" s="704"/>
      <c r="D12" s="704"/>
      <c r="E12" s="704"/>
      <c r="F12" s="704"/>
      <c r="G12" s="704"/>
      <c r="H12" s="704">
        <f t="shared" si="0"/>
        <v>0</v>
      </c>
    </row>
    <row r="13" spans="1:11">
      <c r="A13" s="414">
        <v>6</v>
      </c>
      <c r="B13" s="413" t="s">
        <v>138</v>
      </c>
      <c r="C13" s="703">
        <v>15214816.366799999</v>
      </c>
      <c r="D13" s="703">
        <v>87173320.269299984</v>
      </c>
      <c r="E13" s="703">
        <v>44368992.702299997</v>
      </c>
      <c r="F13" s="703"/>
      <c r="G13" s="703"/>
      <c r="H13" s="704">
        <f t="shared" si="0"/>
        <v>146757129.33839998</v>
      </c>
    </row>
    <row r="14" spans="1:11">
      <c r="A14" s="414">
        <v>7</v>
      </c>
      <c r="B14" s="413" t="s">
        <v>71</v>
      </c>
      <c r="C14" s="703"/>
      <c r="D14" s="703">
        <v>32283863.120299999</v>
      </c>
      <c r="E14" s="703">
        <v>160809514.4339</v>
      </c>
      <c r="F14" s="703">
        <v>115859890.3347</v>
      </c>
      <c r="G14" s="703"/>
      <c r="H14" s="704">
        <f t="shared" si="0"/>
        <v>308953267.88889998</v>
      </c>
      <c r="I14" s="710"/>
      <c r="K14" s="710"/>
    </row>
    <row r="15" spans="1:11">
      <c r="A15" s="414">
        <v>8</v>
      </c>
      <c r="B15" s="415" t="s">
        <v>72</v>
      </c>
      <c r="C15" s="703"/>
      <c r="D15" s="703">
        <v>65125.644699999997</v>
      </c>
      <c r="E15" s="703">
        <v>510653.9192</v>
      </c>
      <c r="F15" s="703">
        <v>12749.800800000001</v>
      </c>
      <c r="G15" s="703"/>
      <c r="H15" s="704">
        <f t="shared" si="0"/>
        <v>588529.36469999992</v>
      </c>
    </row>
    <row r="16" spans="1:11">
      <c r="A16" s="414">
        <v>9</v>
      </c>
      <c r="B16" s="413" t="s">
        <v>950</v>
      </c>
      <c r="C16" s="703"/>
      <c r="D16" s="703"/>
      <c r="E16" s="703"/>
      <c r="F16" s="703"/>
      <c r="G16" s="703"/>
      <c r="H16" s="704">
        <f t="shared" si="0"/>
        <v>0</v>
      </c>
    </row>
    <row r="17" spans="1:10">
      <c r="A17" s="414">
        <v>10</v>
      </c>
      <c r="B17" s="417" t="s">
        <v>514</v>
      </c>
      <c r="C17" s="703"/>
      <c r="D17" s="703">
        <v>1963588.8337999999</v>
      </c>
      <c r="E17" s="703">
        <v>16610507.428099999</v>
      </c>
      <c r="F17" s="703">
        <v>20090133.660799999</v>
      </c>
      <c r="G17" s="703"/>
      <c r="H17" s="704">
        <f t="shared" si="0"/>
        <v>38664229.922700003</v>
      </c>
      <c r="J17" s="710"/>
    </row>
    <row r="18" spans="1:10">
      <c r="A18" s="414">
        <v>11</v>
      </c>
      <c r="B18" s="413" t="s">
        <v>68</v>
      </c>
      <c r="C18" s="704"/>
      <c r="D18" s="704"/>
      <c r="E18" s="704"/>
      <c r="F18" s="704"/>
      <c r="G18" s="704"/>
      <c r="H18" s="704">
        <f t="shared" si="0"/>
        <v>0</v>
      </c>
    </row>
    <row r="19" spans="1:10">
      <c r="A19" s="414">
        <v>12</v>
      </c>
      <c r="B19" s="413" t="s">
        <v>69</v>
      </c>
      <c r="C19" s="704"/>
      <c r="D19" s="704"/>
      <c r="E19" s="704"/>
      <c r="F19" s="704"/>
      <c r="G19" s="704"/>
      <c r="H19" s="704">
        <f t="shared" si="0"/>
        <v>0</v>
      </c>
    </row>
    <row r="20" spans="1:10">
      <c r="A20" s="416">
        <v>13</v>
      </c>
      <c r="B20" s="415" t="s">
        <v>70</v>
      </c>
      <c r="C20" s="704"/>
      <c r="D20" s="704"/>
      <c r="E20" s="704"/>
      <c r="F20" s="704"/>
      <c r="G20" s="704"/>
      <c r="H20" s="704">
        <f t="shared" si="0"/>
        <v>0</v>
      </c>
    </row>
    <row r="21" spans="1:10">
      <c r="A21" s="414">
        <v>14</v>
      </c>
      <c r="B21" s="413" t="s">
        <v>500</v>
      </c>
      <c r="C21" s="703">
        <f>2171931.9144+4592892.7196</f>
        <v>6764824.6340000005</v>
      </c>
      <c r="D21" s="703">
        <v>15709917.699999999</v>
      </c>
      <c r="E21" s="704"/>
      <c r="F21" s="703">
        <v>1895654.2400000002</v>
      </c>
      <c r="G21" s="703">
        <v>1660847.74</v>
      </c>
      <c r="H21" s="704">
        <f>SUM(C21:G21)</f>
        <v>26031244.313999999</v>
      </c>
      <c r="J21" s="710"/>
    </row>
    <row r="22" spans="1:10">
      <c r="A22" s="412">
        <v>15</v>
      </c>
      <c r="B22" s="411" t="s">
        <v>66</v>
      </c>
      <c r="C22" s="704">
        <f>SUM(C18:C21)+SUM(C8:C16)</f>
        <v>22858209.106199998</v>
      </c>
      <c r="D22" s="704">
        <f t="shared" ref="D22:H22" si="1">SUM(D18:D21)+SUM(D8:D16)</f>
        <v>135232226.73429999</v>
      </c>
      <c r="E22" s="704">
        <f t="shared" si="1"/>
        <v>211035561.05540001</v>
      </c>
      <c r="F22" s="704">
        <f t="shared" si="1"/>
        <v>117768294.37549999</v>
      </c>
      <c r="G22" s="704">
        <f t="shared" si="1"/>
        <v>33489040.317899998</v>
      </c>
      <c r="H22" s="704">
        <f t="shared" si="1"/>
        <v>520383331.58929998</v>
      </c>
      <c r="I22" s="701"/>
      <c r="J22" s="711"/>
    </row>
    <row r="26" spans="1:10" ht="36">
      <c r="B26" s="391" t="s">
        <v>678</v>
      </c>
      <c r="H26" s="710"/>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scale="4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2"/>
  <sheetViews>
    <sheetView showGridLines="0" zoomScale="70" zoomScaleNormal="70" workbookViewId="0">
      <selection activeCell="A3" sqref="A3"/>
    </sheetView>
  </sheetViews>
  <sheetFormatPr defaultColWidth="9.21875" defaultRowHeight="12"/>
  <cols>
    <col min="1" max="1" width="11.77734375" style="377" bestFit="1" customWidth="1"/>
    <col min="2" max="2" width="91.21875" style="374" customWidth="1"/>
    <col min="3" max="4" width="31.5546875" style="374" customWidth="1"/>
    <col min="5" max="5" width="16.44140625" style="374" bestFit="1" customWidth="1"/>
    <col min="6" max="6" width="14.21875" style="374" bestFit="1" customWidth="1"/>
    <col min="7" max="7" width="20" style="374" bestFit="1" customWidth="1"/>
    <col min="8" max="8" width="25.21875" style="374" bestFit="1" customWidth="1"/>
    <col min="9" max="16384" width="9.21875" style="374"/>
  </cols>
  <sheetData>
    <row r="1" spans="1:10" ht="13.8">
      <c r="A1" s="373" t="s">
        <v>108</v>
      </c>
      <c r="B1" s="291" t="str">
        <f>Info!C2</f>
        <v>სს " პაშა ბანკი საქართველო"</v>
      </c>
      <c r="C1" s="429"/>
      <c r="D1" s="429"/>
      <c r="E1" s="429"/>
      <c r="F1" s="429"/>
      <c r="G1" s="429"/>
      <c r="H1" s="429"/>
    </row>
    <row r="2" spans="1:10">
      <c r="A2" s="373" t="s">
        <v>109</v>
      </c>
      <c r="B2" s="376">
        <f>'1. key ratios'!B2</f>
        <v>45382</v>
      </c>
      <c r="C2" s="429"/>
      <c r="D2" s="429"/>
      <c r="E2" s="429"/>
      <c r="F2" s="429"/>
      <c r="G2" s="429"/>
      <c r="H2" s="429"/>
    </row>
    <row r="3" spans="1:10">
      <c r="A3" s="375" t="s">
        <v>501</v>
      </c>
      <c r="B3" s="429"/>
      <c r="C3" s="429"/>
      <c r="D3" s="429"/>
      <c r="E3" s="429"/>
      <c r="F3" s="429"/>
      <c r="G3" s="429"/>
      <c r="H3" s="429"/>
    </row>
    <row r="4" spans="1:10">
      <c r="A4" s="430"/>
      <c r="B4" s="429"/>
      <c r="C4" s="428" t="s">
        <v>502</v>
      </c>
      <c r="D4" s="428" t="s">
        <v>503</v>
      </c>
      <c r="E4" s="428" t="s">
        <v>504</v>
      </c>
      <c r="F4" s="428" t="s">
        <v>505</v>
      </c>
      <c r="G4" s="428" t="s">
        <v>506</v>
      </c>
      <c r="H4" s="428" t="s">
        <v>507</v>
      </c>
    </row>
    <row r="5" spans="1:10" ht="34.049999999999997" customHeight="1">
      <c r="A5" s="783" t="s">
        <v>867</v>
      </c>
      <c r="B5" s="784"/>
      <c r="C5" s="797" t="s">
        <v>596</v>
      </c>
      <c r="D5" s="797"/>
      <c r="E5" s="797" t="s">
        <v>866</v>
      </c>
      <c r="F5" s="795" t="s">
        <v>865</v>
      </c>
      <c r="G5" s="795" t="s">
        <v>511</v>
      </c>
      <c r="H5" s="426" t="s">
        <v>864</v>
      </c>
    </row>
    <row r="6" spans="1:10" ht="24">
      <c r="A6" s="787"/>
      <c r="B6" s="788"/>
      <c r="C6" s="427" t="s">
        <v>512</v>
      </c>
      <c r="D6" s="427" t="s">
        <v>513</v>
      </c>
      <c r="E6" s="797"/>
      <c r="F6" s="796"/>
      <c r="G6" s="796"/>
      <c r="H6" s="426" t="s">
        <v>863</v>
      </c>
    </row>
    <row r="7" spans="1:10">
      <c r="A7" s="424">
        <v>1</v>
      </c>
      <c r="B7" s="413" t="s">
        <v>134</v>
      </c>
      <c r="C7" s="419"/>
      <c r="D7" s="419">
        <v>38053160.683300003</v>
      </c>
      <c r="E7" s="419"/>
      <c r="F7" s="419"/>
      <c r="G7" s="419"/>
      <c r="H7" s="720">
        <f t="shared" ref="H7:H20" si="0">C7+D7-E7-F7</f>
        <v>38053160.683300003</v>
      </c>
    </row>
    <row r="8" spans="1:10" ht="33.450000000000003" customHeight="1">
      <c r="A8" s="424">
        <v>2</v>
      </c>
      <c r="B8" s="413" t="s">
        <v>135</v>
      </c>
      <c r="C8" s="706"/>
      <c r="D8" s="706"/>
      <c r="E8" s="706"/>
      <c r="F8" s="706"/>
      <c r="G8" s="706"/>
      <c r="H8" s="720">
        <f t="shared" si="0"/>
        <v>0</v>
      </c>
    </row>
    <row r="9" spans="1:10">
      <c r="A9" s="424">
        <v>3</v>
      </c>
      <c r="B9" s="413" t="s">
        <v>136</v>
      </c>
      <c r="C9" s="706"/>
      <c r="D9" s="706"/>
      <c r="E9" s="706"/>
      <c r="F9" s="706"/>
      <c r="G9" s="706"/>
      <c r="H9" s="720">
        <f t="shared" si="0"/>
        <v>0</v>
      </c>
    </row>
    <row r="10" spans="1:10">
      <c r="A10" s="424">
        <v>4</v>
      </c>
      <c r="B10" s="413" t="s">
        <v>137</v>
      </c>
      <c r="C10" s="706"/>
      <c r="D10" s="706"/>
      <c r="E10" s="706"/>
      <c r="F10" s="706"/>
      <c r="G10" s="706"/>
      <c r="H10" s="720">
        <f t="shared" si="0"/>
        <v>0</v>
      </c>
    </row>
    <row r="11" spans="1:10">
      <c r="A11" s="424">
        <v>5</v>
      </c>
      <c r="B11" s="413" t="s">
        <v>949</v>
      </c>
      <c r="C11" s="706"/>
      <c r="D11" s="706"/>
      <c r="E11" s="706"/>
      <c r="F11" s="706"/>
      <c r="G11" s="706"/>
      <c r="H11" s="720">
        <f t="shared" si="0"/>
        <v>0</v>
      </c>
    </row>
    <row r="12" spans="1:10">
      <c r="A12" s="424">
        <v>6</v>
      </c>
      <c r="B12" s="413" t="s">
        <v>138</v>
      </c>
      <c r="C12" s="706"/>
      <c r="D12" s="706">
        <v>147354723.96709999</v>
      </c>
      <c r="E12" s="706">
        <v>597594.62860000005</v>
      </c>
      <c r="F12" s="706"/>
      <c r="G12" s="706"/>
      <c r="H12" s="720">
        <f t="shared" si="0"/>
        <v>146757129.33849999</v>
      </c>
    </row>
    <row r="13" spans="1:10">
      <c r="A13" s="424">
        <v>7</v>
      </c>
      <c r="B13" s="413" t="s">
        <v>71</v>
      </c>
      <c r="C13" s="706">
        <v>25705437.465100002</v>
      </c>
      <c r="D13" s="706">
        <f>292703446.638-197</f>
        <v>292703249.63800001</v>
      </c>
      <c r="E13" s="706">
        <v>9455419.2142999992</v>
      </c>
      <c r="F13" s="706"/>
      <c r="G13" s="706"/>
      <c r="H13" s="720">
        <f t="shared" si="0"/>
        <v>308953267.88880002</v>
      </c>
      <c r="J13" s="702"/>
    </row>
    <row r="14" spans="1:10">
      <c r="A14" s="424">
        <v>8</v>
      </c>
      <c r="B14" s="415" t="s">
        <v>72</v>
      </c>
      <c r="C14" s="706">
        <v>262710.23810000002</v>
      </c>
      <c r="D14" s="706">
        <v>563172.89190000005</v>
      </c>
      <c r="E14" s="706">
        <v>237353.7654</v>
      </c>
      <c r="F14" s="706"/>
      <c r="G14" s="706">
        <v>1488416.85</v>
      </c>
      <c r="H14" s="720">
        <f t="shared" si="0"/>
        <v>588529.36460000009</v>
      </c>
      <c r="J14" s="702"/>
    </row>
    <row r="15" spans="1:10">
      <c r="A15" s="424">
        <v>9</v>
      </c>
      <c r="B15" s="413" t="s">
        <v>950</v>
      </c>
      <c r="C15" s="706"/>
      <c r="D15" s="706"/>
      <c r="E15" s="706"/>
      <c r="F15" s="706"/>
      <c r="G15" s="706"/>
      <c r="H15" s="720">
        <f t="shared" si="0"/>
        <v>0</v>
      </c>
      <c r="J15" s="702"/>
    </row>
    <row r="16" spans="1:10">
      <c r="A16" s="424">
        <v>10</v>
      </c>
      <c r="B16" s="417" t="s">
        <v>514</v>
      </c>
      <c r="C16" s="706">
        <v>23355155.949700002</v>
      </c>
      <c r="D16" s="706">
        <f>21702475.5392-3226</f>
        <v>21699249.5392</v>
      </c>
      <c r="E16" s="706">
        <v>6390175.5662000002</v>
      </c>
      <c r="F16" s="706"/>
      <c r="G16" s="706"/>
      <c r="H16" s="720">
        <f t="shared" si="0"/>
        <v>38664229.922700003</v>
      </c>
      <c r="I16" s="702"/>
      <c r="J16" s="702"/>
    </row>
    <row r="17" spans="1:10">
      <c r="A17" s="424">
        <v>11</v>
      </c>
      <c r="B17" s="413" t="s">
        <v>68</v>
      </c>
      <c r="C17" s="706"/>
      <c r="D17" s="706"/>
      <c r="E17" s="706"/>
      <c r="F17" s="706"/>
      <c r="G17" s="706"/>
      <c r="H17" s="720">
        <f t="shared" si="0"/>
        <v>0</v>
      </c>
      <c r="J17" s="702"/>
    </row>
    <row r="18" spans="1:10">
      <c r="A18" s="424">
        <v>12</v>
      </c>
      <c r="B18" s="413" t="s">
        <v>69</v>
      </c>
      <c r="C18" s="706"/>
      <c r="D18" s="706"/>
      <c r="E18" s="706"/>
      <c r="F18" s="706"/>
      <c r="G18" s="706"/>
      <c r="H18" s="720">
        <f t="shared" si="0"/>
        <v>0</v>
      </c>
      <c r="J18" s="702"/>
    </row>
    <row r="19" spans="1:10">
      <c r="A19" s="425">
        <v>13</v>
      </c>
      <c r="B19" s="415" t="s">
        <v>70</v>
      </c>
      <c r="C19" s="706"/>
      <c r="D19" s="706"/>
      <c r="E19" s="706"/>
      <c r="F19" s="706"/>
      <c r="G19" s="706"/>
      <c r="H19" s="720">
        <f t="shared" si="0"/>
        <v>0</v>
      </c>
    </row>
    <row r="20" spans="1:10">
      <c r="A20" s="424">
        <v>14</v>
      </c>
      <c r="B20" s="413" t="s">
        <v>500</v>
      </c>
      <c r="C20" s="706"/>
      <c r="D20" s="706">
        <v>31369731.374000002</v>
      </c>
      <c r="E20" s="706"/>
      <c r="F20" s="706"/>
      <c r="G20" s="706"/>
      <c r="H20" s="720">
        <f t="shared" si="0"/>
        <v>31369731.374000002</v>
      </c>
    </row>
    <row r="21" spans="1:10" s="378" customFormat="1">
      <c r="A21" s="423">
        <v>15</v>
      </c>
      <c r="B21" s="422" t="s">
        <v>66</v>
      </c>
      <c r="C21" s="422">
        <f t="shared" ref="C21:H21" si="1">SUM(C7:C15)+SUM(C17:C20)</f>
        <v>25968147.703200001</v>
      </c>
      <c r="D21" s="422">
        <f t="shared" si="1"/>
        <v>510044038.55430001</v>
      </c>
      <c r="E21" s="422">
        <f t="shared" si="1"/>
        <v>10290367.608299999</v>
      </c>
      <c r="F21" s="422">
        <f t="shared" si="1"/>
        <v>0</v>
      </c>
      <c r="G21" s="422">
        <f t="shared" si="1"/>
        <v>1488416.85</v>
      </c>
      <c r="H21" s="720">
        <f t="shared" si="1"/>
        <v>525721818.64920002</v>
      </c>
    </row>
    <row r="22" spans="1:10">
      <c r="A22" s="421">
        <v>16</v>
      </c>
      <c r="B22" s="420" t="s">
        <v>515</v>
      </c>
      <c r="C22" s="706">
        <v>25713492.383299999</v>
      </c>
      <c r="D22" s="706">
        <v>236336983.84369999</v>
      </c>
      <c r="E22" s="706">
        <v>9055447.2907999996</v>
      </c>
      <c r="F22" s="706"/>
      <c r="G22" s="706">
        <v>1488416.85</v>
      </c>
      <c r="H22" s="720">
        <f>C22+D22-E22-F22</f>
        <v>252995028.93619999</v>
      </c>
    </row>
    <row r="23" spans="1:10">
      <c r="A23" s="421">
        <v>17</v>
      </c>
      <c r="B23" s="420" t="s">
        <v>516</v>
      </c>
      <c r="C23" s="706"/>
      <c r="D23" s="706">
        <v>56860258.373000003</v>
      </c>
      <c r="E23" s="706">
        <v>415260.65830000001</v>
      </c>
      <c r="F23" s="706"/>
      <c r="G23" s="706"/>
      <c r="H23" s="720">
        <f>C23+D23-E23-F23</f>
        <v>56444997.714700006</v>
      </c>
    </row>
    <row r="26" spans="1:10" ht="42.45" customHeight="1">
      <c r="B26" s="391" t="s">
        <v>678</v>
      </c>
      <c r="E26" s="710"/>
      <c r="H26" s="702"/>
    </row>
    <row r="27" spans="1:10">
      <c r="E27" s="710"/>
    </row>
    <row r="29" spans="1:10">
      <c r="H29" s="702"/>
    </row>
    <row r="32" spans="1:10">
      <c r="E32" s="710"/>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scale="3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2"/>
  <sheetViews>
    <sheetView showGridLines="0" zoomScale="70" zoomScaleNormal="70" workbookViewId="0">
      <selection activeCell="A3" sqref="A3"/>
    </sheetView>
  </sheetViews>
  <sheetFormatPr defaultColWidth="9.21875" defaultRowHeight="12"/>
  <cols>
    <col min="1" max="1" width="11" style="374" bestFit="1" customWidth="1"/>
    <col min="2" max="2" width="58.21875" style="374" customWidth="1"/>
    <col min="3" max="4" width="35" style="374" customWidth="1"/>
    <col min="5" max="7" width="22" style="374" customWidth="1"/>
    <col min="8" max="8" width="42.21875" style="374" bestFit="1" customWidth="1"/>
    <col min="9" max="16384" width="9.21875" style="374"/>
  </cols>
  <sheetData>
    <row r="1" spans="1:8" ht="13.8">
      <c r="A1" s="373" t="s">
        <v>108</v>
      </c>
      <c r="B1" s="291" t="str">
        <f>Info!C2</f>
        <v>სს " პაშა ბანკი საქართველო"</v>
      </c>
      <c r="C1" s="429"/>
      <c r="D1" s="429"/>
      <c r="E1" s="429"/>
      <c r="F1" s="429"/>
      <c r="G1" s="429"/>
      <c r="H1" s="429"/>
    </row>
    <row r="2" spans="1:8">
      <c r="A2" s="373" t="s">
        <v>109</v>
      </c>
      <c r="B2" s="376">
        <f>'1. key ratios'!B2</f>
        <v>45382</v>
      </c>
      <c r="C2" s="429"/>
      <c r="D2" s="429"/>
      <c r="E2" s="429"/>
      <c r="F2" s="429"/>
      <c r="G2" s="429"/>
      <c r="H2" s="429"/>
    </row>
    <row r="3" spans="1:8">
      <c r="A3" s="375" t="s">
        <v>517</v>
      </c>
      <c r="B3" s="429"/>
      <c r="C3" s="429"/>
      <c r="D3" s="429"/>
      <c r="E3" s="429"/>
      <c r="F3" s="429"/>
      <c r="G3" s="429"/>
      <c r="H3" s="429"/>
    </row>
    <row r="4" spans="1:8">
      <c r="A4" s="429"/>
      <c r="B4" s="429"/>
      <c r="C4" s="428" t="s">
        <v>502</v>
      </c>
      <c r="D4" s="428" t="s">
        <v>503</v>
      </c>
      <c r="E4" s="428" t="s">
        <v>504</v>
      </c>
      <c r="F4" s="428" t="s">
        <v>505</v>
      </c>
      <c r="G4" s="428" t="s">
        <v>506</v>
      </c>
      <c r="H4" s="428" t="s">
        <v>507</v>
      </c>
    </row>
    <row r="5" spans="1:8" ht="41.55" customHeight="1">
      <c r="A5" s="783" t="s">
        <v>869</v>
      </c>
      <c r="B5" s="784"/>
      <c r="C5" s="798" t="s">
        <v>596</v>
      </c>
      <c r="D5" s="799"/>
      <c r="E5" s="795" t="s">
        <v>866</v>
      </c>
      <c r="F5" s="795" t="s">
        <v>865</v>
      </c>
      <c r="G5" s="795" t="s">
        <v>511</v>
      </c>
      <c r="H5" s="426" t="s">
        <v>864</v>
      </c>
    </row>
    <row r="6" spans="1:8" ht="24">
      <c r="A6" s="787"/>
      <c r="B6" s="788"/>
      <c r="C6" s="427" t="s">
        <v>512</v>
      </c>
      <c r="D6" s="427" t="s">
        <v>513</v>
      </c>
      <c r="E6" s="796"/>
      <c r="F6" s="796"/>
      <c r="G6" s="796"/>
      <c r="H6" s="426" t="s">
        <v>863</v>
      </c>
    </row>
    <row r="7" spans="1:8">
      <c r="A7" s="419">
        <v>1</v>
      </c>
      <c r="B7" s="432" t="s">
        <v>518</v>
      </c>
      <c r="C7" s="705">
        <v>28341.568563999997</v>
      </c>
      <c r="D7" s="705">
        <f>5216.79+38053160.6833</f>
        <v>38058377.473300003</v>
      </c>
      <c r="E7" s="705">
        <v>24285.368799999997</v>
      </c>
      <c r="F7" s="705"/>
      <c r="G7" s="705">
        <v>51259.76</v>
      </c>
      <c r="H7" s="709">
        <f t="shared" ref="H7:H34" si="0">C7+D7-E7-F7</f>
        <v>38062433.673064001</v>
      </c>
    </row>
    <row r="8" spans="1:8">
      <c r="A8" s="419">
        <v>2</v>
      </c>
      <c r="B8" s="432" t="s">
        <v>519</v>
      </c>
      <c r="C8" s="705">
        <v>180401.2</v>
      </c>
      <c r="D8" s="705">
        <f>94383211.615105-197+146757129.3385</f>
        <v>241140143.953605</v>
      </c>
      <c r="E8" s="705">
        <v>1255315.1431000002</v>
      </c>
      <c r="F8" s="705"/>
      <c r="G8" s="705">
        <v>15420.51</v>
      </c>
      <c r="H8" s="709">
        <f t="shared" si="0"/>
        <v>240065230.01050499</v>
      </c>
    </row>
    <row r="9" spans="1:8">
      <c r="A9" s="419">
        <v>3</v>
      </c>
      <c r="B9" s="432" t="s">
        <v>868</v>
      </c>
      <c r="C9" s="705">
        <v>0</v>
      </c>
      <c r="D9" s="705">
        <v>477988.33999999997</v>
      </c>
      <c r="E9" s="705">
        <v>2259.6469999999999</v>
      </c>
      <c r="F9" s="705"/>
      <c r="G9" s="705" t="s">
        <v>988</v>
      </c>
      <c r="H9" s="709">
        <f t="shared" si="0"/>
        <v>475728.69299999997</v>
      </c>
    </row>
    <row r="10" spans="1:8">
      <c r="A10" s="419">
        <v>4</v>
      </c>
      <c r="B10" s="432" t="s">
        <v>520</v>
      </c>
      <c r="C10" s="705">
        <v>6726846.7138495408</v>
      </c>
      <c r="D10" s="705">
        <v>15773924.737919999</v>
      </c>
      <c r="E10" s="705">
        <v>2260340.12</v>
      </c>
      <c r="F10" s="705"/>
      <c r="G10" s="705" t="s">
        <v>988</v>
      </c>
      <c r="H10" s="709">
        <f t="shared" si="0"/>
        <v>20240431.331769537</v>
      </c>
    </row>
    <row r="11" spans="1:8">
      <c r="A11" s="419">
        <v>5</v>
      </c>
      <c r="B11" s="432" t="s">
        <v>521</v>
      </c>
      <c r="C11" s="705">
        <v>0</v>
      </c>
      <c r="D11" s="705">
        <v>23061517.196190003</v>
      </c>
      <c r="E11" s="705">
        <v>53269.6731</v>
      </c>
      <c r="F11" s="705"/>
      <c r="G11" s="705" t="s">
        <v>988</v>
      </c>
      <c r="H11" s="709">
        <f t="shared" si="0"/>
        <v>23008247.523090005</v>
      </c>
    </row>
    <row r="12" spans="1:8">
      <c r="A12" s="419">
        <v>6</v>
      </c>
      <c r="B12" s="432" t="s">
        <v>522</v>
      </c>
      <c r="C12" s="705">
        <v>254852.45199999999</v>
      </c>
      <c r="D12" s="705">
        <v>404268.19178300013</v>
      </c>
      <c r="E12" s="705">
        <v>40784.465400000001</v>
      </c>
      <c r="F12" s="705"/>
      <c r="G12" s="705">
        <v>59533.68</v>
      </c>
      <c r="H12" s="709">
        <f t="shared" si="0"/>
        <v>618336.17838300008</v>
      </c>
    </row>
    <row r="13" spans="1:8">
      <c r="A13" s="419">
        <v>7</v>
      </c>
      <c r="B13" s="432" t="s">
        <v>523</v>
      </c>
      <c r="C13" s="705">
        <v>7573.6747000000014</v>
      </c>
      <c r="D13" s="705">
        <v>589402.81319999998</v>
      </c>
      <c r="E13" s="705">
        <v>9439.8806000000004</v>
      </c>
      <c r="F13" s="705"/>
      <c r="G13" s="705">
        <v>8670.16</v>
      </c>
      <c r="H13" s="709">
        <f t="shared" si="0"/>
        <v>587536.60729999992</v>
      </c>
    </row>
    <row r="14" spans="1:8">
      <c r="A14" s="419">
        <v>8</v>
      </c>
      <c r="B14" s="432" t="s">
        <v>524</v>
      </c>
      <c r="C14" s="705">
        <v>1811549.3946850002</v>
      </c>
      <c r="D14" s="705">
        <v>5885942.7052720003</v>
      </c>
      <c r="E14" s="705">
        <v>310314.96679999999</v>
      </c>
      <c r="F14" s="705"/>
      <c r="G14" s="705">
        <v>521.11</v>
      </c>
      <c r="H14" s="709">
        <f t="shared" si="0"/>
        <v>7387177.1331570009</v>
      </c>
    </row>
    <row r="15" spans="1:8">
      <c r="A15" s="419">
        <v>9</v>
      </c>
      <c r="B15" s="432" t="s">
        <v>525</v>
      </c>
      <c r="C15" s="705">
        <v>0</v>
      </c>
      <c r="D15" s="705">
        <v>8235738.9240240008</v>
      </c>
      <c r="E15" s="705">
        <v>87422.098000000013</v>
      </c>
      <c r="F15" s="705"/>
      <c r="G15" s="705" t="s">
        <v>988</v>
      </c>
      <c r="H15" s="709">
        <f t="shared" si="0"/>
        <v>8148316.8260240005</v>
      </c>
    </row>
    <row r="16" spans="1:8" ht="24">
      <c r="A16" s="419">
        <v>10</v>
      </c>
      <c r="B16" s="432" t="s">
        <v>526</v>
      </c>
      <c r="C16" s="705">
        <v>0</v>
      </c>
      <c r="D16" s="705">
        <v>385232.68804799998</v>
      </c>
      <c r="E16" s="705">
        <v>17774.739400000002</v>
      </c>
      <c r="F16" s="705"/>
      <c r="G16" s="705" t="s">
        <v>988</v>
      </c>
      <c r="H16" s="709">
        <f t="shared" si="0"/>
        <v>367457.94864799996</v>
      </c>
    </row>
    <row r="17" spans="1:8">
      <c r="A17" s="419">
        <v>11</v>
      </c>
      <c r="B17" s="432" t="s">
        <v>527</v>
      </c>
      <c r="C17" s="705">
        <v>0</v>
      </c>
      <c r="D17" s="705">
        <v>14130348.912111999</v>
      </c>
      <c r="E17" s="705">
        <v>125939.31439999999</v>
      </c>
      <c r="F17" s="705"/>
      <c r="G17" s="705">
        <v>5781.07</v>
      </c>
      <c r="H17" s="709">
        <f t="shared" si="0"/>
        <v>14004409.597711999</v>
      </c>
    </row>
    <row r="18" spans="1:8">
      <c r="A18" s="419">
        <v>12</v>
      </c>
      <c r="B18" s="432" t="s">
        <v>528</v>
      </c>
      <c r="C18" s="705">
        <v>317477.76049039979</v>
      </c>
      <c r="D18" s="705">
        <v>12131699.652321002</v>
      </c>
      <c r="E18" s="705">
        <v>157494.32900000006</v>
      </c>
      <c r="F18" s="705"/>
      <c r="G18" s="705">
        <v>126016.64</v>
      </c>
      <c r="H18" s="709">
        <f t="shared" si="0"/>
        <v>12291683.083811402</v>
      </c>
    </row>
    <row r="19" spans="1:8">
      <c r="A19" s="419">
        <v>13</v>
      </c>
      <c r="B19" s="432" t="s">
        <v>529</v>
      </c>
      <c r="C19" s="705">
        <v>555677.56134932698</v>
      </c>
      <c r="D19" s="705">
        <v>109051.595</v>
      </c>
      <c r="E19" s="705">
        <v>243120.71460000009</v>
      </c>
      <c r="F19" s="705"/>
      <c r="G19" s="705">
        <v>20887.099999999999</v>
      </c>
      <c r="H19" s="709">
        <f t="shared" si="0"/>
        <v>421608.44174932688</v>
      </c>
    </row>
    <row r="20" spans="1:8">
      <c r="A20" s="419">
        <v>14</v>
      </c>
      <c r="B20" s="432" t="s">
        <v>530</v>
      </c>
      <c r="C20" s="705">
        <v>2238779.5740994997</v>
      </c>
      <c r="D20" s="705">
        <v>22014427.257051997</v>
      </c>
      <c r="E20" s="705">
        <v>547388.88859999995</v>
      </c>
      <c r="F20" s="705"/>
      <c r="G20" s="705">
        <v>34597.050000000003</v>
      </c>
      <c r="H20" s="709">
        <f t="shared" si="0"/>
        <v>23705817.942551497</v>
      </c>
    </row>
    <row r="21" spans="1:8">
      <c r="A21" s="419">
        <v>15</v>
      </c>
      <c r="B21" s="432" t="s">
        <v>531</v>
      </c>
      <c r="C21" s="705">
        <v>8833340.1870679259</v>
      </c>
      <c r="D21" s="705">
        <v>2325429.736939</v>
      </c>
      <c r="E21" s="705">
        <v>1540982.6797000002</v>
      </c>
      <c r="F21" s="705"/>
      <c r="G21" s="705">
        <v>8752.1</v>
      </c>
      <c r="H21" s="709">
        <f t="shared" si="0"/>
        <v>9617787.2443069257</v>
      </c>
    </row>
    <row r="22" spans="1:8">
      <c r="A22" s="419">
        <v>16</v>
      </c>
      <c r="B22" s="432" t="s">
        <v>532</v>
      </c>
      <c r="C22" s="705">
        <v>726</v>
      </c>
      <c r="D22" s="705">
        <v>2808281.1002000002</v>
      </c>
      <c r="E22" s="705">
        <v>45463.564200000001</v>
      </c>
      <c r="F22" s="705"/>
      <c r="G22" s="705">
        <v>14794.25</v>
      </c>
      <c r="H22" s="709">
        <f t="shared" si="0"/>
        <v>2763543.5360000003</v>
      </c>
    </row>
    <row r="23" spans="1:8">
      <c r="A23" s="419">
        <v>17</v>
      </c>
      <c r="B23" s="432" t="s">
        <v>533</v>
      </c>
      <c r="C23" s="705">
        <v>0</v>
      </c>
      <c r="D23" s="705">
        <v>8856617.9200299997</v>
      </c>
      <c r="E23" s="705">
        <v>16012.700199999999</v>
      </c>
      <c r="F23" s="705"/>
      <c r="G23" s="705" t="s">
        <v>988</v>
      </c>
      <c r="H23" s="709">
        <f t="shared" si="0"/>
        <v>8840605.2198299989</v>
      </c>
    </row>
    <row r="24" spans="1:8">
      <c r="A24" s="419">
        <v>18</v>
      </c>
      <c r="B24" s="432" t="s">
        <v>534</v>
      </c>
      <c r="C24" s="705">
        <v>4552.8500000000004</v>
      </c>
      <c r="D24" s="705">
        <v>58013934.438073002</v>
      </c>
      <c r="E24" s="705">
        <v>589438.17570000002</v>
      </c>
      <c r="F24" s="705"/>
      <c r="G24" s="705">
        <v>45456.35</v>
      </c>
      <c r="H24" s="709">
        <f t="shared" si="0"/>
        <v>57429049.112373002</v>
      </c>
    </row>
    <row r="25" spans="1:8">
      <c r="A25" s="419">
        <v>19</v>
      </c>
      <c r="B25" s="432" t="s">
        <v>535</v>
      </c>
      <c r="C25" s="705">
        <v>0</v>
      </c>
      <c r="D25" s="705">
        <v>5232062.9746000003</v>
      </c>
      <c r="E25" s="705">
        <v>3835.9540999999999</v>
      </c>
      <c r="F25" s="705"/>
      <c r="G25" s="705">
        <v>0</v>
      </c>
      <c r="H25" s="709">
        <f t="shared" si="0"/>
        <v>5228227.0205000006</v>
      </c>
    </row>
    <row r="26" spans="1:8">
      <c r="A26" s="419">
        <v>20</v>
      </c>
      <c r="B26" s="432" t="s">
        <v>536</v>
      </c>
      <c r="C26" s="705">
        <v>9770.5299999999988</v>
      </c>
      <c r="D26" s="705">
        <v>0</v>
      </c>
      <c r="E26" s="705">
        <v>8809.567500000001</v>
      </c>
      <c r="F26" s="705"/>
      <c r="G26" s="705">
        <v>8615.26</v>
      </c>
      <c r="H26" s="709">
        <f t="shared" si="0"/>
        <v>960.96249999999782</v>
      </c>
    </row>
    <row r="27" spans="1:8">
      <c r="A27" s="419">
        <v>21</v>
      </c>
      <c r="B27" s="432" t="s">
        <v>537</v>
      </c>
      <c r="C27" s="705">
        <v>216.2</v>
      </c>
      <c r="D27" s="705">
        <v>0</v>
      </c>
      <c r="E27" s="705">
        <v>187.46700000000001</v>
      </c>
      <c r="F27" s="705"/>
      <c r="G27" s="705">
        <v>2413.9499999999998</v>
      </c>
      <c r="H27" s="709">
        <f t="shared" si="0"/>
        <v>28.732999999999976</v>
      </c>
    </row>
    <row r="28" spans="1:8">
      <c r="A28" s="419">
        <v>22</v>
      </c>
      <c r="B28" s="432" t="s">
        <v>538</v>
      </c>
      <c r="C28" s="705">
        <v>200</v>
      </c>
      <c r="D28" s="705">
        <v>5181265.6500000004</v>
      </c>
      <c r="E28" s="705">
        <v>37472.9473</v>
      </c>
      <c r="F28" s="705"/>
      <c r="G28" s="705">
        <v>998.46</v>
      </c>
      <c r="H28" s="709">
        <f t="shared" si="0"/>
        <v>5143992.7027000003</v>
      </c>
    </row>
    <row r="29" spans="1:8">
      <c r="A29" s="419">
        <v>23</v>
      </c>
      <c r="B29" s="432" t="s">
        <v>539</v>
      </c>
      <c r="C29" s="705">
        <v>2476854.0979157002</v>
      </c>
      <c r="D29" s="705">
        <v>4928636.5698549999</v>
      </c>
      <c r="E29" s="705">
        <v>433533.76879999996</v>
      </c>
      <c r="F29" s="705"/>
      <c r="G29" s="705">
        <v>118706.94</v>
      </c>
      <c r="H29" s="709">
        <f t="shared" si="0"/>
        <v>6971956.8989707008</v>
      </c>
    </row>
    <row r="30" spans="1:8">
      <c r="A30" s="419">
        <v>24</v>
      </c>
      <c r="B30" s="432" t="s">
        <v>540</v>
      </c>
      <c r="C30" s="705">
        <v>2393624.6111696502</v>
      </c>
      <c r="D30" s="705">
        <v>7973082.806318</v>
      </c>
      <c r="E30" s="705">
        <v>1770752.1041000003</v>
      </c>
      <c r="F30" s="705"/>
      <c r="G30" s="705" t="s">
        <v>988</v>
      </c>
      <c r="H30" s="709">
        <f t="shared" si="0"/>
        <v>8595955.313387651</v>
      </c>
    </row>
    <row r="31" spans="1:8">
      <c r="A31" s="419">
        <v>25</v>
      </c>
      <c r="B31" s="432" t="s">
        <v>541</v>
      </c>
      <c r="C31" s="705">
        <v>47475.150000000016</v>
      </c>
      <c r="D31" s="705">
        <v>302581.413</v>
      </c>
      <c r="E31" s="705">
        <v>44927.278399999996</v>
      </c>
      <c r="F31" s="705"/>
      <c r="G31" s="705">
        <v>233359.37</v>
      </c>
      <c r="H31" s="709">
        <f t="shared" si="0"/>
        <v>305129.28460000001</v>
      </c>
    </row>
    <row r="32" spans="1:8">
      <c r="A32" s="419">
        <v>26</v>
      </c>
      <c r="B32" s="432" t="s">
        <v>542</v>
      </c>
      <c r="C32" s="705">
        <v>79888.177372999984</v>
      </c>
      <c r="D32" s="705">
        <v>56755.502899999985</v>
      </c>
      <c r="E32" s="705">
        <v>66207.423899999994</v>
      </c>
      <c r="F32" s="705"/>
      <c r="G32" s="705">
        <v>732633.09</v>
      </c>
      <c r="H32" s="709">
        <f t="shared" si="0"/>
        <v>70436.256372999982</v>
      </c>
    </row>
    <row r="33" spans="1:8">
      <c r="A33" s="419">
        <v>27</v>
      </c>
      <c r="B33" s="419" t="s">
        <v>99</v>
      </c>
      <c r="C33" s="705">
        <v>0</v>
      </c>
      <c r="D33" s="705">
        <v>26031244.314000003</v>
      </c>
      <c r="E33" s="705">
        <v>0</v>
      </c>
      <c r="F33" s="705"/>
      <c r="G33" s="705" t="s">
        <v>988</v>
      </c>
      <c r="H33" s="709">
        <f t="shared" si="0"/>
        <v>26031244.314000003</v>
      </c>
    </row>
    <row r="34" spans="1:8">
      <c r="A34" s="419">
        <v>28</v>
      </c>
      <c r="B34" s="422" t="s">
        <v>66</v>
      </c>
      <c r="C34" s="708">
        <f>SUM(C7:C33)</f>
        <v>25968147.703264046</v>
      </c>
      <c r="D34" s="708">
        <f>SUM(D7:D33)</f>
        <v>504107956.86574191</v>
      </c>
      <c r="E34" s="708">
        <f>SUM(E7:E33)</f>
        <v>9692772.9797000028</v>
      </c>
      <c r="F34" s="708">
        <f>SUM(F7:F33)</f>
        <v>0</v>
      </c>
      <c r="G34" s="708">
        <f>SUM(G7:G33)</f>
        <v>1488416.85</v>
      </c>
      <c r="H34" s="709">
        <f t="shared" si="0"/>
        <v>520383331.58930594</v>
      </c>
    </row>
    <row r="36" spans="1:8">
      <c r="B36" s="379"/>
    </row>
    <row r="37" spans="1:8">
      <c r="C37" s="702"/>
      <c r="D37" s="702"/>
      <c r="E37" s="702"/>
      <c r="G37" s="702"/>
      <c r="H37" s="710"/>
    </row>
    <row r="38" spans="1:8">
      <c r="C38" s="702"/>
      <c r="D38" s="719"/>
      <c r="E38" s="702"/>
      <c r="G38" s="702"/>
      <c r="H38" s="710"/>
    </row>
    <row r="42" spans="1:8">
      <c r="F42" s="702"/>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22"/>
  <sheetViews>
    <sheetView showGridLines="0" zoomScale="90" zoomScaleNormal="90" workbookViewId="0">
      <selection activeCell="A3" sqref="A3"/>
    </sheetView>
  </sheetViews>
  <sheetFormatPr defaultColWidth="9.21875" defaultRowHeight="12"/>
  <cols>
    <col min="1" max="1" width="11.77734375" style="374" bestFit="1" customWidth="1"/>
    <col min="2" max="2" width="70.109375" style="374" customWidth="1"/>
    <col min="3" max="3" width="35.5546875" style="374" customWidth="1"/>
    <col min="4" max="4" width="38.44140625" style="374" customWidth="1"/>
    <col min="5" max="16384" width="9.21875" style="374"/>
  </cols>
  <sheetData>
    <row r="1" spans="1:4" ht="13.8">
      <c r="A1" s="373" t="s">
        <v>108</v>
      </c>
      <c r="B1" s="291" t="str">
        <f>Info!C2</f>
        <v>სს " პაშა ბანკი საქართველო"</v>
      </c>
    </row>
    <row r="2" spans="1:4">
      <c r="A2" s="373" t="s">
        <v>109</v>
      </c>
      <c r="B2" s="376">
        <f>'1. key ratios'!B2</f>
        <v>45382</v>
      </c>
    </row>
    <row r="3" spans="1:4">
      <c r="A3" s="375" t="s">
        <v>543</v>
      </c>
    </row>
    <row r="5" spans="1:4">
      <c r="A5" s="800" t="s">
        <v>880</v>
      </c>
      <c r="B5" s="800"/>
      <c r="C5" s="440" t="s">
        <v>562</v>
      </c>
      <c r="D5" s="440" t="s">
        <v>879</v>
      </c>
    </row>
    <row r="6" spans="1:4" ht="24">
      <c r="A6" s="439">
        <v>1</v>
      </c>
      <c r="B6" s="433" t="s">
        <v>878</v>
      </c>
      <c r="C6" s="712">
        <v>16202318.964</v>
      </c>
      <c r="D6" s="712">
        <v>418178.07520000002</v>
      </c>
    </row>
    <row r="7" spans="1:4">
      <c r="A7" s="436">
        <v>2</v>
      </c>
      <c r="B7" s="433" t="s">
        <v>877</v>
      </c>
      <c r="C7" s="712">
        <f>SUM(C8:C9)</f>
        <v>1329113.7043000001</v>
      </c>
      <c r="D7" s="712">
        <f>SUM(D8:D9)</f>
        <v>18993.741300000002</v>
      </c>
    </row>
    <row r="8" spans="1:4">
      <c r="A8" s="438">
        <v>2.1</v>
      </c>
      <c r="B8" s="437" t="s">
        <v>876</v>
      </c>
      <c r="C8" s="712">
        <v>941494.45400000003</v>
      </c>
      <c r="D8" s="712">
        <v>0</v>
      </c>
    </row>
    <row r="9" spans="1:4">
      <c r="A9" s="438">
        <v>2.2000000000000002</v>
      </c>
      <c r="B9" s="437" t="s">
        <v>875</v>
      </c>
      <c r="C9" s="712">
        <v>387619.25030000001</v>
      </c>
      <c r="D9" s="712">
        <v>18993.741300000002</v>
      </c>
    </row>
    <row r="10" spans="1:4">
      <c r="A10" s="439">
        <v>3</v>
      </c>
      <c r="B10" s="433" t="s">
        <v>874</v>
      </c>
      <c r="C10" s="712">
        <f>SUM(C11:C13)</f>
        <v>7847150.2118999995</v>
      </c>
      <c r="D10" s="712">
        <f>SUM(D11:D13)</f>
        <v>22038.268499999998</v>
      </c>
    </row>
    <row r="11" spans="1:4">
      <c r="A11" s="438">
        <v>3.1</v>
      </c>
      <c r="B11" s="437" t="s">
        <v>544</v>
      </c>
      <c r="C11" s="712">
        <v>1239511.3206</v>
      </c>
      <c r="D11" s="712">
        <v>0</v>
      </c>
    </row>
    <row r="12" spans="1:4">
      <c r="A12" s="438">
        <v>3.2</v>
      </c>
      <c r="B12" s="437" t="s">
        <v>873</v>
      </c>
      <c r="C12" s="712">
        <v>5919135.9885999998</v>
      </c>
      <c r="D12" s="712">
        <v>4858.2212</v>
      </c>
    </row>
    <row r="13" spans="1:4">
      <c r="A13" s="438">
        <v>3.3</v>
      </c>
      <c r="B13" s="437" t="s">
        <v>872</v>
      </c>
      <c r="C13" s="712">
        <v>688502.90269999998</v>
      </c>
      <c r="D13" s="712">
        <v>17180.047299999998</v>
      </c>
    </row>
    <row r="14" spans="1:4" ht="24">
      <c r="A14" s="436">
        <v>4</v>
      </c>
      <c r="B14" s="435" t="s">
        <v>871</v>
      </c>
      <c r="C14" s="712">
        <f>-175313.2898+137261.25</f>
        <v>-38052.039799999999</v>
      </c>
      <c r="D14" s="712">
        <v>127.1101</v>
      </c>
    </row>
    <row r="15" spans="1:4" ht="24">
      <c r="A15" s="434">
        <v>5</v>
      </c>
      <c r="B15" s="433" t="s">
        <v>870</v>
      </c>
      <c r="C15" s="713">
        <f>C6+C7-C10+C14</f>
        <v>9646230.4166000001</v>
      </c>
      <c r="D15" s="713">
        <f>D6+D7-D10+D14</f>
        <v>415260.6581</v>
      </c>
    </row>
    <row r="17" spans="3:3">
      <c r="C17" s="701"/>
    </row>
    <row r="18" spans="3:3">
      <c r="C18" s="701"/>
    </row>
    <row r="19" spans="3:3">
      <c r="C19" s="701"/>
    </row>
    <row r="20" spans="3:3">
      <c r="C20" s="701"/>
    </row>
    <row r="21" spans="3:3">
      <c r="C21" s="702"/>
    </row>
    <row r="22" spans="3:3">
      <c r="C22" s="702"/>
    </row>
  </sheetData>
  <mergeCells count="1">
    <mergeCell ref="A5:B5"/>
  </mergeCells>
  <pageMargins left="0.7" right="0.7" top="0.75" bottom="0.75" header="0.3" footer="0.3"/>
  <pageSetup scale="5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80" zoomScaleNormal="80" workbookViewId="0">
      <selection activeCell="A3" sqref="A3"/>
    </sheetView>
  </sheetViews>
  <sheetFormatPr defaultColWidth="9.21875" defaultRowHeight="12"/>
  <cols>
    <col min="1" max="1" width="11.77734375" style="429" bestFit="1" customWidth="1"/>
    <col min="2" max="2" width="89.21875" style="429" customWidth="1"/>
    <col min="3" max="3" width="37" style="429" customWidth="1"/>
    <col min="4" max="4" width="50.5546875" style="429" customWidth="1"/>
    <col min="5" max="16384" width="9.21875" style="429"/>
  </cols>
  <sheetData>
    <row r="1" spans="1:4" ht="13.8">
      <c r="A1" s="373" t="s">
        <v>108</v>
      </c>
      <c r="B1" s="291" t="str">
        <f>Info!C2</f>
        <v>სს " პაშა ბანკი საქართველო"</v>
      </c>
    </row>
    <row r="2" spans="1:4">
      <c r="A2" s="373" t="s">
        <v>109</v>
      </c>
      <c r="B2" s="376">
        <f>'1. key ratios'!B2</f>
        <v>45382</v>
      </c>
    </row>
    <row r="3" spans="1:4">
      <c r="A3" s="375" t="s">
        <v>545</v>
      </c>
    </row>
    <row r="4" spans="1:4">
      <c r="A4" s="375"/>
    </row>
    <row r="5" spans="1:4" ht="15" customHeight="1">
      <c r="A5" s="801" t="s">
        <v>546</v>
      </c>
      <c r="B5" s="802"/>
      <c r="C5" s="805" t="s">
        <v>547</v>
      </c>
      <c r="D5" s="805" t="s">
        <v>548</v>
      </c>
    </row>
    <row r="6" spans="1:4">
      <c r="A6" s="803"/>
      <c r="B6" s="804"/>
      <c r="C6" s="805"/>
      <c r="D6" s="805"/>
    </row>
    <row r="7" spans="1:4">
      <c r="A7" s="422">
        <v>1</v>
      </c>
      <c r="B7" s="422" t="s">
        <v>549</v>
      </c>
      <c r="C7" s="705">
        <v>30108553.148200002</v>
      </c>
      <c r="D7" s="441"/>
    </row>
    <row r="8" spans="1:4">
      <c r="A8" s="419">
        <v>2</v>
      </c>
      <c r="B8" s="419" t="s">
        <v>550</v>
      </c>
      <c r="C8" s="705">
        <v>1037480.7772</v>
      </c>
      <c r="D8" s="441"/>
    </row>
    <row r="9" spans="1:4" ht="24">
      <c r="A9" s="419">
        <v>3</v>
      </c>
      <c r="B9" s="444" t="s">
        <v>551</v>
      </c>
      <c r="C9" s="705">
        <v>19901.3184</v>
      </c>
      <c r="D9" s="441"/>
    </row>
    <row r="10" spans="1:4">
      <c r="A10" s="419">
        <v>4</v>
      </c>
      <c r="B10" s="419" t="s">
        <v>552</v>
      </c>
      <c r="C10" s="705">
        <f>C11+C12+C13+C14+C15+C17</f>
        <v>5452442.8605000023</v>
      </c>
      <c r="D10" s="441"/>
    </row>
    <row r="11" spans="1:4" ht="24">
      <c r="A11" s="419">
        <v>5</v>
      </c>
      <c r="B11" s="443" t="s">
        <v>881</v>
      </c>
      <c r="C11" s="705">
        <v>67400.208100000003</v>
      </c>
      <c r="D11" s="441"/>
    </row>
    <row r="12" spans="1:4" ht="12" customHeight="1">
      <c r="A12" s="419">
        <v>6</v>
      </c>
      <c r="B12" s="443" t="s">
        <v>553</v>
      </c>
      <c r="C12" s="705">
        <f>3624217.3265-C15</f>
        <v>934384.63650000002</v>
      </c>
      <c r="D12" s="441"/>
    </row>
    <row r="13" spans="1:4">
      <c r="A13" s="419">
        <v>7</v>
      </c>
      <c r="B13" s="443" t="s">
        <v>556</v>
      </c>
      <c r="C13" s="705">
        <v>1527208.0133</v>
      </c>
      <c r="D13" s="441"/>
    </row>
    <row r="14" spans="1:4" ht="24">
      <c r="A14" s="419">
        <v>8</v>
      </c>
      <c r="B14" s="443" t="s">
        <v>554</v>
      </c>
      <c r="C14" s="705"/>
      <c r="D14" s="419"/>
    </row>
    <row r="15" spans="1:4">
      <c r="A15" s="419">
        <v>9</v>
      </c>
      <c r="B15" s="443" t="s">
        <v>555</v>
      </c>
      <c r="C15" s="705">
        <v>2689832.69</v>
      </c>
      <c r="D15" s="419"/>
    </row>
    <row r="16" spans="1:4">
      <c r="A16" s="419">
        <v>10</v>
      </c>
      <c r="B16" s="443" t="s">
        <v>557</v>
      </c>
      <c r="C16" s="705"/>
      <c r="D16" s="419"/>
    </row>
    <row r="17" spans="1:4" ht="24">
      <c r="A17" s="419">
        <v>11</v>
      </c>
      <c r="B17" s="443" t="s">
        <v>558</v>
      </c>
      <c r="C17" s="705">
        <v>233617.31260000169</v>
      </c>
      <c r="D17" s="441"/>
    </row>
    <row r="18" spans="1:4">
      <c r="A18" s="422">
        <v>12</v>
      </c>
      <c r="B18" s="442" t="s">
        <v>559</v>
      </c>
      <c r="C18" s="707">
        <f>C7+C8+C9-C10</f>
        <v>25713492.383299999</v>
      </c>
      <c r="D18" s="441"/>
    </row>
    <row r="21" spans="1:4">
      <c r="B21" s="373"/>
    </row>
    <row r="22" spans="1:4">
      <c r="B22" s="373"/>
    </row>
    <row r="23" spans="1:4">
      <c r="B23" s="375"/>
    </row>
  </sheetData>
  <mergeCells count="3">
    <mergeCell ref="A5:B6"/>
    <mergeCell ref="C5:C6"/>
    <mergeCell ref="D5:D6"/>
  </mergeCells>
  <pageMargins left="0.7" right="0.7" top="0.75" bottom="0.75" header="0.3" footer="0.3"/>
  <pageSetup scale="4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80" zoomScaleNormal="80" workbookViewId="0">
      <selection activeCell="A3" sqref="A3"/>
    </sheetView>
  </sheetViews>
  <sheetFormatPr defaultColWidth="9.21875" defaultRowHeight="12"/>
  <cols>
    <col min="1" max="1" width="11.77734375" style="429" bestFit="1" customWidth="1"/>
    <col min="2" max="2" width="43.5546875" style="429" customWidth="1"/>
    <col min="3" max="3" width="15.5546875" style="429" customWidth="1"/>
    <col min="4" max="18" width="22.21875" style="429" customWidth="1"/>
    <col min="19" max="19" width="23.21875" style="429" bestFit="1" customWidth="1"/>
    <col min="20" max="26" width="22.21875" style="429" customWidth="1"/>
    <col min="27" max="27" width="23.21875" style="429" bestFit="1" customWidth="1"/>
    <col min="28" max="28" width="20" style="429" customWidth="1"/>
    <col min="29" max="16384" width="9.21875" style="429"/>
  </cols>
  <sheetData>
    <row r="1" spans="1:28" ht="13.8">
      <c r="A1" s="373" t="s">
        <v>108</v>
      </c>
      <c r="B1" s="291" t="str">
        <f>Info!C2</f>
        <v>სს " პაშა ბანკი საქართველო"</v>
      </c>
    </row>
    <row r="2" spans="1:28">
      <c r="A2" s="373" t="s">
        <v>109</v>
      </c>
      <c r="B2" s="376">
        <f>'1. key ratios'!B2</f>
        <v>45382</v>
      </c>
      <c r="C2" s="430"/>
    </row>
    <row r="3" spans="1:28">
      <c r="A3" s="375" t="s">
        <v>560</v>
      </c>
    </row>
    <row r="5" spans="1:28" ht="15" customHeight="1">
      <c r="A5" s="806" t="s">
        <v>894</v>
      </c>
      <c r="B5" s="807"/>
      <c r="C5" s="798" t="s">
        <v>893</v>
      </c>
      <c r="D5" s="812"/>
      <c r="E5" s="812"/>
      <c r="F5" s="812"/>
      <c r="G5" s="812"/>
      <c r="H5" s="812"/>
      <c r="I5" s="812"/>
      <c r="J5" s="812"/>
      <c r="K5" s="812"/>
      <c r="L5" s="812"/>
      <c r="M5" s="812"/>
      <c r="N5" s="812"/>
      <c r="O5" s="812"/>
      <c r="P5" s="812"/>
      <c r="Q5" s="812"/>
      <c r="R5" s="812"/>
      <c r="S5" s="812"/>
      <c r="T5" s="455"/>
      <c r="U5" s="455"/>
      <c r="V5" s="455"/>
      <c r="W5" s="455"/>
      <c r="X5" s="455"/>
      <c r="Y5" s="455"/>
      <c r="Z5" s="455"/>
      <c r="AA5" s="454"/>
      <c r="AB5" s="447"/>
    </row>
    <row r="6" spans="1:28">
      <c r="A6" s="808"/>
      <c r="B6" s="809"/>
      <c r="C6" s="813" t="s">
        <v>66</v>
      </c>
      <c r="D6" s="815" t="s">
        <v>892</v>
      </c>
      <c r="E6" s="815"/>
      <c r="F6" s="815"/>
      <c r="G6" s="815"/>
      <c r="H6" s="816" t="s">
        <v>891</v>
      </c>
      <c r="I6" s="817"/>
      <c r="J6" s="817"/>
      <c r="K6" s="818"/>
      <c r="L6" s="452"/>
      <c r="M6" s="819" t="s">
        <v>890</v>
      </c>
      <c r="N6" s="819"/>
      <c r="O6" s="819"/>
      <c r="P6" s="819"/>
      <c r="Q6" s="819"/>
      <c r="R6" s="819"/>
      <c r="S6" s="796"/>
      <c r="T6" s="453"/>
      <c r="U6" s="799" t="s">
        <v>889</v>
      </c>
      <c r="V6" s="799"/>
      <c r="W6" s="799"/>
      <c r="X6" s="799"/>
      <c r="Y6" s="799"/>
      <c r="Z6" s="799"/>
      <c r="AA6" s="797"/>
      <c r="AB6" s="452"/>
    </row>
    <row r="7" spans="1:28" ht="24">
      <c r="A7" s="810"/>
      <c r="B7" s="811"/>
      <c r="C7" s="814"/>
      <c r="D7" s="451"/>
      <c r="E7" s="426" t="s">
        <v>561</v>
      </c>
      <c r="F7" s="426" t="s">
        <v>887</v>
      </c>
      <c r="G7" s="426" t="s">
        <v>888</v>
      </c>
      <c r="H7" s="450"/>
      <c r="I7" s="426" t="s">
        <v>561</v>
      </c>
      <c r="J7" s="426" t="s">
        <v>887</v>
      </c>
      <c r="K7" s="426" t="s">
        <v>888</v>
      </c>
      <c r="L7" s="449"/>
      <c r="M7" s="426" t="s">
        <v>561</v>
      </c>
      <c r="N7" s="426" t="s">
        <v>887</v>
      </c>
      <c r="O7" s="426" t="s">
        <v>886</v>
      </c>
      <c r="P7" s="426" t="s">
        <v>885</v>
      </c>
      <c r="Q7" s="426" t="s">
        <v>884</v>
      </c>
      <c r="R7" s="426" t="s">
        <v>883</v>
      </c>
      <c r="S7" s="426" t="s">
        <v>882</v>
      </c>
      <c r="T7" s="448"/>
      <c r="U7" s="426" t="s">
        <v>561</v>
      </c>
      <c r="V7" s="426" t="s">
        <v>887</v>
      </c>
      <c r="W7" s="426" t="s">
        <v>886</v>
      </c>
      <c r="X7" s="426" t="s">
        <v>885</v>
      </c>
      <c r="Y7" s="426" t="s">
        <v>884</v>
      </c>
      <c r="Z7" s="426" t="s">
        <v>883</v>
      </c>
      <c r="AA7" s="426" t="s">
        <v>882</v>
      </c>
      <c r="AB7" s="447"/>
    </row>
    <row r="8" spans="1:28">
      <c r="A8" s="446">
        <v>1</v>
      </c>
      <c r="B8" s="422" t="s">
        <v>562</v>
      </c>
      <c r="C8" s="422">
        <f>262050476.2269+44959775.83</f>
        <v>307010252.05690002</v>
      </c>
      <c r="D8" s="419">
        <f>223566947.9726+44959775.83</f>
        <v>268526723.80260003</v>
      </c>
      <c r="E8" s="419">
        <v>19452482.827300001</v>
      </c>
      <c r="F8" s="419">
        <v>0</v>
      </c>
      <c r="G8" s="700">
        <v>3127.37</v>
      </c>
      <c r="H8" s="419">
        <v>12770035.871200001</v>
      </c>
      <c r="I8" s="419">
        <v>1863733.8441000001</v>
      </c>
      <c r="J8" s="419">
        <v>383033.03940000001</v>
      </c>
      <c r="K8" s="419">
        <v>0</v>
      </c>
      <c r="L8" s="419">
        <v>23324867.771899998</v>
      </c>
      <c r="M8" s="419">
        <v>156885.52110000001</v>
      </c>
      <c r="N8" s="419">
        <v>0</v>
      </c>
      <c r="O8" s="419">
        <v>1443722.1366000001</v>
      </c>
      <c r="P8" s="419">
        <v>7221558.1174999997</v>
      </c>
      <c r="Q8" s="419">
        <v>4941304.0350000001</v>
      </c>
      <c r="R8" s="419">
        <v>6948406.2081000004</v>
      </c>
      <c r="S8" s="419">
        <v>0</v>
      </c>
      <c r="T8" s="419">
        <v>2388624.6112000002</v>
      </c>
      <c r="U8" s="419">
        <v>0</v>
      </c>
      <c r="V8" s="419">
        <v>0</v>
      </c>
      <c r="W8" s="419">
        <v>0</v>
      </c>
      <c r="X8" s="419">
        <v>2388624.6112000002</v>
      </c>
      <c r="Y8" s="419">
        <v>0</v>
      </c>
      <c r="Z8" s="419">
        <v>0</v>
      </c>
      <c r="AA8" s="419">
        <v>0</v>
      </c>
    </row>
    <row r="9" spans="1:28">
      <c r="A9" s="419">
        <v>1.1000000000000001</v>
      </c>
      <c r="B9" s="436" t="s">
        <v>563</v>
      </c>
      <c r="C9" s="436" t="s">
        <v>988</v>
      </c>
      <c r="D9" s="419" t="s">
        <v>988</v>
      </c>
      <c r="E9" s="419" t="s">
        <v>988</v>
      </c>
      <c r="F9" s="419" t="s">
        <v>988</v>
      </c>
      <c r="G9" s="419" t="s">
        <v>988</v>
      </c>
      <c r="H9" s="419" t="s">
        <v>988</v>
      </c>
      <c r="I9" s="419" t="s">
        <v>988</v>
      </c>
      <c r="J9" s="419" t="s">
        <v>988</v>
      </c>
      <c r="K9" s="419" t="s">
        <v>988</v>
      </c>
      <c r="L9" s="419" t="s">
        <v>988</v>
      </c>
      <c r="M9" s="419" t="s">
        <v>988</v>
      </c>
      <c r="N9" s="419" t="s">
        <v>988</v>
      </c>
      <c r="O9" s="419" t="s">
        <v>988</v>
      </c>
      <c r="P9" s="419" t="s">
        <v>988</v>
      </c>
      <c r="Q9" s="419" t="s">
        <v>988</v>
      </c>
      <c r="R9" s="419" t="s">
        <v>988</v>
      </c>
      <c r="S9" s="419" t="s">
        <v>988</v>
      </c>
      <c r="T9" s="419" t="s">
        <v>988</v>
      </c>
      <c r="U9" s="419" t="s">
        <v>988</v>
      </c>
      <c r="V9" s="419" t="s">
        <v>988</v>
      </c>
      <c r="W9" s="419" t="s">
        <v>988</v>
      </c>
      <c r="X9" s="419" t="s">
        <v>988</v>
      </c>
      <c r="Y9" s="419" t="s">
        <v>988</v>
      </c>
      <c r="Z9" s="419" t="s">
        <v>988</v>
      </c>
      <c r="AA9" s="419" t="s">
        <v>988</v>
      </c>
    </row>
    <row r="10" spans="1:28">
      <c r="A10" s="419">
        <v>1.2</v>
      </c>
      <c r="B10" s="436" t="s">
        <v>564</v>
      </c>
      <c r="C10" s="436" t="s">
        <v>988</v>
      </c>
      <c r="D10" s="419" t="s">
        <v>988</v>
      </c>
      <c r="E10" s="419" t="s">
        <v>988</v>
      </c>
      <c r="F10" s="419" t="s">
        <v>988</v>
      </c>
      <c r="G10" s="419" t="s">
        <v>988</v>
      </c>
      <c r="H10" s="419" t="s">
        <v>988</v>
      </c>
      <c r="I10" s="419" t="s">
        <v>988</v>
      </c>
      <c r="J10" s="419" t="s">
        <v>988</v>
      </c>
      <c r="K10" s="419" t="s">
        <v>988</v>
      </c>
      <c r="L10" s="419" t="s">
        <v>988</v>
      </c>
      <c r="M10" s="419" t="s">
        <v>988</v>
      </c>
      <c r="N10" s="419" t="s">
        <v>988</v>
      </c>
      <c r="O10" s="419" t="s">
        <v>988</v>
      </c>
      <c r="P10" s="419" t="s">
        <v>988</v>
      </c>
      <c r="Q10" s="419" t="s">
        <v>988</v>
      </c>
      <c r="R10" s="419" t="s">
        <v>988</v>
      </c>
      <c r="S10" s="419" t="s">
        <v>988</v>
      </c>
      <c r="T10" s="419" t="s">
        <v>988</v>
      </c>
      <c r="U10" s="419" t="s">
        <v>988</v>
      </c>
      <c r="V10" s="419" t="s">
        <v>988</v>
      </c>
      <c r="W10" s="419" t="s">
        <v>988</v>
      </c>
      <c r="X10" s="419" t="s">
        <v>988</v>
      </c>
      <c r="Y10" s="419" t="s">
        <v>988</v>
      </c>
      <c r="Z10" s="419" t="s">
        <v>988</v>
      </c>
      <c r="AA10" s="419" t="s">
        <v>988</v>
      </c>
    </row>
    <row r="11" spans="1:28">
      <c r="A11" s="419">
        <v>1.3</v>
      </c>
      <c r="B11" s="436" t="s">
        <v>565</v>
      </c>
      <c r="C11" s="436">
        <v>44959775.829999998</v>
      </c>
      <c r="D11" s="419">
        <v>44959775.829999998</v>
      </c>
      <c r="E11" s="419" t="s">
        <v>988</v>
      </c>
      <c r="F11" s="419" t="s">
        <v>988</v>
      </c>
      <c r="G11" s="419" t="s">
        <v>988</v>
      </c>
      <c r="H11" s="419" t="s">
        <v>988</v>
      </c>
      <c r="I11" s="419" t="s">
        <v>988</v>
      </c>
      <c r="J11" s="419" t="s">
        <v>988</v>
      </c>
      <c r="K11" s="419" t="s">
        <v>988</v>
      </c>
      <c r="L11" s="419" t="s">
        <v>988</v>
      </c>
      <c r="M11" s="419" t="s">
        <v>988</v>
      </c>
      <c r="N11" s="419" t="s">
        <v>988</v>
      </c>
      <c r="O11" s="419" t="s">
        <v>988</v>
      </c>
      <c r="P11" s="419" t="s">
        <v>988</v>
      </c>
      <c r="Q11" s="419" t="s">
        <v>988</v>
      </c>
      <c r="R11" s="419" t="s">
        <v>988</v>
      </c>
      <c r="S11" s="419" t="s">
        <v>988</v>
      </c>
      <c r="T11" s="419" t="s">
        <v>988</v>
      </c>
      <c r="U11" s="419" t="s">
        <v>988</v>
      </c>
      <c r="V11" s="419" t="s">
        <v>988</v>
      </c>
      <c r="W11" s="419" t="s">
        <v>988</v>
      </c>
      <c r="X11" s="419" t="s">
        <v>988</v>
      </c>
      <c r="Y11" s="419" t="s">
        <v>988</v>
      </c>
      <c r="Z11" s="419" t="s">
        <v>988</v>
      </c>
      <c r="AA11" s="419" t="s">
        <v>988</v>
      </c>
    </row>
    <row r="12" spans="1:28">
      <c r="A12" s="419">
        <v>1.4</v>
      </c>
      <c r="B12" s="436" t="s">
        <v>566</v>
      </c>
      <c r="C12" s="436">
        <v>61233959.740400001</v>
      </c>
      <c r="D12" s="419">
        <v>61072241.740400001</v>
      </c>
      <c r="E12" s="419">
        <v>0</v>
      </c>
      <c r="F12" s="419">
        <v>0</v>
      </c>
      <c r="G12" s="419">
        <v>0</v>
      </c>
      <c r="H12" s="419">
        <v>0</v>
      </c>
      <c r="I12" s="419">
        <v>0</v>
      </c>
      <c r="J12" s="419">
        <v>0</v>
      </c>
      <c r="K12" s="419">
        <v>0</v>
      </c>
      <c r="L12" s="419">
        <v>161718</v>
      </c>
      <c r="M12" s="419">
        <v>0</v>
      </c>
      <c r="N12" s="419">
        <v>0</v>
      </c>
      <c r="O12" s="419">
        <v>0</v>
      </c>
      <c r="P12" s="419">
        <v>0</v>
      </c>
      <c r="Q12" s="419">
        <v>0</v>
      </c>
      <c r="R12" s="419">
        <v>161718</v>
      </c>
      <c r="S12" s="419">
        <v>0</v>
      </c>
      <c r="T12" s="419">
        <v>0</v>
      </c>
      <c r="U12" s="419">
        <v>0</v>
      </c>
      <c r="V12" s="419">
        <v>0</v>
      </c>
      <c r="W12" s="419">
        <v>0</v>
      </c>
      <c r="X12" s="419">
        <v>0</v>
      </c>
      <c r="Y12" s="419">
        <v>0</v>
      </c>
      <c r="Z12" s="419">
        <v>0</v>
      </c>
      <c r="AA12" s="419">
        <v>0</v>
      </c>
    </row>
    <row r="13" spans="1:28">
      <c r="A13" s="419">
        <v>1.5</v>
      </c>
      <c r="B13" s="436" t="s">
        <v>567</v>
      </c>
      <c r="C13" s="436">
        <v>194037898.01100001</v>
      </c>
      <c r="D13" s="419">
        <v>159386756.03690001</v>
      </c>
      <c r="E13" s="419">
        <v>19452482.827300001</v>
      </c>
      <c r="F13" s="419">
        <v>0</v>
      </c>
      <c r="G13" s="419">
        <v>0</v>
      </c>
      <c r="H13" s="419">
        <v>11765498.206</v>
      </c>
      <c r="I13" s="419">
        <v>1863733.8441000001</v>
      </c>
      <c r="J13" s="419">
        <v>336707.54940000002</v>
      </c>
      <c r="K13" s="419">
        <v>0</v>
      </c>
      <c r="L13" s="419">
        <v>20497019.1569</v>
      </c>
      <c r="M13" s="419">
        <v>0</v>
      </c>
      <c r="N13" s="419">
        <v>0</v>
      </c>
      <c r="O13" s="419">
        <v>1434730.3659000001</v>
      </c>
      <c r="P13" s="419">
        <v>7179677.8887</v>
      </c>
      <c r="Q13" s="419">
        <v>4941304.0350000001</v>
      </c>
      <c r="R13" s="419">
        <v>4332606.0723999999</v>
      </c>
      <c r="S13" s="419">
        <v>0</v>
      </c>
      <c r="T13" s="419">
        <v>2388624.6112000002</v>
      </c>
      <c r="U13" s="419">
        <v>0</v>
      </c>
      <c r="V13" s="419">
        <v>0</v>
      </c>
      <c r="W13" s="419">
        <v>0</v>
      </c>
      <c r="X13" s="419">
        <v>2388624.6112000002</v>
      </c>
      <c r="Y13" s="419">
        <v>0</v>
      </c>
      <c r="Z13" s="419">
        <v>0</v>
      </c>
      <c r="AA13" s="419">
        <v>0</v>
      </c>
    </row>
    <row r="14" spans="1:28">
      <c r="A14" s="419">
        <v>1.6</v>
      </c>
      <c r="B14" s="436" t="s">
        <v>568</v>
      </c>
      <c r="C14" s="436">
        <v>6778618.4754999997</v>
      </c>
      <c r="D14" s="419">
        <v>3107950.1952999998</v>
      </c>
      <c r="E14" s="419">
        <v>0</v>
      </c>
      <c r="F14" s="419">
        <v>0</v>
      </c>
      <c r="G14" s="700">
        <v>3127.37</v>
      </c>
      <c r="H14" s="419">
        <v>1004537.6652</v>
      </c>
      <c r="I14" s="419">
        <v>0</v>
      </c>
      <c r="J14" s="419">
        <v>46325.49</v>
      </c>
      <c r="K14" s="419">
        <v>0</v>
      </c>
      <c r="L14" s="419">
        <v>2666130.6150000002</v>
      </c>
      <c r="M14" s="419">
        <v>156885.52110000001</v>
      </c>
      <c r="N14" s="419">
        <v>0</v>
      </c>
      <c r="O14" s="419">
        <v>8991.7706999999991</v>
      </c>
      <c r="P14" s="419">
        <v>41880.228799999997</v>
      </c>
      <c r="Q14" s="419">
        <v>0</v>
      </c>
      <c r="R14" s="419">
        <v>2454082.1357</v>
      </c>
      <c r="S14" s="419">
        <v>0</v>
      </c>
      <c r="T14" s="419">
        <v>0</v>
      </c>
      <c r="U14" s="419">
        <v>0</v>
      </c>
      <c r="V14" s="419">
        <v>0</v>
      </c>
      <c r="W14" s="419">
        <v>0</v>
      </c>
      <c r="X14" s="419">
        <v>0</v>
      </c>
      <c r="Y14" s="419">
        <v>0</v>
      </c>
      <c r="Z14" s="419">
        <v>0</v>
      </c>
      <c r="AA14" s="419">
        <v>0</v>
      </c>
    </row>
    <row r="15" spans="1:28">
      <c r="A15" s="446">
        <v>2</v>
      </c>
      <c r="B15" s="422" t="s">
        <v>569</v>
      </c>
      <c r="C15" s="422">
        <f>SUM(C16:C21)</f>
        <v>62206658.372999996</v>
      </c>
      <c r="D15" s="419">
        <f>SUM(D16:D21)</f>
        <v>62206658.372999996</v>
      </c>
      <c r="E15" s="419">
        <v>0</v>
      </c>
      <c r="F15" s="419">
        <v>0</v>
      </c>
      <c r="G15" s="419">
        <v>0</v>
      </c>
      <c r="H15" s="419">
        <v>0</v>
      </c>
      <c r="I15" s="419">
        <v>0</v>
      </c>
      <c r="J15" s="419">
        <v>0</v>
      </c>
      <c r="K15" s="419">
        <v>0</v>
      </c>
      <c r="L15" s="419">
        <v>0</v>
      </c>
      <c r="M15" s="419">
        <v>0</v>
      </c>
      <c r="N15" s="419">
        <v>0</v>
      </c>
      <c r="O15" s="419">
        <v>0</v>
      </c>
      <c r="P15" s="419">
        <v>0</v>
      </c>
      <c r="Q15" s="419">
        <v>0</v>
      </c>
      <c r="R15" s="419">
        <v>0</v>
      </c>
      <c r="S15" s="419">
        <v>0</v>
      </c>
      <c r="T15" s="419">
        <v>0</v>
      </c>
      <c r="U15" s="419">
        <v>0</v>
      </c>
      <c r="V15" s="419">
        <v>0</v>
      </c>
      <c r="W15" s="419">
        <v>0</v>
      </c>
      <c r="X15" s="419">
        <v>0</v>
      </c>
      <c r="Y15" s="419">
        <v>0</v>
      </c>
      <c r="Z15" s="419">
        <v>0</v>
      </c>
      <c r="AA15" s="419">
        <v>0</v>
      </c>
    </row>
    <row r="16" spans="1:28">
      <c r="A16" s="419">
        <v>2.1</v>
      </c>
      <c r="B16" s="436" t="s">
        <v>563</v>
      </c>
      <c r="C16" s="436" t="s">
        <v>988</v>
      </c>
      <c r="D16" s="419" t="s">
        <v>988</v>
      </c>
      <c r="E16" s="419" t="s">
        <v>988</v>
      </c>
      <c r="F16" s="419" t="s">
        <v>988</v>
      </c>
      <c r="G16" s="419" t="s">
        <v>988</v>
      </c>
      <c r="H16" s="419" t="s">
        <v>988</v>
      </c>
      <c r="I16" s="419" t="s">
        <v>988</v>
      </c>
      <c r="J16" s="419" t="s">
        <v>988</v>
      </c>
      <c r="K16" s="419" t="s">
        <v>988</v>
      </c>
      <c r="L16" s="419" t="s">
        <v>988</v>
      </c>
      <c r="M16" s="419" t="s">
        <v>988</v>
      </c>
      <c r="N16" s="419" t="s">
        <v>988</v>
      </c>
      <c r="O16" s="419" t="s">
        <v>988</v>
      </c>
      <c r="P16" s="419" t="s">
        <v>988</v>
      </c>
      <c r="Q16" s="419" t="s">
        <v>988</v>
      </c>
      <c r="R16" s="419" t="s">
        <v>988</v>
      </c>
      <c r="S16" s="419" t="s">
        <v>988</v>
      </c>
      <c r="T16" s="419" t="s">
        <v>988</v>
      </c>
      <c r="U16" s="419" t="s">
        <v>988</v>
      </c>
      <c r="V16" s="419" t="s">
        <v>988</v>
      </c>
      <c r="W16" s="419" t="s">
        <v>988</v>
      </c>
      <c r="X16" s="419" t="s">
        <v>988</v>
      </c>
      <c r="Y16" s="419" t="s">
        <v>988</v>
      </c>
      <c r="Z16" s="419" t="s">
        <v>988</v>
      </c>
      <c r="AA16" s="419" t="s">
        <v>988</v>
      </c>
    </row>
    <row r="17" spans="1:27">
      <c r="A17" s="419">
        <v>2.2000000000000002</v>
      </c>
      <c r="B17" s="436" t="s">
        <v>564</v>
      </c>
      <c r="C17" s="715">
        <v>5346400</v>
      </c>
      <c r="D17" s="705">
        <v>5346400</v>
      </c>
      <c r="E17" s="419" t="s">
        <v>988</v>
      </c>
      <c r="F17" s="419" t="s">
        <v>988</v>
      </c>
      <c r="G17" s="419" t="s">
        <v>989</v>
      </c>
      <c r="H17" s="419" t="s">
        <v>988</v>
      </c>
      <c r="I17" s="419" t="s">
        <v>988</v>
      </c>
      <c r="J17" s="419" t="s">
        <v>988</v>
      </c>
      <c r="K17" s="419" t="s">
        <v>988</v>
      </c>
      <c r="L17" s="419" t="s">
        <v>988</v>
      </c>
      <c r="M17" s="419" t="s">
        <v>988</v>
      </c>
      <c r="N17" s="419" t="s">
        <v>988</v>
      </c>
      <c r="O17" s="419" t="s">
        <v>988</v>
      </c>
      <c r="P17" s="419" t="s">
        <v>988</v>
      </c>
      <c r="Q17" s="419" t="s">
        <v>988</v>
      </c>
      <c r="R17" s="419" t="s">
        <v>988</v>
      </c>
      <c r="S17" s="419" t="s">
        <v>988</v>
      </c>
      <c r="T17" s="419" t="s">
        <v>988</v>
      </c>
      <c r="U17" s="419" t="s">
        <v>988</v>
      </c>
      <c r="V17" s="419" t="s">
        <v>988</v>
      </c>
      <c r="W17" s="419" t="s">
        <v>988</v>
      </c>
      <c r="X17" s="419" t="s">
        <v>988</v>
      </c>
      <c r="Y17" s="419" t="s">
        <v>988</v>
      </c>
      <c r="Z17" s="419" t="s">
        <v>988</v>
      </c>
      <c r="AA17" s="419" t="s">
        <v>988</v>
      </c>
    </row>
    <row r="18" spans="1:27">
      <c r="A18" s="419">
        <v>2.2999999999999998</v>
      </c>
      <c r="B18" s="436" t="s">
        <v>565</v>
      </c>
      <c r="C18" s="715" t="s">
        <v>988</v>
      </c>
      <c r="D18" s="705" t="s">
        <v>988</v>
      </c>
      <c r="E18" s="419" t="s">
        <v>988</v>
      </c>
      <c r="F18" s="419" t="s">
        <v>988</v>
      </c>
      <c r="G18" s="419" t="s">
        <v>988</v>
      </c>
      <c r="H18" s="419" t="s">
        <v>988</v>
      </c>
      <c r="I18" s="419" t="s">
        <v>988</v>
      </c>
      <c r="J18" s="419" t="s">
        <v>988</v>
      </c>
      <c r="K18" s="419" t="s">
        <v>988</v>
      </c>
      <c r="L18" s="419" t="s">
        <v>988</v>
      </c>
      <c r="M18" s="419" t="s">
        <v>988</v>
      </c>
      <c r="N18" s="419" t="s">
        <v>988</v>
      </c>
      <c r="O18" s="419" t="s">
        <v>988</v>
      </c>
      <c r="P18" s="419" t="s">
        <v>988</v>
      </c>
      <c r="Q18" s="419" t="s">
        <v>988</v>
      </c>
      <c r="R18" s="419" t="s">
        <v>988</v>
      </c>
      <c r="S18" s="419" t="s">
        <v>988</v>
      </c>
      <c r="T18" s="419" t="s">
        <v>988</v>
      </c>
      <c r="U18" s="419" t="s">
        <v>988</v>
      </c>
      <c r="V18" s="419" t="s">
        <v>988</v>
      </c>
      <c r="W18" s="419" t="s">
        <v>988</v>
      </c>
      <c r="X18" s="419" t="s">
        <v>988</v>
      </c>
      <c r="Y18" s="419" t="s">
        <v>988</v>
      </c>
      <c r="Z18" s="419" t="s">
        <v>988</v>
      </c>
      <c r="AA18" s="419" t="s">
        <v>988</v>
      </c>
    </row>
    <row r="19" spans="1:27">
      <c r="A19" s="419">
        <v>2.4</v>
      </c>
      <c r="B19" s="436" t="s">
        <v>566</v>
      </c>
      <c r="C19" s="715">
        <v>32887240.57</v>
      </c>
      <c r="D19" s="705">
        <v>32887240.57</v>
      </c>
      <c r="E19" s="419">
        <v>0</v>
      </c>
      <c r="F19" s="419">
        <v>0</v>
      </c>
      <c r="G19" s="419">
        <v>0</v>
      </c>
      <c r="H19" s="419">
        <v>0</v>
      </c>
      <c r="I19" s="419">
        <v>0</v>
      </c>
      <c r="J19" s="419">
        <v>0</v>
      </c>
      <c r="K19" s="419">
        <v>0</v>
      </c>
      <c r="L19" s="419">
        <v>0</v>
      </c>
      <c r="M19" s="419">
        <v>0</v>
      </c>
      <c r="N19" s="419">
        <v>0</v>
      </c>
      <c r="O19" s="419">
        <v>0</v>
      </c>
      <c r="P19" s="419">
        <v>0</v>
      </c>
      <c r="Q19" s="419">
        <v>0</v>
      </c>
      <c r="R19" s="419">
        <v>0</v>
      </c>
      <c r="S19" s="419">
        <v>0</v>
      </c>
      <c r="T19" s="419">
        <v>0</v>
      </c>
      <c r="U19" s="419">
        <v>0</v>
      </c>
      <c r="V19" s="419">
        <v>0</v>
      </c>
      <c r="W19" s="419">
        <v>0</v>
      </c>
      <c r="X19" s="419">
        <v>0</v>
      </c>
      <c r="Y19" s="419">
        <v>0</v>
      </c>
      <c r="Z19" s="419">
        <v>0</v>
      </c>
      <c r="AA19" s="419">
        <v>0</v>
      </c>
    </row>
    <row r="20" spans="1:27">
      <c r="A20" s="419">
        <v>2.5</v>
      </c>
      <c r="B20" s="436" t="s">
        <v>567</v>
      </c>
      <c r="C20" s="715">
        <v>23973017.802999999</v>
      </c>
      <c r="D20" s="705">
        <v>23973017.802999999</v>
      </c>
      <c r="E20" s="419">
        <v>0</v>
      </c>
      <c r="F20" s="419">
        <v>0</v>
      </c>
      <c r="G20" s="419">
        <v>0</v>
      </c>
      <c r="H20" s="419">
        <v>0</v>
      </c>
      <c r="I20" s="419">
        <v>0</v>
      </c>
      <c r="J20" s="419">
        <v>0</v>
      </c>
      <c r="K20" s="419">
        <v>0</v>
      </c>
      <c r="L20" s="419">
        <v>0</v>
      </c>
      <c r="M20" s="419">
        <v>0</v>
      </c>
      <c r="N20" s="419">
        <v>0</v>
      </c>
      <c r="O20" s="419">
        <v>0</v>
      </c>
      <c r="P20" s="419">
        <v>0</v>
      </c>
      <c r="Q20" s="419">
        <v>0</v>
      </c>
      <c r="R20" s="419">
        <v>0</v>
      </c>
      <c r="S20" s="419">
        <v>0</v>
      </c>
      <c r="T20" s="419">
        <v>0</v>
      </c>
      <c r="U20" s="419">
        <v>0</v>
      </c>
      <c r="V20" s="419">
        <v>0</v>
      </c>
      <c r="W20" s="419">
        <v>0</v>
      </c>
      <c r="X20" s="419">
        <v>0</v>
      </c>
      <c r="Y20" s="419">
        <v>0</v>
      </c>
      <c r="Z20" s="419">
        <v>0</v>
      </c>
      <c r="AA20" s="419">
        <v>0</v>
      </c>
    </row>
    <row r="21" spans="1:27">
      <c r="A21" s="419">
        <v>2.6</v>
      </c>
      <c r="B21" s="436" t="s">
        <v>568</v>
      </c>
      <c r="C21" s="436" t="s">
        <v>988</v>
      </c>
      <c r="D21" s="419" t="s">
        <v>988</v>
      </c>
      <c r="E21" s="419" t="s">
        <v>988</v>
      </c>
      <c r="F21" s="419" t="s">
        <v>988</v>
      </c>
      <c r="G21" s="419" t="s">
        <v>988</v>
      </c>
      <c r="H21" s="419" t="s">
        <v>988</v>
      </c>
      <c r="I21" s="419" t="s">
        <v>988</v>
      </c>
      <c r="J21" s="419" t="s">
        <v>988</v>
      </c>
      <c r="K21" s="419" t="s">
        <v>988</v>
      </c>
      <c r="L21" s="419" t="s">
        <v>988</v>
      </c>
      <c r="M21" s="419" t="s">
        <v>988</v>
      </c>
      <c r="N21" s="419" t="s">
        <v>988</v>
      </c>
      <c r="O21" s="419" t="s">
        <v>988</v>
      </c>
      <c r="P21" s="419" t="s">
        <v>988</v>
      </c>
      <c r="Q21" s="419" t="s">
        <v>988</v>
      </c>
      <c r="R21" s="419" t="s">
        <v>988</v>
      </c>
      <c r="S21" s="419" t="s">
        <v>988</v>
      </c>
      <c r="T21" s="419" t="s">
        <v>988</v>
      </c>
      <c r="U21" s="419" t="s">
        <v>988</v>
      </c>
      <c r="V21" s="419" t="s">
        <v>988</v>
      </c>
      <c r="W21" s="419" t="s">
        <v>988</v>
      </c>
      <c r="X21" s="419" t="s">
        <v>988</v>
      </c>
      <c r="Y21" s="419" t="s">
        <v>988</v>
      </c>
      <c r="Z21" s="419" t="s">
        <v>988</v>
      </c>
      <c r="AA21" s="419" t="s">
        <v>988</v>
      </c>
    </row>
    <row r="22" spans="1:27">
      <c r="A22" s="446">
        <v>3</v>
      </c>
      <c r="B22" s="422" t="s">
        <v>570</v>
      </c>
      <c r="C22" s="422">
        <v>86834597.298899993</v>
      </c>
      <c r="D22" s="422">
        <v>86517236.638099998</v>
      </c>
      <c r="E22" s="445" t="s">
        <v>988</v>
      </c>
      <c r="F22" s="445" t="s">
        <v>988</v>
      </c>
      <c r="G22" s="445" t="s">
        <v>988</v>
      </c>
      <c r="H22" s="422">
        <v>317360.66070000001</v>
      </c>
      <c r="I22" s="445" t="s">
        <v>988</v>
      </c>
      <c r="J22" s="445" t="s">
        <v>988</v>
      </c>
      <c r="K22" s="445" t="s">
        <v>988</v>
      </c>
      <c r="L22" s="422">
        <v>0</v>
      </c>
      <c r="M22" s="445" t="s">
        <v>988</v>
      </c>
      <c r="N22" s="445" t="s">
        <v>988</v>
      </c>
      <c r="O22" s="445" t="s">
        <v>988</v>
      </c>
      <c r="P22" s="445" t="s">
        <v>988</v>
      </c>
      <c r="Q22" s="445" t="s">
        <v>988</v>
      </c>
      <c r="R22" s="445" t="s">
        <v>988</v>
      </c>
      <c r="S22" s="445" t="s">
        <v>988</v>
      </c>
      <c r="T22" s="422">
        <v>0</v>
      </c>
      <c r="U22" s="445" t="s">
        <v>988</v>
      </c>
      <c r="V22" s="445" t="s">
        <v>988</v>
      </c>
      <c r="W22" s="445" t="s">
        <v>988</v>
      </c>
      <c r="X22" s="445" t="s">
        <v>988</v>
      </c>
      <c r="Y22" s="445" t="s">
        <v>988</v>
      </c>
      <c r="Z22" s="445" t="s">
        <v>988</v>
      </c>
      <c r="AA22" s="445" t="s">
        <v>988</v>
      </c>
    </row>
    <row r="23" spans="1:27">
      <c r="A23" s="419">
        <v>3.1</v>
      </c>
      <c r="B23" s="436" t="s">
        <v>563</v>
      </c>
      <c r="C23" s="436" t="s">
        <v>988</v>
      </c>
      <c r="D23" s="422" t="s">
        <v>988</v>
      </c>
      <c r="E23" s="445" t="s">
        <v>988</v>
      </c>
      <c r="F23" s="445" t="s">
        <v>988</v>
      </c>
      <c r="G23" s="445" t="s">
        <v>988</v>
      </c>
      <c r="H23" s="422" t="s">
        <v>988</v>
      </c>
      <c r="I23" s="445" t="s">
        <v>988</v>
      </c>
      <c r="J23" s="445" t="s">
        <v>988</v>
      </c>
      <c r="K23" s="445" t="s">
        <v>988</v>
      </c>
      <c r="L23" s="422" t="s">
        <v>988</v>
      </c>
      <c r="M23" s="445" t="s">
        <v>988</v>
      </c>
      <c r="N23" s="445" t="s">
        <v>988</v>
      </c>
      <c r="O23" s="445" t="s">
        <v>988</v>
      </c>
      <c r="P23" s="445" t="s">
        <v>988</v>
      </c>
      <c r="Q23" s="445" t="s">
        <v>988</v>
      </c>
      <c r="R23" s="445" t="s">
        <v>988</v>
      </c>
      <c r="S23" s="445" t="s">
        <v>988</v>
      </c>
      <c r="T23" s="422" t="s">
        <v>988</v>
      </c>
      <c r="U23" s="445" t="s">
        <v>988</v>
      </c>
      <c r="V23" s="445" t="s">
        <v>988</v>
      </c>
      <c r="W23" s="445" t="s">
        <v>988</v>
      </c>
      <c r="X23" s="445" t="s">
        <v>988</v>
      </c>
      <c r="Y23" s="445" t="s">
        <v>988</v>
      </c>
      <c r="Z23" s="445" t="s">
        <v>988</v>
      </c>
      <c r="AA23" s="445" t="s">
        <v>988</v>
      </c>
    </row>
    <row r="24" spans="1:27">
      <c r="A24" s="419">
        <v>3.2</v>
      </c>
      <c r="B24" s="436" t="s">
        <v>564</v>
      </c>
      <c r="C24" s="436" t="s">
        <v>988</v>
      </c>
      <c r="D24" s="422" t="s">
        <v>988</v>
      </c>
      <c r="E24" s="445" t="s">
        <v>988</v>
      </c>
      <c r="F24" s="445" t="s">
        <v>988</v>
      </c>
      <c r="G24" s="445" t="s">
        <v>988</v>
      </c>
      <c r="H24" s="422" t="s">
        <v>988</v>
      </c>
      <c r="I24" s="445" t="s">
        <v>988</v>
      </c>
      <c r="J24" s="445" t="s">
        <v>988</v>
      </c>
      <c r="K24" s="445" t="s">
        <v>988</v>
      </c>
      <c r="L24" s="422" t="s">
        <v>988</v>
      </c>
      <c r="M24" s="445" t="s">
        <v>988</v>
      </c>
      <c r="N24" s="445" t="s">
        <v>988</v>
      </c>
      <c r="O24" s="445" t="s">
        <v>988</v>
      </c>
      <c r="P24" s="445" t="s">
        <v>988</v>
      </c>
      <c r="Q24" s="445" t="s">
        <v>988</v>
      </c>
      <c r="R24" s="445" t="s">
        <v>988</v>
      </c>
      <c r="S24" s="445" t="s">
        <v>988</v>
      </c>
      <c r="T24" s="422" t="s">
        <v>988</v>
      </c>
      <c r="U24" s="445" t="s">
        <v>988</v>
      </c>
      <c r="V24" s="445" t="s">
        <v>988</v>
      </c>
      <c r="W24" s="445" t="s">
        <v>988</v>
      </c>
      <c r="X24" s="445" t="s">
        <v>988</v>
      </c>
      <c r="Y24" s="445" t="s">
        <v>988</v>
      </c>
      <c r="Z24" s="445" t="s">
        <v>988</v>
      </c>
      <c r="AA24" s="445" t="s">
        <v>988</v>
      </c>
    </row>
    <row r="25" spans="1:27">
      <c r="A25" s="419">
        <v>3.3</v>
      </c>
      <c r="B25" s="436" t="s">
        <v>565</v>
      </c>
      <c r="C25" s="436">
        <v>600000</v>
      </c>
      <c r="D25" s="422">
        <v>600000</v>
      </c>
      <c r="E25" s="445" t="s">
        <v>988</v>
      </c>
      <c r="F25" s="445" t="s">
        <v>988</v>
      </c>
      <c r="G25" s="445" t="s">
        <v>988</v>
      </c>
      <c r="H25" s="422">
        <v>0</v>
      </c>
      <c r="I25" s="445" t="s">
        <v>988</v>
      </c>
      <c r="J25" s="445" t="s">
        <v>988</v>
      </c>
      <c r="K25" s="445" t="s">
        <v>988</v>
      </c>
      <c r="L25" s="422">
        <v>0</v>
      </c>
      <c r="M25" s="445" t="s">
        <v>988</v>
      </c>
      <c r="N25" s="445" t="s">
        <v>988</v>
      </c>
      <c r="O25" s="445" t="s">
        <v>988</v>
      </c>
      <c r="P25" s="445" t="s">
        <v>988</v>
      </c>
      <c r="Q25" s="445" t="s">
        <v>988</v>
      </c>
      <c r="R25" s="445" t="s">
        <v>988</v>
      </c>
      <c r="S25" s="445" t="s">
        <v>988</v>
      </c>
      <c r="T25" s="422">
        <v>0</v>
      </c>
      <c r="U25" s="445" t="s">
        <v>988</v>
      </c>
      <c r="V25" s="445" t="s">
        <v>988</v>
      </c>
      <c r="W25" s="445" t="s">
        <v>988</v>
      </c>
      <c r="X25" s="445" t="s">
        <v>988</v>
      </c>
      <c r="Y25" s="445" t="s">
        <v>988</v>
      </c>
      <c r="Z25" s="445" t="s">
        <v>988</v>
      </c>
      <c r="AA25" s="445" t="s">
        <v>988</v>
      </c>
    </row>
    <row r="26" spans="1:27">
      <c r="A26" s="419">
        <v>3.4</v>
      </c>
      <c r="B26" s="436" t="s">
        <v>566</v>
      </c>
      <c r="C26" s="436">
        <v>15303125.4399</v>
      </c>
      <c r="D26" s="422">
        <v>15303125.4399</v>
      </c>
      <c r="E26" s="445" t="s">
        <v>988</v>
      </c>
      <c r="F26" s="445" t="s">
        <v>988</v>
      </c>
      <c r="G26" s="445" t="s">
        <v>988</v>
      </c>
      <c r="H26" s="422">
        <v>0</v>
      </c>
      <c r="I26" s="445" t="s">
        <v>988</v>
      </c>
      <c r="J26" s="445" t="s">
        <v>988</v>
      </c>
      <c r="K26" s="445" t="s">
        <v>988</v>
      </c>
      <c r="L26" s="422">
        <v>0</v>
      </c>
      <c r="M26" s="445" t="s">
        <v>988</v>
      </c>
      <c r="N26" s="445" t="s">
        <v>988</v>
      </c>
      <c r="O26" s="445" t="s">
        <v>988</v>
      </c>
      <c r="P26" s="445" t="s">
        <v>988</v>
      </c>
      <c r="Q26" s="445" t="s">
        <v>988</v>
      </c>
      <c r="R26" s="445" t="s">
        <v>988</v>
      </c>
      <c r="S26" s="445" t="s">
        <v>988</v>
      </c>
      <c r="T26" s="422">
        <v>0</v>
      </c>
      <c r="U26" s="445" t="s">
        <v>988</v>
      </c>
      <c r="V26" s="445" t="s">
        <v>988</v>
      </c>
      <c r="W26" s="445" t="s">
        <v>988</v>
      </c>
      <c r="X26" s="445" t="s">
        <v>988</v>
      </c>
      <c r="Y26" s="445" t="s">
        <v>988</v>
      </c>
      <c r="Z26" s="445" t="s">
        <v>988</v>
      </c>
      <c r="AA26" s="445" t="s">
        <v>988</v>
      </c>
    </row>
    <row r="27" spans="1:27">
      <c r="A27" s="419">
        <v>3.5</v>
      </c>
      <c r="B27" s="436" t="s">
        <v>567</v>
      </c>
      <c r="C27" s="436">
        <v>70647910.068900004</v>
      </c>
      <c r="D27" s="422">
        <v>70330549.408199996</v>
      </c>
      <c r="E27" s="445" t="s">
        <v>988</v>
      </c>
      <c r="F27" s="445" t="s">
        <v>988</v>
      </c>
      <c r="G27" s="445" t="s">
        <v>988</v>
      </c>
      <c r="H27" s="422">
        <v>317360.66070000001</v>
      </c>
      <c r="I27" s="445" t="s">
        <v>988</v>
      </c>
      <c r="J27" s="445" t="s">
        <v>988</v>
      </c>
      <c r="K27" s="445" t="s">
        <v>988</v>
      </c>
      <c r="L27" s="422">
        <v>0</v>
      </c>
      <c r="M27" s="445" t="s">
        <v>988</v>
      </c>
      <c r="N27" s="445" t="s">
        <v>988</v>
      </c>
      <c r="O27" s="445" t="s">
        <v>988</v>
      </c>
      <c r="P27" s="445" t="s">
        <v>988</v>
      </c>
      <c r="Q27" s="445" t="s">
        <v>988</v>
      </c>
      <c r="R27" s="445" t="s">
        <v>988</v>
      </c>
      <c r="S27" s="445" t="s">
        <v>988</v>
      </c>
      <c r="T27" s="422">
        <v>0</v>
      </c>
      <c r="U27" s="445" t="s">
        <v>988</v>
      </c>
      <c r="V27" s="445" t="s">
        <v>988</v>
      </c>
      <c r="W27" s="445" t="s">
        <v>988</v>
      </c>
      <c r="X27" s="445" t="s">
        <v>988</v>
      </c>
      <c r="Y27" s="445" t="s">
        <v>988</v>
      </c>
      <c r="Z27" s="445" t="s">
        <v>988</v>
      </c>
      <c r="AA27" s="445" t="s">
        <v>988</v>
      </c>
    </row>
    <row r="28" spans="1:27">
      <c r="A28" s="419">
        <v>3.6</v>
      </c>
      <c r="B28" s="436" t="s">
        <v>568</v>
      </c>
      <c r="C28" s="436">
        <v>283561.78999999998</v>
      </c>
      <c r="D28" s="422">
        <v>283561.78999999998</v>
      </c>
      <c r="E28" s="445" t="s">
        <v>988</v>
      </c>
      <c r="F28" s="445" t="s">
        <v>988</v>
      </c>
      <c r="G28" s="445" t="s">
        <v>988</v>
      </c>
      <c r="H28" s="422">
        <v>0</v>
      </c>
      <c r="I28" s="445" t="s">
        <v>988</v>
      </c>
      <c r="J28" s="445" t="s">
        <v>988</v>
      </c>
      <c r="K28" s="445" t="s">
        <v>988</v>
      </c>
      <c r="L28" s="422">
        <v>0</v>
      </c>
      <c r="M28" s="445" t="s">
        <v>988</v>
      </c>
      <c r="N28" s="445" t="s">
        <v>988</v>
      </c>
      <c r="O28" s="445" t="s">
        <v>988</v>
      </c>
      <c r="P28" s="445" t="s">
        <v>988</v>
      </c>
      <c r="Q28" s="445" t="s">
        <v>988</v>
      </c>
      <c r="R28" s="445" t="s">
        <v>988</v>
      </c>
      <c r="S28" s="445" t="s">
        <v>988</v>
      </c>
      <c r="T28" s="422">
        <v>0</v>
      </c>
      <c r="U28" s="445" t="s">
        <v>988</v>
      </c>
      <c r="V28" s="445" t="s">
        <v>988</v>
      </c>
      <c r="W28" s="445" t="s">
        <v>988</v>
      </c>
      <c r="X28" s="445" t="s">
        <v>988</v>
      </c>
      <c r="Y28" s="445" t="s">
        <v>988</v>
      </c>
      <c r="Z28" s="445" t="s">
        <v>988</v>
      </c>
      <c r="AA28" s="445" t="s">
        <v>988</v>
      </c>
    </row>
  </sheetData>
  <mergeCells count="7">
    <mergeCell ref="U6:AA6"/>
    <mergeCell ref="A5:B7"/>
    <mergeCell ref="C5:S5"/>
    <mergeCell ref="C6:C7"/>
    <mergeCell ref="D6:G6"/>
    <mergeCell ref="H6:K6"/>
    <mergeCell ref="M6:S6"/>
  </mergeCells>
  <pageMargins left="0.7" right="0.7" top="0.75" bottom="0.75" header="0.3" footer="0.3"/>
  <pageSetup scale="1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topLeftCell="B5" zoomScale="70" zoomScaleNormal="70" workbookViewId="0">
      <selection activeCell="A3" sqref="A3"/>
    </sheetView>
  </sheetViews>
  <sheetFormatPr defaultColWidth="9.21875" defaultRowHeight="12"/>
  <cols>
    <col min="1" max="1" width="11.77734375" style="429" bestFit="1" customWidth="1"/>
    <col min="2" max="2" width="49.5546875" style="429" customWidth="1"/>
    <col min="3" max="3" width="20.21875" style="429" customWidth="1"/>
    <col min="4" max="4" width="22.21875" style="429" customWidth="1"/>
    <col min="5" max="7" width="17.109375" style="429" customWidth="1"/>
    <col min="8" max="8" width="22.21875" style="429" customWidth="1"/>
    <col min="9" max="10" width="17.109375" style="429" customWidth="1"/>
    <col min="11" max="27" width="22.21875" style="429" customWidth="1"/>
    <col min="28" max="16384" width="9.21875" style="429"/>
  </cols>
  <sheetData>
    <row r="1" spans="1:27" ht="13.8">
      <c r="A1" s="373" t="s">
        <v>108</v>
      </c>
      <c r="B1" s="291" t="str">
        <f>Info!C2</f>
        <v>სს " პაშა ბანკი საქართველო"</v>
      </c>
    </row>
    <row r="2" spans="1:27">
      <c r="A2" s="373" t="s">
        <v>109</v>
      </c>
      <c r="B2" s="376">
        <f>'1. key ratios'!B2</f>
        <v>45382</v>
      </c>
    </row>
    <row r="3" spans="1:27">
      <c r="A3" s="375" t="s">
        <v>571</v>
      </c>
      <c r="C3" s="431"/>
    </row>
    <row r="4" spans="1:27" ht="12.6" thickBot="1">
      <c r="A4" s="375"/>
      <c r="B4" s="431"/>
      <c r="C4" s="431"/>
    </row>
    <row r="5" spans="1:27" ht="13.5" customHeight="1">
      <c r="A5" s="824" t="s">
        <v>901</v>
      </c>
      <c r="B5" s="825"/>
      <c r="C5" s="821" t="s">
        <v>572</v>
      </c>
      <c r="D5" s="822"/>
      <c r="E5" s="822"/>
      <c r="F5" s="822"/>
      <c r="G5" s="822"/>
      <c r="H5" s="822"/>
      <c r="I5" s="822"/>
      <c r="J5" s="822"/>
      <c r="K5" s="822"/>
      <c r="L5" s="822"/>
      <c r="M5" s="822"/>
      <c r="N5" s="822"/>
      <c r="O5" s="822"/>
      <c r="P5" s="822"/>
      <c r="Q5" s="822"/>
      <c r="R5" s="822"/>
      <c r="S5" s="822"/>
      <c r="T5" s="822"/>
      <c r="U5" s="822"/>
      <c r="V5" s="822"/>
      <c r="W5" s="822"/>
      <c r="X5" s="822"/>
      <c r="Y5" s="822"/>
      <c r="Z5" s="822"/>
      <c r="AA5" s="823"/>
    </row>
    <row r="6" spans="1:27" ht="12" customHeight="1">
      <c r="A6" s="826"/>
      <c r="B6" s="827"/>
      <c r="C6" s="830" t="s">
        <v>66</v>
      </c>
      <c r="D6" s="795" t="s">
        <v>892</v>
      </c>
      <c r="E6" s="795"/>
      <c r="F6" s="795"/>
      <c r="G6" s="795"/>
      <c r="H6" s="816" t="s">
        <v>891</v>
      </c>
      <c r="I6" s="817"/>
      <c r="J6" s="817"/>
      <c r="K6" s="817"/>
      <c r="L6" s="453"/>
      <c r="M6" s="799" t="s">
        <v>890</v>
      </c>
      <c r="N6" s="799"/>
      <c r="O6" s="799"/>
      <c r="P6" s="799"/>
      <c r="Q6" s="799"/>
      <c r="R6" s="799"/>
      <c r="S6" s="797"/>
      <c r="T6" s="453"/>
      <c r="U6" s="799" t="s">
        <v>889</v>
      </c>
      <c r="V6" s="799"/>
      <c r="W6" s="799"/>
      <c r="X6" s="799"/>
      <c r="Y6" s="799"/>
      <c r="Z6" s="799"/>
      <c r="AA6" s="820"/>
    </row>
    <row r="7" spans="1:27" ht="36">
      <c r="A7" s="828"/>
      <c r="B7" s="829"/>
      <c r="C7" s="831"/>
      <c r="D7" s="451"/>
      <c r="E7" s="426" t="s">
        <v>561</v>
      </c>
      <c r="F7" s="426" t="s">
        <v>887</v>
      </c>
      <c r="G7" s="426" t="s">
        <v>888</v>
      </c>
      <c r="H7" s="430"/>
      <c r="I7" s="426" t="s">
        <v>561</v>
      </c>
      <c r="J7" s="426" t="s">
        <v>887</v>
      </c>
      <c r="K7" s="426" t="s">
        <v>888</v>
      </c>
      <c r="L7" s="448"/>
      <c r="M7" s="426" t="s">
        <v>561</v>
      </c>
      <c r="N7" s="426" t="s">
        <v>900</v>
      </c>
      <c r="O7" s="426" t="s">
        <v>899</v>
      </c>
      <c r="P7" s="426" t="s">
        <v>898</v>
      </c>
      <c r="Q7" s="426" t="s">
        <v>897</v>
      </c>
      <c r="R7" s="426" t="s">
        <v>896</v>
      </c>
      <c r="S7" s="426" t="s">
        <v>882</v>
      </c>
      <c r="T7" s="448"/>
      <c r="U7" s="426" t="s">
        <v>561</v>
      </c>
      <c r="V7" s="426" t="s">
        <v>900</v>
      </c>
      <c r="W7" s="426" t="s">
        <v>899</v>
      </c>
      <c r="X7" s="426" t="s">
        <v>898</v>
      </c>
      <c r="Y7" s="426" t="s">
        <v>897</v>
      </c>
      <c r="Z7" s="426" t="s">
        <v>896</v>
      </c>
      <c r="AA7" s="426" t="s">
        <v>882</v>
      </c>
    </row>
    <row r="8" spans="1:27">
      <c r="A8" s="484">
        <v>1</v>
      </c>
      <c r="B8" s="483" t="s">
        <v>562</v>
      </c>
      <c r="C8" s="482">
        <v>262050476.22690001</v>
      </c>
      <c r="D8" s="419">
        <v>223566947.97260001</v>
      </c>
      <c r="E8" s="419">
        <v>19452482.827300001</v>
      </c>
      <c r="F8" s="419">
        <v>0</v>
      </c>
      <c r="G8" s="419">
        <v>3225.8283999999999</v>
      </c>
      <c r="H8" s="419">
        <v>12770035.871200001</v>
      </c>
      <c r="I8" s="419">
        <v>1863733.8441000001</v>
      </c>
      <c r="J8" s="419">
        <v>383033.03940000001</v>
      </c>
      <c r="K8" s="419">
        <v>0</v>
      </c>
      <c r="L8" s="419">
        <v>23324867.771899998</v>
      </c>
      <c r="M8" s="419">
        <v>156885.52110000001</v>
      </c>
      <c r="N8" s="419">
        <v>0</v>
      </c>
      <c r="O8" s="419">
        <v>1443722.1366000001</v>
      </c>
      <c r="P8" s="419">
        <v>7221558.1174999997</v>
      </c>
      <c r="Q8" s="419">
        <v>4941304.0350000001</v>
      </c>
      <c r="R8" s="419">
        <v>6948406.2081000004</v>
      </c>
      <c r="S8" s="419">
        <v>0</v>
      </c>
      <c r="T8" s="419">
        <v>2388624.6112000002</v>
      </c>
      <c r="U8" s="419">
        <v>0</v>
      </c>
      <c r="V8" s="419">
        <v>0</v>
      </c>
      <c r="W8" s="419">
        <v>0</v>
      </c>
      <c r="X8" s="419">
        <v>2388624.6112000002</v>
      </c>
      <c r="Y8" s="419">
        <v>0</v>
      </c>
      <c r="Z8" s="419">
        <v>0</v>
      </c>
      <c r="AA8" s="461">
        <v>0</v>
      </c>
    </row>
    <row r="9" spans="1:27">
      <c r="A9" s="475">
        <v>1.1000000000000001</v>
      </c>
      <c r="B9" s="481" t="s">
        <v>573</v>
      </c>
      <c r="C9" s="475">
        <v>243420813.4303</v>
      </c>
      <c r="D9" s="419">
        <v>205088251.5442</v>
      </c>
      <c r="E9" s="419">
        <v>19452482.827300001</v>
      </c>
      <c r="F9" s="419">
        <v>0</v>
      </c>
      <c r="G9" s="419">
        <v>0</v>
      </c>
      <c r="H9" s="419">
        <v>12715345.801200001</v>
      </c>
      <c r="I9" s="419">
        <v>1863733.8441000001</v>
      </c>
      <c r="J9" s="419">
        <v>336707.54940000002</v>
      </c>
      <c r="K9" s="419">
        <v>0</v>
      </c>
      <c r="L9" s="419">
        <v>23228591.473700002</v>
      </c>
      <c r="M9" s="419">
        <v>156885.52110000001</v>
      </c>
      <c r="N9" s="419">
        <v>0</v>
      </c>
      <c r="O9" s="419">
        <v>1434730.3659000001</v>
      </c>
      <c r="P9" s="419">
        <v>7179677.8887</v>
      </c>
      <c r="Q9" s="419">
        <v>4941304.0350000001</v>
      </c>
      <c r="R9" s="419">
        <v>6907292.8680999996</v>
      </c>
      <c r="S9" s="419">
        <v>0</v>
      </c>
      <c r="T9" s="419">
        <v>2388624.6112000002</v>
      </c>
      <c r="U9" s="419">
        <v>0</v>
      </c>
      <c r="V9" s="419">
        <v>0</v>
      </c>
      <c r="W9" s="419">
        <v>0</v>
      </c>
      <c r="X9" s="419">
        <v>2388624.6112000002</v>
      </c>
      <c r="Y9" s="419">
        <v>0</v>
      </c>
      <c r="Z9" s="419">
        <v>0</v>
      </c>
      <c r="AA9" s="461">
        <v>0</v>
      </c>
    </row>
    <row r="10" spans="1:27">
      <c r="A10" s="479" t="s">
        <v>157</v>
      </c>
      <c r="B10" s="480" t="s">
        <v>574</v>
      </c>
      <c r="C10" s="479">
        <v>180029747.02320001</v>
      </c>
      <c r="D10" s="419">
        <v>142093514.6891</v>
      </c>
      <c r="E10" s="419">
        <v>14312342.205399999</v>
      </c>
      <c r="F10" s="419">
        <v>0</v>
      </c>
      <c r="G10" s="419">
        <v>0</v>
      </c>
      <c r="H10" s="419">
        <v>12715345.801200001</v>
      </c>
      <c r="I10" s="419">
        <v>1863733.8441000001</v>
      </c>
      <c r="J10" s="419">
        <v>336707.54940000002</v>
      </c>
      <c r="K10" s="419">
        <v>0</v>
      </c>
      <c r="L10" s="419">
        <v>22832261.921700001</v>
      </c>
      <c r="M10" s="419">
        <v>156885.52110000001</v>
      </c>
      <c r="N10" s="419">
        <v>0</v>
      </c>
      <c r="O10" s="419">
        <v>1200118.8139</v>
      </c>
      <c r="P10" s="419">
        <v>7179677.8887</v>
      </c>
      <c r="Q10" s="419">
        <v>4941304.0350000001</v>
      </c>
      <c r="R10" s="419">
        <v>6745574.8680999996</v>
      </c>
      <c r="S10" s="419">
        <v>0</v>
      </c>
      <c r="T10" s="419">
        <v>2388624.6112000002</v>
      </c>
      <c r="U10" s="419">
        <v>0</v>
      </c>
      <c r="V10" s="419">
        <v>0</v>
      </c>
      <c r="W10" s="419">
        <v>0</v>
      </c>
      <c r="X10" s="419">
        <v>2388624.6112000002</v>
      </c>
      <c r="Y10" s="419">
        <v>0</v>
      </c>
      <c r="Z10" s="419">
        <v>0</v>
      </c>
      <c r="AA10" s="461">
        <v>0</v>
      </c>
    </row>
    <row r="11" spans="1:27">
      <c r="A11" s="477" t="s">
        <v>575</v>
      </c>
      <c r="B11" s="478" t="s">
        <v>576</v>
      </c>
      <c r="C11" s="477">
        <v>89323521.058799997</v>
      </c>
      <c r="D11" s="419">
        <v>74694901.792500004</v>
      </c>
      <c r="E11" s="419">
        <v>0</v>
      </c>
      <c r="F11" s="419">
        <v>0</v>
      </c>
      <c r="G11" s="419">
        <v>0</v>
      </c>
      <c r="H11" s="419">
        <v>3006246.7440999998</v>
      </c>
      <c r="I11" s="419">
        <v>1726951.1402</v>
      </c>
      <c r="J11" s="419">
        <v>338056.03490000003</v>
      </c>
      <c r="K11" s="419">
        <v>0</v>
      </c>
      <c r="L11" s="419">
        <v>11622372.5222</v>
      </c>
      <c r="M11" s="419">
        <v>156885.52110000001</v>
      </c>
      <c r="N11" s="419">
        <v>0</v>
      </c>
      <c r="O11" s="419">
        <v>1200118.8139</v>
      </c>
      <c r="P11" s="419">
        <v>289706.39049999998</v>
      </c>
      <c r="Q11" s="419">
        <v>4944191.1550000003</v>
      </c>
      <c r="R11" s="419">
        <v>2416510.1222999999</v>
      </c>
      <c r="S11" s="419">
        <v>0</v>
      </c>
      <c r="T11" s="419">
        <v>0</v>
      </c>
      <c r="U11" s="419">
        <v>0</v>
      </c>
      <c r="V11" s="419">
        <v>0</v>
      </c>
      <c r="W11" s="419">
        <v>0</v>
      </c>
      <c r="X11" s="419">
        <v>0</v>
      </c>
      <c r="Y11" s="419">
        <v>0</v>
      </c>
      <c r="Z11" s="419">
        <v>0</v>
      </c>
      <c r="AA11" s="461">
        <v>0</v>
      </c>
    </row>
    <row r="12" spans="1:27">
      <c r="A12" s="477" t="s">
        <v>577</v>
      </c>
      <c r="B12" s="478" t="s">
        <v>578</v>
      </c>
      <c r="C12" s="477">
        <v>21853222.7586</v>
      </c>
      <c r="D12" s="419">
        <v>15746555.5439</v>
      </c>
      <c r="E12" s="419">
        <v>13429843.4407</v>
      </c>
      <c r="F12" s="419">
        <v>0</v>
      </c>
      <c r="G12" s="419">
        <v>0</v>
      </c>
      <c r="H12" s="419">
        <v>0</v>
      </c>
      <c r="I12" s="419">
        <v>0</v>
      </c>
      <c r="J12" s="419">
        <v>0</v>
      </c>
      <c r="K12" s="419">
        <v>0</v>
      </c>
      <c r="L12" s="419">
        <v>6106667.2147000004</v>
      </c>
      <c r="M12" s="419">
        <v>0</v>
      </c>
      <c r="N12" s="419">
        <v>0</v>
      </c>
      <c r="O12" s="419">
        <v>0</v>
      </c>
      <c r="P12" s="419">
        <v>6106667.2147000004</v>
      </c>
      <c r="Q12" s="419">
        <v>0</v>
      </c>
      <c r="R12" s="419">
        <v>0</v>
      </c>
      <c r="S12" s="419">
        <v>0</v>
      </c>
      <c r="T12" s="419">
        <v>0</v>
      </c>
      <c r="U12" s="419">
        <v>0</v>
      </c>
      <c r="V12" s="419">
        <v>0</v>
      </c>
      <c r="W12" s="419">
        <v>0</v>
      </c>
      <c r="X12" s="419">
        <v>0</v>
      </c>
      <c r="Y12" s="419">
        <v>0</v>
      </c>
      <c r="Z12" s="419">
        <v>0</v>
      </c>
      <c r="AA12" s="461">
        <v>0</v>
      </c>
    </row>
    <row r="13" spans="1:27">
      <c r="A13" s="477" t="s">
        <v>579</v>
      </c>
      <c r="B13" s="478" t="s">
        <v>580</v>
      </c>
      <c r="C13" s="477">
        <v>5453106.5833000001</v>
      </c>
      <c r="D13" s="419">
        <v>883855.17440000002</v>
      </c>
      <c r="E13" s="419">
        <v>883855.17440000002</v>
      </c>
      <c r="F13" s="419">
        <v>0</v>
      </c>
      <c r="G13" s="419">
        <v>0</v>
      </c>
      <c r="H13" s="419">
        <v>0</v>
      </c>
      <c r="I13" s="419">
        <v>0</v>
      </c>
      <c r="J13" s="419">
        <v>0</v>
      </c>
      <c r="K13" s="419">
        <v>0</v>
      </c>
      <c r="L13" s="419">
        <v>4569251.4089000002</v>
      </c>
      <c r="M13" s="419">
        <v>0</v>
      </c>
      <c r="N13" s="419">
        <v>0</v>
      </c>
      <c r="O13" s="419">
        <v>0</v>
      </c>
      <c r="P13" s="419">
        <v>234868.19219999999</v>
      </c>
      <c r="Q13" s="419">
        <v>0</v>
      </c>
      <c r="R13" s="419">
        <v>4334383.2166999998</v>
      </c>
      <c r="S13" s="419">
        <v>0</v>
      </c>
      <c r="T13" s="419">
        <v>0</v>
      </c>
      <c r="U13" s="419">
        <v>0</v>
      </c>
      <c r="V13" s="419">
        <v>0</v>
      </c>
      <c r="W13" s="419">
        <v>0</v>
      </c>
      <c r="X13" s="419">
        <v>0</v>
      </c>
      <c r="Y13" s="419">
        <v>0</v>
      </c>
      <c r="Z13" s="419">
        <v>0</v>
      </c>
      <c r="AA13" s="461">
        <v>0</v>
      </c>
    </row>
    <row r="14" spans="1:27">
      <c r="A14" s="477" t="s">
        <v>581</v>
      </c>
      <c r="B14" s="478" t="s">
        <v>582</v>
      </c>
      <c r="C14" s="477">
        <v>63604234.811899997</v>
      </c>
      <c r="D14" s="419">
        <v>50938937.5119</v>
      </c>
      <c r="E14" s="419">
        <v>0</v>
      </c>
      <c r="F14" s="419">
        <v>0</v>
      </c>
      <c r="G14" s="419">
        <v>0</v>
      </c>
      <c r="H14" s="419">
        <v>9728236.5975000001</v>
      </c>
      <c r="I14" s="419">
        <v>136877.6839</v>
      </c>
      <c r="J14" s="419">
        <v>0</v>
      </c>
      <c r="K14" s="419">
        <v>0</v>
      </c>
      <c r="L14" s="419">
        <v>548436.09129999997</v>
      </c>
      <c r="M14" s="419">
        <v>0</v>
      </c>
      <c r="N14" s="419">
        <v>0</v>
      </c>
      <c r="O14" s="419">
        <v>0</v>
      </c>
      <c r="P14" s="419">
        <v>548436.09129999997</v>
      </c>
      <c r="Q14" s="419">
        <v>0</v>
      </c>
      <c r="R14" s="419">
        <v>0</v>
      </c>
      <c r="S14" s="419">
        <v>0</v>
      </c>
      <c r="T14" s="419">
        <v>2388624.6112000002</v>
      </c>
      <c r="U14" s="419">
        <v>0</v>
      </c>
      <c r="V14" s="419">
        <v>0</v>
      </c>
      <c r="W14" s="419">
        <v>0</v>
      </c>
      <c r="X14" s="419">
        <v>2388624.6112000002</v>
      </c>
      <c r="Y14" s="419">
        <v>0</v>
      </c>
      <c r="Z14" s="419">
        <v>0</v>
      </c>
      <c r="AA14" s="461">
        <v>0</v>
      </c>
    </row>
    <row r="15" spans="1:27">
      <c r="A15" s="476">
        <v>1.2</v>
      </c>
      <c r="B15" s="474" t="s">
        <v>895</v>
      </c>
      <c r="C15" s="476">
        <v>8446369.8290999997</v>
      </c>
      <c r="D15" s="419">
        <v>1453938.4694999999</v>
      </c>
      <c r="E15" s="419">
        <v>170474.41450000001</v>
      </c>
      <c r="F15" s="419">
        <v>0</v>
      </c>
      <c r="G15" s="419">
        <v>0</v>
      </c>
      <c r="H15" s="419">
        <v>856101.33440000005</v>
      </c>
      <c r="I15" s="419">
        <v>32370.848300000001</v>
      </c>
      <c r="J15" s="419">
        <v>7499.4012000000002</v>
      </c>
      <c r="K15" s="419">
        <v>0</v>
      </c>
      <c r="L15" s="419">
        <v>4828276.4780999999</v>
      </c>
      <c r="M15" s="419">
        <v>15662.2616</v>
      </c>
      <c r="N15" s="419">
        <v>0</v>
      </c>
      <c r="O15" s="419">
        <v>137251.17389999999</v>
      </c>
      <c r="P15" s="419">
        <v>2386559.9262000001</v>
      </c>
      <c r="Q15" s="419">
        <v>416712.97600000002</v>
      </c>
      <c r="R15" s="419">
        <v>1605730.3661</v>
      </c>
      <c r="S15" s="419">
        <v>0</v>
      </c>
      <c r="T15" s="419">
        <v>1308053.5471000001</v>
      </c>
      <c r="U15" s="419">
        <v>0</v>
      </c>
      <c r="V15" s="419">
        <v>0</v>
      </c>
      <c r="W15" s="419">
        <v>0</v>
      </c>
      <c r="X15" s="419">
        <v>1308053.5471000001</v>
      </c>
      <c r="Y15" s="419">
        <v>0</v>
      </c>
      <c r="Z15" s="419">
        <v>0</v>
      </c>
      <c r="AA15" s="461">
        <v>0</v>
      </c>
    </row>
    <row r="16" spans="1:27">
      <c r="A16" s="475">
        <v>1.3</v>
      </c>
      <c r="B16" s="474" t="s">
        <v>583</v>
      </c>
      <c r="C16" s="473" t="s">
        <v>988</v>
      </c>
      <c r="D16" s="472" t="s">
        <v>988</v>
      </c>
      <c r="E16" s="472" t="s">
        <v>988</v>
      </c>
      <c r="F16" s="472" t="s">
        <v>988</v>
      </c>
      <c r="G16" s="472" t="s">
        <v>988</v>
      </c>
      <c r="H16" s="472" t="s">
        <v>988</v>
      </c>
      <c r="I16" s="472" t="s">
        <v>988</v>
      </c>
      <c r="J16" s="472" t="s">
        <v>988</v>
      </c>
      <c r="K16" s="472" t="s">
        <v>988</v>
      </c>
      <c r="L16" s="472" t="s">
        <v>988</v>
      </c>
      <c r="M16" s="472" t="s">
        <v>988</v>
      </c>
      <c r="N16" s="472" t="s">
        <v>988</v>
      </c>
      <c r="O16" s="472" t="s">
        <v>988</v>
      </c>
      <c r="P16" s="472" t="s">
        <v>988</v>
      </c>
      <c r="Q16" s="472" t="s">
        <v>988</v>
      </c>
      <c r="R16" s="472" t="s">
        <v>988</v>
      </c>
      <c r="S16" s="472" t="s">
        <v>988</v>
      </c>
      <c r="T16" s="472" t="s">
        <v>988</v>
      </c>
      <c r="U16" s="472" t="s">
        <v>988</v>
      </c>
      <c r="V16" s="472" t="s">
        <v>988</v>
      </c>
      <c r="W16" s="472" t="s">
        <v>988</v>
      </c>
      <c r="X16" s="472" t="s">
        <v>988</v>
      </c>
      <c r="Y16" s="472" t="s">
        <v>988</v>
      </c>
      <c r="Z16" s="472" t="s">
        <v>988</v>
      </c>
      <c r="AA16" s="471" t="s">
        <v>988</v>
      </c>
    </row>
    <row r="17" spans="1:27" ht="36">
      <c r="A17" s="467" t="s">
        <v>584</v>
      </c>
      <c r="B17" s="470" t="s">
        <v>585</v>
      </c>
      <c r="C17" s="469">
        <v>168543836.523</v>
      </c>
      <c r="D17" s="419">
        <v>131713559.99879999</v>
      </c>
      <c r="E17" s="419">
        <v>14603677.802300001</v>
      </c>
      <c r="F17" s="419">
        <v>0</v>
      </c>
      <c r="G17" s="419">
        <v>0</v>
      </c>
      <c r="H17" s="419">
        <v>11573139.8368</v>
      </c>
      <c r="I17" s="419">
        <v>1778028.9458999999</v>
      </c>
      <c r="J17" s="419">
        <v>333609.05949999997</v>
      </c>
      <c r="K17" s="419">
        <v>0</v>
      </c>
      <c r="L17" s="419">
        <v>20647601.910999998</v>
      </c>
      <c r="M17" s="419">
        <v>156622.61619999999</v>
      </c>
      <c r="N17" s="419">
        <v>0</v>
      </c>
      <c r="O17" s="419">
        <v>1150428.0797999999</v>
      </c>
      <c r="P17" s="419">
        <v>6982273.2440999998</v>
      </c>
      <c r="Q17" s="419">
        <v>4167129.76</v>
      </c>
      <c r="R17" s="419">
        <v>5700238.7220000001</v>
      </c>
      <c r="S17" s="419">
        <v>0</v>
      </c>
      <c r="T17" s="419">
        <v>2292284.9500000002</v>
      </c>
      <c r="U17" s="419">
        <v>0</v>
      </c>
      <c r="V17" s="419">
        <v>0</v>
      </c>
      <c r="W17" s="419">
        <v>0</v>
      </c>
      <c r="X17" s="419">
        <v>2292284.9500000002</v>
      </c>
      <c r="Y17" s="419">
        <v>0</v>
      </c>
      <c r="Z17" s="419">
        <v>0</v>
      </c>
      <c r="AA17" s="461">
        <v>0</v>
      </c>
    </row>
    <row r="18" spans="1:27" ht="36">
      <c r="A18" s="465" t="s">
        <v>586</v>
      </c>
      <c r="B18" s="466" t="s">
        <v>587</v>
      </c>
      <c r="C18" s="465">
        <v>158703275.1374</v>
      </c>
      <c r="D18" s="419">
        <v>121872998.61319999</v>
      </c>
      <c r="E18" s="419">
        <v>14312342.205399999</v>
      </c>
      <c r="F18" s="419">
        <v>0</v>
      </c>
      <c r="G18" s="419">
        <v>0</v>
      </c>
      <c r="H18" s="419">
        <v>11573139.8368</v>
      </c>
      <c r="I18" s="419">
        <v>1778028.9458999999</v>
      </c>
      <c r="J18" s="419">
        <v>333609.05949999997</v>
      </c>
      <c r="K18" s="419">
        <v>0</v>
      </c>
      <c r="L18" s="419">
        <v>20647601.910999998</v>
      </c>
      <c r="M18" s="419">
        <v>156622.61619999999</v>
      </c>
      <c r="N18" s="419">
        <v>0</v>
      </c>
      <c r="O18" s="419">
        <v>1150428.0797999999</v>
      </c>
      <c r="P18" s="419">
        <v>6982273.2440999998</v>
      </c>
      <c r="Q18" s="419">
        <v>4167129.76</v>
      </c>
      <c r="R18" s="419">
        <v>5700238.7220000001</v>
      </c>
      <c r="S18" s="419">
        <v>0</v>
      </c>
      <c r="T18" s="419">
        <v>2292284.9500000002</v>
      </c>
      <c r="U18" s="419">
        <v>0</v>
      </c>
      <c r="V18" s="419">
        <v>0</v>
      </c>
      <c r="W18" s="419">
        <v>0</v>
      </c>
      <c r="X18" s="419">
        <v>2292284.9500000002</v>
      </c>
      <c r="Y18" s="419">
        <v>0</v>
      </c>
      <c r="Z18" s="419">
        <v>0</v>
      </c>
      <c r="AA18" s="461">
        <v>0</v>
      </c>
    </row>
    <row r="19" spans="1:27" ht="24">
      <c r="A19" s="467" t="s">
        <v>588</v>
      </c>
      <c r="B19" s="468" t="s">
        <v>589</v>
      </c>
      <c r="C19" s="467">
        <v>175237456.80129999</v>
      </c>
      <c r="D19" s="419">
        <v>154485977.92070001</v>
      </c>
      <c r="E19" s="419">
        <v>7336135.8656000001</v>
      </c>
      <c r="F19" s="419">
        <v>0</v>
      </c>
      <c r="G19" s="419">
        <v>0</v>
      </c>
      <c r="H19" s="419">
        <v>7350326.6540000001</v>
      </c>
      <c r="I19" s="419">
        <v>4498548.3278000001</v>
      </c>
      <c r="J19" s="419">
        <v>614733.35049999994</v>
      </c>
      <c r="K19" s="419">
        <v>0</v>
      </c>
      <c r="L19" s="419">
        <v>13401152.226600001</v>
      </c>
      <c r="M19" s="419">
        <v>118035.07889999999</v>
      </c>
      <c r="N19" s="419">
        <v>0</v>
      </c>
      <c r="O19" s="419">
        <v>1257590.7608</v>
      </c>
      <c r="P19" s="419">
        <v>3046486.3974000001</v>
      </c>
      <c r="Q19" s="419">
        <v>2845417.665</v>
      </c>
      <c r="R19" s="419">
        <v>1825962.1849</v>
      </c>
      <c r="S19" s="419">
        <v>0</v>
      </c>
      <c r="T19" s="419">
        <v>0</v>
      </c>
      <c r="U19" s="419">
        <v>0</v>
      </c>
      <c r="V19" s="419">
        <v>0</v>
      </c>
      <c r="W19" s="419">
        <v>0</v>
      </c>
      <c r="X19" s="419">
        <v>0</v>
      </c>
      <c r="Y19" s="419">
        <v>0</v>
      </c>
      <c r="Z19" s="419">
        <v>0</v>
      </c>
      <c r="AA19" s="461">
        <v>0</v>
      </c>
    </row>
    <row r="20" spans="1:27" ht="24">
      <c r="A20" s="465" t="s">
        <v>590</v>
      </c>
      <c r="B20" s="466" t="s">
        <v>591</v>
      </c>
      <c r="C20" s="465">
        <v>153170167.7098</v>
      </c>
      <c r="D20" s="419">
        <v>132998311.5055</v>
      </c>
      <c r="E20" s="419">
        <v>5066936.4625000004</v>
      </c>
      <c r="F20" s="419">
        <v>0</v>
      </c>
      <c r="G20" s="419">
        <v>0</v>
      </c>
      <c r="H20" s="419">
        <v>7219124.8879000004</v>
      </c>
      <c r="I20" s="419">
        <v>4427122.8777999999</v>
      </c>
      <c r="J20" s="419">
        <v>614733.35049999994</v>
      </c>
      <c r="K20" s="419">
        <v>0</v>
      </c>
      <c r="L20" s="419">
        <v>12952731.316400001</v>
      </c>
      <c r="M20" s="419">
        <v>118035.07889999999</v>
      </c>
      <c r="N20" s="419">
        <v>0</v>
      </c>
      <c r="O20" s="419">
        <v>1001941.2863</v>
      </c>
      <c r="P20" s="419">
        <v>2853714.9616999999</v>
      </c>
      <c r="Q20" s="419">
        <v>2845417.665</v>
      </c>
      <c r="R20" s="419">
        <v>1825962.1849</v>
      </c>
      <c r="S20" s="419">
        <v>0</v>
      </c>
      <c r="T20" s="419">
        <v>0</v>
      </c>
      <c r="U20" s="419">
        <v>0</v>
      </c>
      <c r="V20" s="419">
        <v>0</v>
      </c>
      <c r="W20" s="419">
        <v>0</v>
      </c>
      <c r="X20" s="419">
        <v>0</v>
      </c>
      <c r="Y20" s="419">
        <v>0</v>
      </c>
      <c r="Z20" s="419">
        <v>0</v>
      </c>
      <c r="AA20" s="461">
        <v>0</v>
      </c>
    </row>
    <row r="21" spans="1:27" ht="24">
      <c r="A21" s="464">
        <v>1.4</v>
      </c>
      <c r="B21" s="463" t="s">
        <v>680</v>
      </c>
      <c r="C21" s="462" t="s">
        <v>988</v>
      </c>
      <c r="D21" s="419" t="s">
        <v>988</v>
      </c>
      <c r="E21" s="419" t="s">
        <v>988</v>
      </c>
      <c r="F21" s="419" t="s">
        <v>988</v>
      </c>
      <c r="G21" s="419" t="s">
        <v>988</v>
      </c>
      <c r="H21" s="419" t="s">
        <v>988</v>
      </c>
      <c r="I21" s="419" t="s">
        <v>988</v>
      </c>
      <c r="J21" s="419" t="s">
        <v>988</v>
      </c>
      <c r="K21" s="419" t="s">
        <v>988</v>
      </c>
      <c r="L21" s="419" t="s">
        <v>988</v>
      </c>
      <c r="M21" s="419" t="s">
        <v>988</v>
      </c>
      <c r="N21" s="419" t="s">
        <v>988</v>
      </c>
      <c r="O21" s="419" t="s">
        <v>988</v>
      </c>
      <c r="P21" s="419" t="s">
        <v>988</v>
      </c>
      <c r="Q21" s="419" t="s">
        <v>988</v>
      </c>
      <c r="R21" s="419" t="s">
        <v>988</v>
      </c>
      <c r="S21" s="419" t="s">
        <v>988</v>
      </c>
      <c r="T21" s="419" t="s">
        <v>988</v>
      </c>
      <c r="U21" s="419" t="s">
        <v>988</v>
      </c>
      <c r="V21" s="419" t="s">
        <v>988</v>
      </c>
      <c r="W21" s="419" t="s">
        <v>988</v>
      </c>
      <c r="X21" s="419" t="s">
        <v>988</v>
      </c>
      <c r="Y21" s="419" t="s">
        <v>988</v>
      </c>
      <c r="Z21" s="419" t="s">
        <v>988</v>
      </c>
      <c r="AA21" s="461" t="s">
        <v>988</v>
      </c>
    </row>
    <row r="22" spans="1:27" ht="24.6" thickBot="1">
      <c r="A22" s="460">
        <v>1.5</v>
      </c>
      <c r="B22" s="459" t="s">
        <v>681</v>
      </c>
      <c r="C22" s="458">
        <v>581260</v>
      </c>
      <c r="D22" s="457">
        <v>581260</v>
      </c>
      <c r="E22" s="457">
        <v>581260</v>
      </c>
      <c r="F22" s="457">
        <v>0</v>
      </c>
      <c r="G22" s="457">
        <v>0</v>
      </c>
      <c r="H22" s="457">
        <v>0</v>
      </c>
      <c r="I22" s="457">
        <v>0</v>
      </c>
      <c r="J22" s="457">
        <v>0</v>
      </c>
      <c r="K22" s="457">
        <v>0</v>
      </c>
      <c r="L22" s="457">
        <v>0</v>
      </c>
      <c r="M22" s="457">
        <v>0</v>
      </c>
      <c r="N22" s="457">
        <v>0</v>
      </c>
      <c r="O22" s="457">
        <v>0</v>
      </c>
      <c r="P22" s="457">
        <v>0</v>
      </c>
      <c r="Q22" s="457">
        <v>0</v>
      </c>
      <c r="R22" s="457">
        <v>0</v>
      </c>
      <c r="S22" s="457">
        <v>0</v>
      </c>
      <c r="T22" s="457">
        <v>0</v>
      </c>
      <c r="U22" s="457">
        <v>0</v>
      </c>
      <c r="V22" s="457">
        <v>0</v>
      </c>
      <c r="W22" s="457">
        <v>0</v>
      </c>
      <c r="X22" s="457">
        <v>0</v>
      </c>
      <c r="Y22" s="457">
        <v>0</v>
      </c>
      <c r="Z22" s="457">
        <v>0</v>
      </c>
      <c r="AA22" s="456">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scale="1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topLeftCell="B1" zoomScale="80" zoomScaleNormal="80" workbookViewId="0">
      <selection activeCell="A3" sqref="A3"/>
    </sheetView>
  </sheetViews>
  <sheetFormatPr defaultColWidth="9.21875" defaultRowHeight="12"/>
  <cols>
    <col min="1" max="1" width="11.77734375" style="429" bestFit="1" customWidth="1"/>
    <col min="2" max="2" width="52.21875" style="429" customWidth="1"/>
    <col min="3" max="3" width="14.6640625" style="429" customWidth="1"/>
    <col min="4" max="5" width="16.109375" style="429" customWidth="1"/>
    <col min="6" max="6" width="16.109375" style="447" customWidth="1"/>
    <col min="7" max="7" width="25.21875" style="447" customWidth="1"/>
    <col min="8" max="8" width="16.109375" style="429" customWidth="1"/>
    <col min="9" max="11" width="16.109375" style="447" customWidth="1"/>
    <col min="12" max="12" width="26.21875" style="447" customWidth="1"/>
    <col min="13" max="16384" width="9.21875" style="429"/>
  </cols>
  <sheetData>
    <row r="1" spans="1:12" ht="13.8">
      <c r="A1" s="373" t="s">
        <v>108</v>
      </c>
      <c r="B1" s="291" t="str">
        <f>Info!C2</f>
        <v>სს " პაშა ბანკი საქართველო"</v>
      </c>
      <c r="F1" s="429"/>
      <c r="G1" s="429"/>
      <c r="I1" s="429"/>
      <c r="J1" s="429"/>
      <c r="K1" s="429"/>
      <c r="L1" s="429"/>
    </row>
    <row r="2" spans="1:12">
      <c r="A2" s="373" t="s">
        <v>109</v>
      </c>
      <c r="B2" s="376">
        <f>'1. key ratios'!B2</f>
        <v>45382</v>
      </c>
      <c r="F2" s="429"/>
      <c r="G2" s="429"/>
      <c r="I2" s="429"/>
      <c r="J2" s="429"/>
      <c r="K2" s="429"/>
      <c r="L2" s="429"/>
    </row>
    <row r="3" spans="1:12">
      <c r="A3" s="375" t="s">
        <v>594</v>
      </c>
      <c r="F3" s="429"/>
      <c r="G3" s="429"/>
      <c r="I3" s="429"/>
      <c r="J3" s="429"/>
      <c r="K3" s="429"/>
      <c r="L3" s="429"/>
    </row>
    <row r="4" spans="1:12">
      <c r="F4" s="429"/>
      <c r="G4" s="429"/>
      <c r="I4" s="429"/>
      <c r="J4" s="429"/>
      <c r="K4" s="429"/>
      <c r="L4" s="429"/>
    </row>
    <row r="5" spans="1:12" ht="37.5" customHeight="1">
      <c r="A5" s="783" t="s">
        <v>595</v>
      </c>
      <c r="B5" s="784"/>
      <c r="C5" s="832" t="s">
        <v>596</v>
      </c>
      <c r="D5" s="833"/>
      <c r="E5" s="833"/>
      <c r="F5" s="833"/>
      <c r="G5" s="833"/>
      <c r="H5" s="832" t="s">
        <v>907</v>
      </c>
      <c r="I5" s="834"/>
      <c r="J5" s="834"/>
      <c r="K5" s="834"/>
      <c r="L5" s="835"/>
    </row>
    <row r="6" spans="1:12" ht="47.55" customHeight="1">
      <c r="A6" s="787"/>
      <c r="B6" s="788"/>
      <c r="C6" s="380"/>
      <c r="D6" s="427" t="s">
        <v>892</v>
      </c>
      <c r="E6" s="427" t="s">
        <v>891</v>
      </c>
      <c r="F6" s="427" t="s">
        <v>890</v>
      </c>
      <c r="G6" s="427" t="s">
        <v>889</v>
      </c>
      <c r="H6" s="448"/>
      <c r="I6" s="427" t="s">
        <v>892</v>
      </c>
      <c r="J6" s="427" t="s">
        <v>891</v>
      </c>
      <c r="K6" s="427" t="s">
        <v>890</v>
      </c>
      <c r="L6" s="427" t="s">
        <v>889</v>
      </c>
    </row>
    <row r="7" spans="1:12">
      <c r="A7" s="419">
        <v>1</v>
      </c>
      <c r="B7" s="432" t="s">
        <v>518</v>
      </c>
      <c r="C7" s="432">
        <v>12596.578600000001</v>
      </c>
      <c r="D7" s="419">
        <v>2042.77</v>
      </c>
      <c r="E7" s="419">
        <v>3174.02</v>
      </c>
      <c r="F7" s="419">
        <v>7379.7885999999999</v>
      </c>
      <c r="G7" s="419">
        <v>0</v>
      </c>
      <c r="H7" s="419">
        <v>6235.8251</v>
      </c>
      <c r="I7" s="419">
        <v>0</v>
      </c>
      <c r="J7" s="419">
        <v>191.88480000000001</v>
      </c>
      <c r="K7" s="419">
        <v>6043.9403000000002</v>
      </c>
      <c r="L7" s="419">
        <v>0</v>
      </c>
    </row>
    <row r="8" spans="1:12">
      <c r="A8" s="419">
        <v>2</v>
      </c>
      <c r="B8" s="432" t="s">
        <v>519</v>
      </c>
      <c r="C8" s="432">
        <f>61656929.1204+44959775.83</f>
        <v>106616704.95039999</v>
      </c>
      <c r="D8" s="419">
        <f>61452059.6504+44959775.83</f>
        <v>106411835.4804</v>
      </c>
      <c r="E8" s="419">
        <v>43151.47</v>
      </c>
      <c r="F8" s="426">
        <v>161718</v>
      </c>
      <c r="G8" s="426">
        <v>0</v>
      </c>
      <c r="H8" s="419">
        <f>1030940.579+590783.13</f>
        <v>1621723.709</v>
      </c>
      <c r="I8" s="426">
        <f>864240.8091+590783.13</f>
        <v>1455023.9391000001</v>
      </c>
      <c r="J8" s="426">
        <v>4981.7699000000002</v>
      </c>
      <c r="K8" s="426">
        <v>161718</v>
      </c>
      <c r="L8" s="426">
        <v>0</v>
      </c>
    </row>
    <row r="9" spans="1:12">
      <c r="A9" s="419">
        <v>3</v>
      </c>
      <c r="B9" s="432" t="s">
        <v>868</v>
      </c>
      <c r="C9" s="432">
        <v>477988.34</v>
      </c>
      <c r="D9" s="419">
        <v>477988.34</v>
      </c>
      <c r="E9" s="419">
        <v>0</v>
      </c>
      <c r="F9" s="428">
        <v>0</v>
      </c>
      <c r="G9" s="428">
        <v>0</v>
      </c>
      <c r="H9" s="419">
        <v>2259.6469999999999</v>
      </c>
      <c r="I9" s="428">
        <v>2259.6469999999999</v>
      </c>
      <c r="J9" s="428">
        <v>0</v>
      </c>
      <c r="K9" s="428">
        <v>0</v>
      </c>
      <c r="L9" s="428">
        <v>0</v>
      </c>
    </row>
    <row r="10" spans="1:12">
      <c r="A10" s="419">
        <v>4</v>
      </c>
      <c r="B10" s="432" t="s">
        <v>520</v>
      </c>
      <c r="C10" s="432">
        <v>22494538.468499999</v>
      </c>
      <c r="D10" s="419">
        <v>14371322.7545</v>
      </c>
      <c r="E10" s="419">
        <v>1401369.0001999999</v>
      </c>
      <c r="F10" s="428">
        <v>6721846.7138</v>
      </c>
      <c r="G10" s="428">
        <v>0</v>
      </c>
      <c r="H10" s="419">
        <v>2256181.62</v>
      </c>
      <c r="I10" s="428">
        <v>84999.94</v>
      </c>
      <c r="J10" s="428">
        <v>11365.0142</v>
      </c>
      <c r="K10" s="428">
        <v>2159816.6658000001</v>
      </c>
      <c r="L10" s="428">
        <v>0</v>
      </c>
    </row>
    <row r="11" spans="1:12">
      <c r="A11" s="419">
        <v>5</v>
      </c>
      <c r="B11" s="432" t="s">
        <v>521</v>
      </c>
      <c r="C11" s="432">
        <v>23060975.7524</v>
      </c>
      <c r="D11" s="419">
        <v>21979372.319800001</v>
      </c>
      <c r="E11" s="419">
        <v>1081603.4325999999</v>
      </c>
      <c r="F11" s="428">
        <v>0</v>
      </c>
      <c r="G11" s="428">
        <v>0</v>
      </c>
      <c r="H11" s="419">
        <v>53269.6731</v>
      </c>
      <c r="I11" s="428">
        <v>41245.776700000002</v>
      </c>
      <c r="J11" s="428">
        <v>12023.8964</v>
      </c>
      <c r="K11" s="428">
        <v>0</v>
      </c>
      <c r="L11" s="428">
        <v>0</v>
      </c>
    </row>
    <row r="12" spans="1:12">
      <c r="A12" s="419">
        <v>6</v>
      </c>
      <c r="B12" s="432" t="s">
        <v>522</v>
      </c>
      <c r="C12" s="432">
        <v>580489.08959999995</v>
      </c>
      <c r="D12" s="419">
        <v>345877.53759999998</v>
      </c>
      <c r="E12" s="419">
        <v>0</v>
      </c>
      <c r="F12" s="428">
        <v>234611.552</v>
      </c>
      <c r="G12" s="428">
        <v>0</v>
      </c>
      <c r="H12" s="419">
        <v>22641.077499999999</v>
      </c>
      <c r="I12" s="428">
        <v>432.7115</v>
      </c>
      <c r="J12" s="428">
        <v>0</v>
      </c>
      <c r="K12" s="428">
        <v>22208.366000000002</v>
      </c>
      <c r="L12" s="428">
        <v>0</v>
      </c>
    </row>
    <row r="13" spans="1:12">
      <c r="A13" s="419">
        <v>7</v>
      </c>
      <c r="B13" s="432" t="s">
        <v>523</v>
      </c>
      <c r="C13" s="432">
        <v>587114.5379</v>
      </c>
      <c r="D13" s="419">
        <v>589402.81319999998</v>
      </c>
      <c r="E13" s="419">
        <v>0</v>
      </c>
      <c r="F13" s="428">
        <v>-2288.2752999999998</v>
      </c>
      <c r="G13" s="428">
        <v>0</v>
      </c>
      <c r="H13" s="419">
        <v>247.04939999999999</v>
      </c>
      <c r="I13" s="428">
        <v>247.04939999999999</v>
      </c>
      <c r="J13" s="428">
        <v>0</v>
      </c>
      <c r="K13" s="428">
        <v>0</v>
      </c>
      <c r="L13" s="428">
        <v>0</v>
      </c>
    </row>
    <row r="14" spans="1:12">
      <c r="A14" s="419">
        <v>8</v>
      </c>
      <c r="B14" s="432" t="s">
        <v>524</v>
      </c>
      <c r="C14" s="432">
        <v>4534305.8998999996</v>
      </c>
      <c r="D14" s="419">
        <v>2732534.5452999999</v>
      </c>
      <c r="E14" s="419">
        <v>0</v>
      </c>
      <c r="F14" s="428">
        <v>1801771.3546</v>
      </c>
      <c r="G14" s="428">
        <v>0</v>
      </c>
      <c r="H14" s="419">
        <v>282243.27439999999</v>
      </c>
      <c r="I14" s="428">
        <v>20130.856</v>
      </c>
      <c r="J14" s="428">
        <v>0</v>
      </c>
      <c r="K14" s="428">
        <v>262112.4184</v>
      </c>
      <c r="L14" s="428">
        <v>0</v>
      </c>
    </row>
    <row r="15" spans="1:12">
      <c r="A15" s="419">
        <v>9</v>
      </c>
      <c r="B15" s="432" t="s">
        <v>525</v>
      </c>
      <c r="C15" s="432">
        <v>8235738.9241000004</v>
      </c>
      <c r="D15" s="419">
        <v>8111763.7540999996</v>
      </c>
      <c r="E15" s="419">
        <v>123975.17</v>
      </c>
      <c r="F15" s="428">
        <v>0</v>
      </c>
      <c r="G15" s="428">
        <v>0</v>
      </c>
      <c r="H15" s="419">
        <v>87422.097999999998</v>
      </c>
      <c r="I15" s="428">
        <v>85121.073699999994</v>
      </c>
      <c r="J15" s="428">
        <v>2301.0243</v>
      </c>
      <c r="K15" s="428">
        <v>0</v>
      </c>
      <c r="L15" s="428">
        <v>0</v>
      </c>
    </row>
    <row r="16" spans="1:12" ht="24">
      <c r="A16" s="419">
        <v>10</v>
      </c>
      <c r="B16" s="432" t="s">
        <v>526</v>
      </c>
      <c r="C16" s="432">
        <v>385232.68800000002</v>
      </c>
      <c r="D16" s="419">
        <v>385232.68800000002</v>
      </c>
      <c r="E16" s="419">
        <v>0</v>
      </c>
      <c r="F16" s="428">
        <v>0</v>
      </c>
      <c r="G16" s="428">
        <v>0</v>
      </c>
      <c r="H16" s="419">
        <v>17774.739399999999</v>
      </c>
      <c r="I16" s="428">
        <v>17774.739399999999</v>
      </c>
      <c r="J16" s="428">
        <v>0</v>
      </c>
      <c r="K16" s="428">
        <v>0</v>
      </c>
      <c r="L16" s="428">
        <v>0</v>
      </c>
    </row>
    <row r="17" spans="1:12">
      <c r="A17" s="419">
        <v>11</v>
      </c>
      <c r="B17" s="432" t="s">
        <v>527</v>
      </c>
      <c r="C17" s="432">
        <v>14128901.1921</v>
      </c>
      <c r="D17" s="419">
        <v>14128901.1921</v>
      </c>
      <c r="E17" s="419">
        <v>0</v>
      </c>
      <c r="F17" s="428">
        <v>0</v>
      </c>
      <c r="G17" s="428">
        <v>0</v>
      </c>
      <c r="H17" s="419">
        <v>125939.3144</v>
      </c>
      <c r="I17" s="428">
        <v>125939.3144</v>
      </c>
      <c r="J17" s="428">
        <v>0</v>
      </c>
      <c r="K17" s="428">
        <v>0</v>
      </c>
      <c r="L17" s="428">
        <v>0</v>
      </c>
    </row>
    <row r="18" spans="1:12">
      <c r="A18" s="419">
        <v>12</v>
      </c>
      <c r="B18" s="432" t="s">
        <v>528</v>
      </c>
      <c r="C18" s="432">
        <v>2370355.0893000001</v>
      </c>
      <c r="D18" s="419">
        <v>2080648.6987999999</v>
      </c>
      <c r="E18" s="419">
        <v>0</v>
      </c>
      <c r="F18" s="428">
        <v>289706.39049999998</v>
      </c>
      <c r="G18" s="428">
        <v>0</v>
      </c>
      <c r="H18" s="419">
        <v>40136.548600000002</v>
      </c>
      <c r="I18" s="428">
        <v>11739.5362</v>
      </c>
      <c r="J18" s="428">
        <v>0</v>
      </c>
      <c r="K18" s="428">
        <v>28397.0124</v>
      </c>
      <c r="L18" s="428">
        <v>0</v>
      </c>
    </row>
    <row r="19" spans="1:12">
      <c r="A19" s="419">
        <v>13</v>
      </c>
      <c r="B19" s="432" t="s">
        <v>529</v>
      </c>
      <c r="C19" s="432">
        <v>657487.68629999994</v>
      </c>
      <c r="D19" s="419">
        <v>109051.595</v>
      </c>
      <c r="E19" s="419">
        <v>0</v>
      </c>
      <c r="F19" s="428">
        <v>548436.09129999997</v>
      </c>
      <c r="G19" s="428">
        <v>0</v>
      </c>
      <c r="H19" s="419">
        <v>236602.1367</v>
      </c>
      <c r="I19" s="428">
        <v>312.22890000000001</v>
      </c>
      <c r="J19" s="428">
        <v>0</v>
      </c>
      <c r="K19" s="428">
        <v>236289.90779999999</v>
      </c>
      <c r="L19" s="428">
        <v>0</v>
      </c>
    </row>
    <row r="20" spans="1:12">
      <c r="A20" s="419">
        <v>14</v>
      </c>
      <c r="B20" s="432" t="s">
        <v>530</v>
      </c>
      <c r="C20" s="432">
        <v>24246219.9311</v>
      </c>
      <c r="D20" s="419">
        <v>20587992.2903</v>
      </c>
      <c r="E20" s="419">
        <v>1426434.9667</v>
      </c>
      <c r="F20" s="428">
        <v>2231792.6740999999</v>
      </c>
      <c r="G20" s="428">
        <v>0</v>
      </c>
      <c r="H20" s="419">
        <v>541443.41449999996</v>
      </c>
      <c r="I20" s="428">
        <v>68841.343500000003</v>
      </c>
      <c r="J20" s="428">
        <v>244185.9565</v>
      </c>
      <c r="K20" s="428">
        <v>228416.1145</v>
      </c>
      <c r="L20" s="428">
        <v>0</v>
      </c>
    </row>
    <row r="21" spans="1:12">
      <c r="A21" s="419">
        <v>15</v>
      </c>
      <c r="B21" s="432" t="s">
        <v>531</v>
      </c>
      <c r="C21" s="432">
        <v>11153457.914100001</v>
      </c>
      <c r="D21" s="419">
        <v>2325429.7371</v>
      </c>
      <c r="E21" s="419">
        <v>0</v>
      </c>
      <c r="F21" s="428">
        <v>8828028.1769999992</v>
      </c>
      <c r="G21" s="428">
        <v>0</v>
      </c>
      <c r="H21" s="419">
        <v>1535989.0678999999</v>
      </c>
      <c r="I21" s="428">
        <v>9505.4369000000006</v>
      </c>
      <c r="J21" s="428">
        <v>0</v>
      </c>
      <c r="K21" s="428">
        <v>1526483.6310000001</v>
      </c>
      <c r="L21" s="428">
        <v>0</v>
      </c>
    </row>
    <row r="22" spans="1:12">
      <c r="A22" s="419">
        <v>16</v>
      </c>
      <c r="B22" s="432" t="s">
        <v>532</v>
      </c>
      <c r="C22" s="432">
        <v>0</v>
      </c>
      <c r="D22" s="419">
        <v>0</v>
      </c>
      <c r="E22" s="419">
        <v>0</v>
      </c>
      <c r="F22" s="428">
        <v>0</v>
      </c>
      <c r="G22" s="428">
        <v>0</v>
      </c>
      <c r="H22" s="419">
        <v>0</v>
      </c>
      <c r="I22" s="428">
        <v>0</v>
      </c>
      <c r="J22" s="428">
        <v>0</v>
      </c>
      <c r="K22" s="428">
        <v>0</v>
      </c>
      <c r="L22" s="428">
        <v>0</v>
      </c>
    </row>
    <row r="23" spans="1:12">
      <c r="A23" s="419">
        <v>17</v>
      </c>
      <c r="B23" s="432" t="s">
        <v>533</v>
      </c>
      <c r="C23" s="432">
        <v>8856617.9199999999</v>
      </c>
      <c r="D23" s="419">
        <v>8856617.9199999999</v>
      </c>
      <c r="E23" s="419">
        <v>0</v>
      </c>
      <c r="F23" s="428">
        <v>0</v>
      </c>
      <c r="G23" s="428">
        <v>0</v>
      </c>
      <c r="H23" s="419">
        <v>16012.700199999999</v>
      </c>
      <c r="I23" s="428">
        <v>16012.700199999999</v>
      </c>
      <c r="J23" s="428">
        <v>0</v>
      </c>
      <c r="K23" s="428">
        <v>0</v>
      </c>
      <c r="L23" s="428">
        <v>0</v>
      </c>
    </row>
    <row r="24" spans="1:12">
      <c r="A24" s="419">
        <v>18</v>
      </c>
      <c r="B24" s="432" t="s">
        <v>534</v>
      </c>
      <c r="C24" s="432">
        <v>55228925.1721</v>
      </c>
      <c r="D24" s="419">
        <v>55228925.1721</v>
      </c>
      <c r="E24" s="419">
        <v>0</v>
      </c>
      <c r="F24" s="428">
        <v>0</v>
      </c>
      <c r="G24" s="428">
        <v>0</v>
      </c>
      <c r="H24" s="419">
        <v>572361.92709999997</v>
      </c>
      <c r="I24" s="428">
        <v>572361.92709999997</v>
      </c>
      <c r="J24" s="428">
        <v>0</v>
      </c>
      <c r="K24" s="428">
        <v>0</v>
      </c>
      <c r="L24" s="428">
        <v>0</v>
      </c>
    </row>
    <row r="25" spans="1:12">
      <c r="A25" s="419">
        <v>19</v>
      </c>
      <c r="B25" s="432" t="s">
        <v>535</v>
      </c>
      <c r="C25" s="432">
        <v>5232062.9746000003</v>
      </c>
      <c r="D25" s="419">
        <v>5232062.9746000003</v>
      </c>
      <c r="E25" s="419">
        <v>0</v>
      </c>
      <c r="F25" s="428">
        <v>0</v>
      </c>
      <c r="G25" s="428">
        <v>0</v>
      </c>
      <c r="H25" s="419">
        <v>3835.9540999999999</v>
      </c>
      <c r="I25" s="428">
        <v>3835.9540999999999</v>
      </c>
      <c r="J25" s="428">
        <v>0</v>
      </c>
      <c r="K25" s="428">
        <v>0</v>
      </c>
      <c r="L25" s="428">
        <v>0</v>
      </c>
    </row>
    <row r="26" spans="1:12">
      <c r="A26" s="419">
        <v>20</v>
      </c>
      <c r="B26" s="432" t="s">
        <v>536</v>
      </c>
      <c r="C26" s="432">
        <v>0</v>
      </c>
      <c r="D26" s="419">
        <v>0</v>
      </c>
      <c r="E26" s="419">
        <v>0</v>
      </c>
      <c r="F26" s="428">
        <v>0</v>
      </c>
      <c r="G26" s="428">
        <v>0</v>
      </c>
      <c r="H26" s="419">
        <v>0</v>
      </c>
      <c r="I26" s="428">
        <v>0</v>
      </c>
      <c r="J26" s="428">
        <v>0</v>
      </c>
      <c r="K26" s="428">
        <v>0</v>
      </c>
      <c r="L26" s="428">
        <v>0</v>
      </c>
    </row>
    <row r="27" spans="1:12">
      <c r="A27" s="419">
        <v>21</v>
      </c>
      <c r="B27" s="432" t="s">
        <v>537</v>
      </c>
      <c r="C27" s="432">
        <v>0</v>
      </c>
      <c r="D27" s="419">
        <v>0</v>
      </c>
      <c r="E27" s="419">
        <v>0</v>
      </c>
      <c r="F27" s="428">
        <v>0</v>
      </c>
      <c r="G27" s="428">
        <v>0</v>
      </c>
      <c r="H27" s="419">
        <v>0</v>
      </c>
      <c r="I27" s="428">
        <v>0</v>
      </c>
      <c r="J27" s="428">
        <v>0</v>
      </c>
      <c r="K27" s="428">
        <v>0</v>
      </c>
      <c r="L27" s="428">
        <v>0</v>
      </c>
    </row>
    <row r="28" spans="1:12">
      <c r="A28" s="419">
        <v>22</v>
      </c>
      <c r="B28" s="432" t="s">
        <v>538</v>
      </c>
      <c r="C28" s="432">
        <v>0</v>
      </c>
      <c r="D28" s="419">
        <v>0</v>
      </c>
      <c r="E28" s="419">
        <v>0</v>
      </c>
      <c r="F28" s="428">
        <v>0</v>
      </c>
      <c r="G28" s="428">
        <v>0</v>
      </c>
      <c r="H28" s="419">
        <v>0</v>
      </c>
      <c r="I28" s="428">
        <v>0</v>
      </c>
      <c r="J28" s="428">
        <v>0</v>
      </c>
      <c r="K28" s="428">
        <v>0</v>
      </c>
      <c r="L28" s="428">
        <v>0</v>
      </c>
    </row>
    <row r="29" spans="1:12">
      <c r="A29" s="419">
        <v>23</v>
      </c>
      <c r="B29" s="432" t="s">
        <v>539</v>
      </c>
      <c r="C29" s="432">
        <v>7383935.4291000003</v>
      </c>
      <c r="D29" s="419">
        <v>1204075.4057</v>
      </c>
      <c r="E29" s="419">
        <v>3724238.1055000001</v>
      </c>
      <c r="F29" s="428">
        <v>2455621.9178999998</v>
      </c>
      <c r="G29" s="428">
        <v>0</v>
      </c>
      <c r="H29" s="419">
        <v>414900.39659999998</v>
      </c>
      <c r="I29" s="428">
        <v>7428.1363000000001</v>
      </c>
      <c r="J29" s="428">
        <v>162223.45240000001</v>
      </c>
      <c r="K29" s="428">
        <v>245248.80790000001</v>
      </c>
      <c r="L29" s="428">
        <v>0</v>
      </c>
    </row>
    <row r="30" spans="1:12">
      <c r="A30" s="419">
        <v>24</v>
      </c>
      <c r="B30" s="432" t="s">
        <v>540</v>
      </c>
      <c r="C30" s="432">
        <v>10361707.417400001</v>
      </c>
      <c r="D30" s="419">
        <v>3015357.68</v>
      </c>
      <c r="E30" s="419">
        <v>4957725.1261999998</v>
      </c>
      <c r="F30" s="428">
        <v>0</v>
      </c>
      <c r="G30" s="428">
        <v>2388624.6112000002</v>
      </c>
      <c r="H30" s="419">
        <v>1766653.1041000001</v>
      </c>
      <c r="I30" s="428">
        <v>34597.566400000003</v>
      </c>
      <c r="J30" s="428">
        <v>424001.99060000002</v>
      </c>
      <c r="K30" s="428">
        <v>0</v>
      </c>
      <c r="L30" s="428">
        <v>1308053.5471000001</v>
      </c>
    </row>
    <row r="31" spans="1:12">
      <c r="A31" s="419">
        <v>25</v>
      </c>
      <c r="B31" s="432" t="s">
        <v>541</v>
      </c>
      <c r="C31" s="432">
        <v>289722.15110000002</v>
      </c>
      <c r="D31" s="419">
        <v>289722.15110000002</v>
      </c>
      <c r="E31" s="419">
        <v>0</v>
      </c>
      <c r="F31" s="428">
        <v>0</v>
      </c>
      <c r="G31" s="428">
        <v>0</v>
      </c>
      <c r="H31" s="419">
        <v>3933.1179000000002</v>
      </c>
      <c r="I31" s="428">
        <v>3933.1179000000002</v>
      </c>
      <c r="J31" s="428">
        <v>0</v>
      </c>
      <c r="K31" s="428">
        <v>0</v>
      </c>
      <c r="L31" s="428">
        <v>0</v>
      </c>
    </row>
    <row r="32" spans="1:12" ht="24">
      <c r="A32" s="419">
        <v>26</v>
      </c>
      <c r="B32" s="432" t="s">
        <v>597</v>
      </c>
      <c r="C32" s="432">
        <v>115173.9503</v>
      </c>
      <c r="D32" s="419">
        <v>60565.982900000003</v>
      </c>
      <c r="E32" s="419">
        <v>8364.58</v>
      </c>
      <c r="F32" s="428">
        <v>46243.3874</v>
      </c>
      <c r="G32" s="428">
        <v>0</v>
      </c>
      <c r="H32" s="419">
        <v>38424.025800000003</v>
      </c>
      <c r="I32" s="428">
        <v>452.23230000000001</v>
      </c>
      <c r="J32" s="428">
        <v>227.8518</v>
      </c>
      <c r="K32" s="428">
        <v>37743.941700000003</v>
      </c>
      <c r="L32" s="428">
        <v>0</v>
      </c>
    </row>
    <row r="33" spans="1:12">
      <c r="A33" s="419">
        <v>27</v>
      </c>
      <c r="B33" s="486" t="s">
        <v>66</v>
      </c>
      <c r="C33" s="486">
        <f>262050476.2269+44959775.83</f>
        <v>307010252.05690002</v>
      </c>
      <c r="D33" s="419">
        <f>223566947.9726+44959775.83</f>
        <v>268526723.80260003</v>
      </c>
      <c r="E33" s="419">
        <v>12770035.871200001</v>
      </c>
      <c r="F33" s="428">
        <v>23324867.771899998</v>
      </c>
      <c r="G33" s="428">
        <v>2388624.6112000002</v>
      </c>
      <c r="H33" s="419">
        <f>9055447.2908+590783.13</f>
        <v>9646230.4208000004</v>
      </c>
      <c r="I33" s="428">
        <f>1971412.097+590783.13</f>
        <v>2562195.227</v>
      </c>
      <c r="J33" s="428">
        <v>861502.84089999995</v>
      </c>
      <c r="K33" s="428">
        <v>4914478.8058000002</v>
      </c>
      <c r="L33" s="428">
        <v>1308053.5471000001</v>
      </c>
    </row>
    <row r="35" spans="1:12">
      <c r="B35" s="485"/>
      <c r="C35" s="485"/>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scale="3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zoomScale="70" zoomScaleNormal="70" workbookViewId="0">
      <selection activeCell="A3" sqref="A3"/>
    </sheetView>
  </sheetViews>
  <sheetFormatPr defaultColWidth="8.77734375" defaultRowHeight="12"/>
  <cols>
    <col min="1" max="1" width="11.77734375" style="381" bestFit="1" customWidth="1"/>
    <col min="2" max="2" width="66.5546875" style="381" customWidth="1"/>
    <col min="3" max="11" width="28.21875" style="381" customWidth="1"/>
    <col min="12" max="16384" width="8.77734375" style="381"/>
  </cols>
  <sheetData>
    <row r="1" spans="1:11" s="374" customFormat="1" ht="13.8">
      <c r="A1" s="373" t="s">
        <v>108</v>
      </c>
      <c r="B1" s="291" t="str">
        <f>Info!C2</f>
        <v>სს " პაშა ბანკი საქართველო"</v>
      </c>
      <c r="C1" s="429"/>
      <c r="D1" s="429"/>
      <c r="E1" s="429"/>
      <c r="F1" s="429"/>
      <c r="G1" s="429"/>
      <c r="H1" s="429"/>
      <c r="I1" s="429"/>
      <c r="J1" s="429"/>
      <c r="K1" s="429"/>
    </row>
    <row r="2" spans="1:11" s="374" customFormat="1">
      <c r="A2" s="373" t="s">
        <v>109</v>
      </c>
      <c r="B2" s="376">
        <f>'1. key ratios'!B2</f>
        <v>45382</v>
      </c>
      <c r="C2" s="429"/>
      <c r="D2" s="429"/>
      <c r="E2" s="429"/>
      <c r="F2" s="429"/>
      <c r="G2" s="429"/>
      <c r="H2" s="429"/>
      <c r="I2" s="429"/>
      <c r="J2" s="429"/>
      <c r="K2" s="429"/>
    </row>
    <row r="3" spans="1:11" s="374" customFormat="1">
      <c r="A3" s="375" t="s">
        <v>598</v>
      </c>
      <c r="B3" s="429"/>
      <c r="C3" s="429"/>
      <c r="D3" s="429"/>
      <c r="E3" s="429"/>
      <c r="F3" s="429"/>
      <c r="G3" s="429"/>
      <c r="H3" s="429"/>
      <c r="I3" s="429"/>
      <c r="J3" s="429"/>
      <c r="K3" s="429"/>
    </row>
    <row r="4" spans="1:11">
      <c r="A4" s="491"/>
      <c r="B4" s="491"/>
      <c r="C4" s="490" t="s">
        <v>502</v>
      </c>
      <c r="D4" s="490" t="s">
        <v>503</v>
      </c>
      <c r="E4" s="490" t="s">
        <v>504</v>
      </c>
      <c r="F4" s="490" t="s">
        <v>505</v>
      </c>
      <c r="G4" s="490" t="s">
        <v>506</v>
      </c>
      <c r="H4" s="490" t="s">
        <v>507</v>
      </c>
      <c r="I4" s="490" t="s">
        <v>508</v>
      </c>
      <c r="J4" s="490" t="s">
        <v>509</v>
      </c>
      <c r="K4" s="490" t="s">
        <v>510</v>
      </c>
    </row>
    <row r="5" spans="1:11" ht="103.95" customHeight="1">
      <c r="A5" s="836" t="s">
        <v>906</v>
      </c>
      <c r="B5" s="837"/>
      <c r="C5" s="489" t="s">
        <v>599</v>
      </c>
      <c r="D5" s="489" t="s">
        <v>592</v>
      </c>
      <c r="E5" s="489" t="s">
        <v>593</v>
      </c>
      <c r="F5" s="489" t="s">
        <v>905</v>
      </c>
      <c r="G5" s="489" t="s">
        <v>600</v>
      </c>
      <c r="H5" s="489" t="s">
        <v>601</v>
      </c>
      <c r="I5" s="489" t="s">
        <v>602</v>
      </c>
      <c r="J5" s="489" t="s">
        <v>603</v>
      </c>
      <c r="K5" s="489" t="s">
        <v>604</v>
      </c>
    </row>
    <row r="6" spans="1:11">
      <c r="A6" s="419">
        <v>1</v>
      </c>
      <c r="B6" s="419" t="s">
        <v>605</v>
      </c>
      <c r="C6" s="419">
        <v>2003678.4791999999</v>
      </c>
      <c r="D6" s="419" t="s">
        <v>988</v>
      </c>
      <c r="E6" s="419">
        <v>581260</v>
      </c>
      <c r="F6" s="419" t="s">
        <v>988</v>
      </c>
      <c r="G6" s="419">
        <v>149441239.73230001</v>
      </c>
      <c r="H6" s="419" t="s">
        <v>988</v>
      </c>
      <c r="I6" s="419">
        <v>57111439.573299997</v>
      </c>
      <c r="J6" s="419">
        <v>14927584.248400001</v>
      </c>
      <c r="K6" s="419">
        <v>37985274.193700001</v>
      </c>
    </row>
    <row r="7" spans="1:11">
      <c r="A7" s="419">
        <v>2</v>
      </c>
      <c r="B7" s="419" t="s">
        <v>606</v>
      </c>
      <c r="C7" s="419" t="s">
        <v>988</v>
      </c>
      <c r="D7" s="419" t="s">
        <v>988</v>
      </c>
      <c r="E7" s="419" t="s">
        <v>988</v>
      </c>
      <c r="F7" s="419" t="s">
        <v>988</v>
      </c>
      <c r="G7" s="419">
        <v>3091803.0427999999</v>
      </c>
      <c r="H7" s="419" t="s">
        <v>988</v>
      </c>
      <c r="I7" s="419">
        <v>33888351.969999999</v>
      </c>
      <c r="J7" s="419">
        <v>0</v>
      </c>
      <c r="K7" s="419">
        <v>19880103.360199999</v>
      </c>
    </row>
    <row r="8" spans="1:11">
      <c r="A8" s="419">
        <v>3</v>
      </c>
      <c r="B8" s="419" t="s">
        <v>570</v>
      </c>
      <c r="C8" s="419">
        <v>8710.8202999999994</v>
      </c>
      <c r="D8" s="419" t="s">
        <v>988</v>
      </c>
      <c r="E8" s="419">
        <v>238532.23740000001</v>
      </c>
      <c r="F8" s="419" t="s">
        <v>988</v>
      </c>
      <c r="G8" s="419">
        <v>4655213.3679</v>
      </c>
      <c r="H8" s="419" t="s">
        <v>988</v>
      </c>
      <c r="I8" s="419">
        <v>7815784.6473000003</v>
      </c>
      <c r="J8" s="419">
        <v>9420371.7567999996</v>
      </c>
      <c r="K8" s="419">
        <v>64695984.468900003</v>
      </c>
    </row>
    <row r="9" spans="1:11">
      <c r="A9" s="419">
        <v>4</v>
      </c>
      <c r="B9" s="436" t="s">
        <v>904</v>
      </c>
      <c r="C9" s="488" t="s">
        <v>988</v>
      </c>
      <c r="D9" s="488" t="s">
        <v>988</v>
      </c>
      <c r="E9" s="488" t="s">
        <v>988</v>
      </c>
      <c r="F9" s="488" t="s">
        <v>988</v>
      </c>
      <c r="G9" s="488">
        <v>25052268.0011</v>
      </c>
      <c r="H9" s="488" t="s">
        <v>988</v>
      </c>
      <c r="I9" s="488">
        <v>316776.90919999999</v>
      </c>
      <c r="J9" s="488">
        <v>86466.651100000003</v>
      </c>
      <c r="K9" s="488">
        <v>257980.8217</v>
      </c>
    </row>
    <row r="10" spans="1:11">
      <c r="A10" s="419">
        <v>5</v>
      </c>
      <c r="B10" s="436" t="s">
        <v>903</v>
      </c>
      <c r="C10" s="488" t="s">
        <v>988</v>
      </c>
      <c r="D10" s="488" t="s">
        <v>988</v>
      </c>
      <c r="E10" s="488" t="s">
        <v>988</v>
      </c>
      <c r="F10" s="488" t="s">
        <v>988</v>
      </c>
      <c r="G10" s="488" t="s">
        <v>988</v>
      </c>
      <c r="H10" s="488" t="s">
        <v>988</v>
      </c>
      <c r="I10" s="488" t="s">
        <v>988</v>
      </c>
      <c r="J10" s="488" t="s">
        <v>988</v>
      </c>
      <c r="K10" s="488" t="s">
        <v>988</v>
      </c>
    </row>
    <row r="11" spans="1:11">
      <c r="A11" s="419">
        <v>6</v>
      </c>
      <c r="B11" s="436" t="s">
        <v>902</v>
      </c>
      <c r="C11" s="488" t="s">
        <v>988</v>
      </c>
      <c r="D11" s="488" t="s">
        <v>988</v>
      </c>
      <c r="E11" s="488" t="s">
        <v>988</v>
      </c>
      <c r="F11" s="488" t="s">
        <v>988</v>
      </c>
      <c r="G11" s="488">
        <v>0</v>
      </c>
      <c r="H11" s="488" t="s">
        <v>988</v>
      </c>
      <c r="I11" s="488">
        <v>0</v>
      </c>
      <c r="J11" s="488">
        <v>0</v>
      </c>
      <c r="K11" s="488">
        <v>0</v>
      </c>
    </row>
    <row r="13" spans="1:11" ht="13.8">
      <c r="B13" s="487"/>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scale="2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zoomScale="70" zoomScaleNormal="70" workbookViewId="0">
      <selection activeCell="A3" sqref="A3"/>
    </sheetView>
  </sheetViews>
  <sheetFormatPr defaultColWidth="8.77734375" defaultRowHeight="14.4"/>
  <cols>
    <col min="1" max="1" width="10" style="492" bestFit="1" customWidth="1"/>
    <col min="2" max="2" width="71.77734375" style="492" customWidth="1"/>
    <col min="3" max="3" width="10.6640625" style="492" bestFit="1" customWidth="1"/>
    <col min="4" max="5" width="15.21875" style="492" bestFit="1" customWidth="1"/>
    <col min="6" max="6" width="20" style="492" bestFit="1" customWidth="1"/>
    <col min="7" max="7" width="37.6640625" style="492" bestFit="1" customWidth="1"/>
    <col min="8" max="8" width="10.6640625" style="492" bestFit="1" customWidth="1"/>
    <col min="9" max="10" width="15.21875" style="492" bestFit="1" customWidth="1"/>
    <col min="11" max="11" width="20" style="492" bestFit="1" customWidth="1"/>
    <col min="12" max="12" width="37.6640625" style="492" bestFit="1" customWidth="1"/>
    <col min="13" max="13" width="10.6640625" style="492" bestFit="1" customWidth="1"/>
    <col min="14" max="15" width="15.21875" style="492" bestFit="1" customWidth="1"/>
    <col min="16" max="16" width="20" style="492" bestFit="1" customWidth="1"/>
    <col min="17" max="17" width="37.6640625" style="492" bestFit="1" customWidth="1"/>
    <col min="18" max="18" width="18" style="492" bestFit="1" customWidth="1"/>
    <col min="19" max="19" width="48" style="492" bestFit="1" customWidth="1"/>
    <col min="20" max="20" width="45.77734375" style="492" bestFit="1" customWidth="1"/>
    <col min="21" max="21" width="48" style="492" bestFit="1" customWidth="1"/>
    <col min="22" max="22" width="44.33203125" style="492" bestFit="1" customWidth="1"/>
    <col min="23" max="16384" width="8.77734375" style="492"/>
  </cols>
  <sheetData>
    <row r="1" spans="1:22">
      <c r="A1" s="373" t="s">
        <v>108</v>
      </c>
      <c r="B1" s="291" t="str">
        <f>Info!C2</f>
        <v>სს " პაშა ბანკი საქართველო"</v>
      </c>
    </row>
    <row r="2" spans="1:22">
      <c r="A2" s="373" t="s">
        <v>109</v>
      </c>
      <c r="B2" s="376">
        <f>'1. key ratios'!B2</f>
        <v>45382</v>
      </c>
    </row>
    <row r="3" spans="1:22">
      <c r="A3" s="375" t="s">
        <v>689</v>
      </c>
      <c r="B3" s="429"/>
    </row>
    <row r="4" spans="1:22">
      <c r="A4" s="375"/>
      <c r="B4" s="429"/>
    </row>
    <row r="5" spans="1:22" ht="24" customHeight="1">
      <c r="A5" s="838" t="s">
        <v>716</v>
      </c>
      <c r="B5" s="838"/>
      <c r="C5" s="840" t="s">
        <v>908</v>
      </c>
      <c r="D5" s="840"/>
      <c r="E5" s="840"/>
      <c r="F5" s="840"/>
      <c r="G5" s="840"/>
      <c r="H5" s="840" t="s">
        <v>596</v>
      </c>
      <c r="I5" s="840"/>
      <c r="J5" s="840"/>
      <c r="K5" s="840"/>
      <c r="L5" s="840"/>
      <c r="M5" s="840" t="s">
        <v>907</v>
      </c>
      <c r="N5" s="840"/>
      <c r="O5" s="840"/>
      <c r="P5" s="840"/>
      <c r="Q5" s="840"/>
      <c r="R5" s="839" t="s">
        <v>715</v>
      </c>
      <c r="S5" s="839" t="s">
        <v>719</v>
      </c>
      <c r="T5" s="839" t="s">
        <v>718</v>
      </c>
      <c r="U5" s="839" t="s">
        <v>956</v>
      </c>
      <c r="V5" s="839" t="s">
        <v>957</v>
      </c>
    </row>
    <row r="6" spans="1:22" ht="36" customHeight="1">
      <c r="A6" s="838"/>
      <c r="B6" s="838"/>
      <c r="C6" s="502"/>
      <c r="D6" s="427" t="s">
        <v>892</v>
      </c>
      <c r="E6" s="427" t="s">
        <v>891</v>
      </c>
      <c r="F6" s="427" t="s">
        <v>890</v>
      </c>
      <c r="G6" s="427" t="s">
        <v>889</v>
      </c>
      <c r="H6" s="502"/>
      <c r="I6" s="427" t="s">
        <v>892</v>
      </c>
      <c r="J6" s="427" t="s">
        <v>891</v>
      </c>
      <c r="K6" s="427" t="s">
        <v>890</v>
      </c>
      <c r="L6" s="427" t="s">
        <v>889</v>
      </c>
      <c r="M6" s="502"/>
      <c r="N6" s="427" t="s">
        <v>892</v>
      </c>
      <c r="O6" s="427" t="s">
        <v>891</v>
      </c>
      <c r="P6" s="427" t="s">
        <v>890</v>
      </c>
      <c r="Q6" s="427" t="s">
        <v>889</v>
      </c>
      <c r="R6" s="839"/>
      <c r="S6" s="839"/>
      <c r="T6" s="839"/>
      <c r="U6" s="839"/>
      <c r="V6" s="839"/>
    </row>
    <row r="7" spans="1:22">
      <c r="A7" s="496">
        <v>1</v>
      </c>
      <c r="B7" s="501" t="s">
        <v>690</v>
      </c>
      <c r="C7" s="488"/>
      <c r="D7" s="488"/>
      <c r="E7" s="488"/>
      <c r="F7" s="488"/>
      <c r="G7" s="488"/>
      <c r="H7" s="488"/>
      <c r="I7" s="488"/>
      <c r="J7" s="488"/>
      <c r="K7" s="488"/>
      <c r="L7" s="488"/>
      <c r="M7" s="488"/>
      <c r="N7" s="488"/>
      <c r="O7" s="488"/>
      <c r="P7" s="488"/>
      <c r="Q7" s="488"/>
      <c r="R7" s="488"/>
      <c r="S7" s="488"/>
      <c r="T7" s="488"/>
      <c r="U7" s="488"/>
      <c r="V7" s="488"/>
    </row>
    <row r="8" spans="1:22">
      <c r="A8" s="496">
        <v>2</v>
      </c>
      <c r="B8" s="500" t="s">
        <v>691</v>
      </c>
      <c r="C8" s="714">
        <v>855417.66</v>
      </c>
      <c r="D8" s="488">
        <v>772995.41</v>
      </c>
      <c r="E8" s="488">
        <v>49168.73</v>
      </c>
      <c r="F8" s="488">
        <v>33253.519999999997</v>
      </c>
      <c r="G8" s="488"/>
      <c r="H8" s="488">
        <v>859054.39300000004</v>
      </c>
      <c r="I8" s="488">
        <v>774073.66460000002</v>
      </c>
      <c r="J8" s="488">
        <v>51516.05</v>
      </c>
      <c r="K8" s="488">
        <v>33464.678399999997</v>
      </c>
      <c r="L8" s="488"/>
      <c r="M8" s="488">
        <v>43579.245499999997</v>
      </c>
      <c r="N8" s="488">
        <v>10787.1926</v>
      </c>
      <c r="O8" s="488">
        <v>5209.6216999999997</v>
      </c>
      <c r="P8" s="488">
        <v>27582.431199999999</v>
      </c>
      <c r="Q8" s="488"/>
      <c r="R8" s="488">
        <v>79</v>
      </c>
      <c r="S8" s="488">
        <v>0.11899999999999999</v>
      </c>
      <c r="T8" s="488">
        <v>0.13250000000000001</v>
      </c>
      <c r="U8" s="488">
        <v>0.12889999999999999</v>
      </c>
      <c r="V8" s="488">
        <v>24.306999999999999</v>
      </c>
    </row>
    <row r="9" spans="1:22">
      <c r="A9" s="496">
        <v>3</v>
      </c>
      <c r="B9" s="500" t="s">
        <v>692</v>
      </c>
      <c r="C9" s="488" t="s">
        <v>988</v>
      </c>
      <c r="D9" s="488" t="s">
        <v>988</v>
      </c>
      <c r="E9" s="488" t="s">
        <v>988</v>
      </c>
      <c r="F9" s="488" t="s">
        <v>988</v>
      </c>
      <c r="G9" s="488"/>
      <c r="H9" s="488" t="s">
        <v>988</v>
      </c>
      <c r="I9" s="488" t="s">
        <v>988</v>
      </c>
      <c r="J9" s="488" t="s">
        <v>988</v>
      </c>
      <c r="K9" s="488" t="s">
        <v>988</v>
      </c>
      <c r="L9" s="488"/>
      <c r="M9" s="488" t="s">
        <v>988</v>
      </c>
      <c r="N9" s="488" t="s">
        <v>988</v>
      </c>
      <c r="O9" s="488" t="s">
        <v>988</v>
      </c>
      <c r="P9" s="488" t="s">
        <v>988</v>
      </c>
      <c r="Q9" s="488"/>
      <c r="R9" s="488">
        <v>0</v>
      </c>
      <c r="S9" s="488" t="s">
        <v>988</v>
      </c>
      <c r="T9" s="488" t="s">
        <v>988</v>
      </c>
      <c r="U9" s="488" t="s">
        <v>988</v>
      </c>
      <c r="V9" s="488" t="s">
        <v>988</v>
      </c>
    </row>
    <row r="10" spans="1:22">
      <c r="A10" s="496">
        <v>4</v>
      </c>
      <c r="B10" s="500" t="s">
        <v>693</v>
      </c>
      <c r="C10" s="488" t="s">
        <v>988</v>
      </c>
      <c r="D10" s="488" t="s">
        <v>988</v>
      </c>
      <c r="E10" s="488" t="s">
        <v>988</v>
      </c>
      <c r="F10" s="488" t="s">
        <v>988</v>
      </c>
      <c r="G10" s="488"/>
      <c r="H10" s="488" t="s">
        <v>988</v>
      </c>
      <c r="I10" s="488" t="s">
        <v>988</v>
      </c>
      <c r="J10" s="488" t="s">
        <v>988</v>
      </c>
      <c r="K10" s="488" t="s">
        <v>988</v>
      </c>
      <c r="L10" s="488"/>
      <c r="M10" s="488" t="s">
        <v>988</v>
      </c>
      <c r="N10" s="488" t="s">
        <v>988</v>
      </c>
      <c r="O10" s="488" t="s">
        <v>988</v>
      </c>
      <c r="P10" s="488" t="s">
        <v>988</v>
      </c>
      <c r="Q10" s="488"/>
      <c r="R10" s="488">
        <v>0</v>
      </c>
      <c r="S10" s="488" t="s">
        <v>988</v>
      </c>
      <c r="T10" s="488" t="s">
        <v>988</v>
      </c>
      <c r="U10" s="488" t="s">
        <v>988</v>
      </c>
      <c r="V10" s="488" t="s">
        <v>988</v>
      </c>
    </row>
    <row r="11" spans="1:22">
      <c r="A11" s="496">
        <v>5</v>
      </c>
      <c r="B11" s="500" t="s">
        <v>694</v>
      </c>
      <c r="C11" s="488">
        <v>10498.8884</v>
      </c>
      <c r="D11" s="488">
        <v>10498.8884</v>
      </c>
      <c r="E11" s="488">
        <v>0</v>
      </c>
      <c r="F11" s="488">
        <v>0</v>
      </c>
      <c r="G11" s="488"/>
      <c r="H11" s="488">
        <v>10514.9184</v>
      </c>
      <c r="I11" s="488">
        <v>10514.9184</v>
      </c>
      <c r="J11" s="488">
        <v>0</v>
      </c>
      <c r="K11" s="488">
        <v>0</v>
      </c>
      <c r="L11" s="488"/>
      <c r="M11" s="488">
        <v>316.22250000000003</v>
      </c>
      <c r="N11" s="488">
        <v>316.22250000000003</v>
      </c>
      <c r="O11" s="488">
        <v>0</v>
      </c>
      <c r="P11" s="488">
        <v>0</v>
      </c>
      <c r="Q11" s="488"/>
      <c r="R11" s="488">
        <v>49</v>
      </c>
      <c r="S11" s="488">
        <v>0.1181</v>
      </c>
      <c r="T11" s="488">
        <v>0.12659999999999999</v>
      </c>
      <c r="U11" s="488">
        <v>0.10390000000000001</v>
      </c>
      <c r="V11" s="488">
        <v>1.1654</v>
      </c>
    </row>
    <row r="12" spans="1:22">
      <c r="A12" s="496">
        <v>6</v>
      </c>
      <c r="B12" s="500" t="s">
        <v>695</v>
      </c>
      <c r="C12" s="488">
        <v>26582.52</v>
      </c>
      <c r="D12" s="488">
        <v>2593.54</v>
      </c>
      <c r="E12" s="488">
        <v>2933.33</v>
      </c>
      <c r="F12" s="488">
        <v>21055.65</v>
      </c>
      <c r="G12" s="488"/>
      <c r="H12" s="488">
        <v>27429.1898</v>
      </c>
      <c r="I12" s="488">
        <v>2556.89</v>
      </c>
      <c r="J12" s="488">
        <v>3174.02</v>
      </c>
      <c r="K12" s="488">
        <v>21698.2798</v>
      </c>
      <c r="L12" s="488"/>
      <c r="M12" s="488">
        <v>17695.881399999998</v>
      </c>
      <c r="N12" s="488">
        <v>73.670100000000005</v>
      </c>
      <c r="O12" s="488">
        <v>191.88480000000001</v>
      </c>
      <c r="P12" s="488">
        <v>17430.326499999999</v>
      </c>
      <c r="Q12" s="488"/>
      <c r="R12" s="488">
        <v>11</v>
      </c>
      <c r="S12" s="488" t="s">
        <v>988</v>
      </c>
      <c r="T12" s="488" t="s">
        <v>988</v>
      </c>
      <c r="U12" s="488">
        <v>0.36</v>
      </c>
      <c r="V12" s="488">
        <v>260.23779999999999</v>
      </c>
    </row>
    <row r="13" spans="1:22">
      <c r="A13" s="496">
        <v>7</v>
      </c>
      <c r="B13" s="500" t="s">
        <v>696</v>
      </c>
      <c r="C13" s="488">
        <v>80822.909899999999</v>
      </c>
      <c r="D13" s="488">
        <v>0</v>
      </c>
      <c r="E13" s="488">
        <v>80822.909899999999</v>
      </c>
      <c r="F13" s="488">
        <v>0</v>
      </c>
      <c r="G13" s="488"/>
      <c r="H13" s="488">
        <v>80976.542000000001</v>
      </c>
      <c r="I13" s="488">
        <v>0</v>
      </c>
      <c r="J13" s="488">
        <v>80976.542000000001</v>
      </c>
      <c r="K13" s="488">
        <v>0</v>
      </c>
      <c r="L13" s="488"/>
      <c r="M13" s="488">
        <v>3904.2957000000001</v>
      </c>
      <c r="N13" s="488">
        <v>0</v>
      </c>
      <c r="O13" s="488">
        <v>3904.2957000000001</v>
      </c>
      <c r="P13" s="488">
        <v>0</v>
      </c>
      <c r="Q13" s="488"/>
      <c r="R13" s="488">
        <v>1</v>
      </c>
      <c r="S13" s="488" t="s">
        <v>988</v>
      </c>
      <c r="T13" s="488" t="s">
        <v>988</v>
      </c>
      <c r="U13" s="488">
        <v>0.1085</v>
      </c>
      <c r="V13" s="488">
        <v>21</v>
      </c>
    </row>
    <row r="14" spans="1:22">
      <c r="A14" s="494">
        <v>7.1</v>
      </c>
      <c r="B14" s="493" t="s">
        <v>697</v>
      </c>
      <c r="C14" s="488">
        <v>80822.909899999999</v>
      </c>
      <c r="D14" s="488">
        <v>0</v>
      </c>
      <c r="E14" s="488">
        <v>80822.909899999999</v>
      </c>
      <c r="F14" s="488">
        <v>0</v>
      </c>
      <c r="G14" s="488"/>
      <c r="H14" s="488">
        <v>80976.542000000001</v>
      </c>
      <c r="I14" s="488">
        <v>0</v>
      </c>
      <c r="J14" s="488">
        <v>80976.542000000001</v>
      </c>
      <c r="K14" s="488">
        <v>0</v>
      </c>
      <c r="L14" s="488"/>
      <c r="M14" s="488">
        <v>3904.2957000000001</v>
      </c>
      <c r="N14" s="488">
        <v>0</v>
      </c>
      <c r="O14" s="488">
        <v>3904.2957000000001</v>
      </c>
      <c r="P14" s="488">
        <v>0</v>
      </c>
      <c r="Q14" s="488"/>
      <c r="R14" s="488">
        <v>1</v>
      </c>
      <c r="S14" s="488" t="s">
        <v>988</v>
      </c>
      <c r="T14" s="488" t="s">
        <v>988</v>
      </c>
      <c r="U14" s="488">
        <v>0.1085</v>
      </c>
      <c r="V14" s="488">
        <v>21</v>
      </c>
    </row>
    <row r="15" spans="1:22" ht="24">
      <c r="A15" s="494">
        <v>7.2</v>
      </c>
      <c r="B15" s="493" t="s">
        <v>698</v>
      </c>
      <c r="C15" s="488"/>
      <c r="D15" s="488"/>
      <c r="E15" s="488"/>
      <c r="F15" s="488"/>
      <c r="G15" s="488"/>
      <c r="H15" s="488"/>
      <c r="I15" s="488"/>
      <c r="J15" s="488"/>
      <c r="K15" s="488"/>
      <c r="L15" s="488"/>
      <c r="M15" s="488"/>
      <c r="N15" s="488"/>
      <c r="O15" s="488"/>
      <c r="P15" s="488"/>
      <c r="Q15" s="488"/>
      <c r="R15" s="488"/>
      <c r="S15" s="488"/>
      <c r="T15" s="488"/>
      <c r="U15" s="488"/>
      <c r="V15" s="488"/>
    </row>
    <row r="16" spans="1:22">
      <c r="A16" s="494">
        <v>7.3</v>
      </c>
      <c r="B16" s="493" t="s">
        <v>699</v>
      </c>
      <c r="C16" s="488"/>
      <c r="D16" s="488"/>
      <c r="E16" s="488"/>
      <c r="F16" s="488"/>
      <c r="G16" s="488"/>
      <c r="H16" s="488"/>
      <c r="I16" s="488"/>
      <c r="J16" s="488"/>
      <c r="K16" s="488"/>
      <c r="L16" s="488"/>
      <c r="M16" s="488"/>
      <c r="N16" s="488"/>
      <c r="O16" s="488"/>
      <c r="P16" s="488"/>
      <c r="Q16" s="488"/>
      <c r="R16" s="488"/>
      <c r="S16" s="488"/>
      <c r="T16" s="488"/>
      <c r="U16" s="488"/>
      <c r="V16" s="488"/>
    </row>
    <row r="17" spans="1:22">
      <c r="A17" s="496">
        <v>8</v>
      </c>
      <c r="B17" s="500" t="s">
        <v>700</v>
      </c>
      <c r="C17" s="488"/>
      <c r="D17" s="488"/>
      <c r="E17" s="488"/>
      <c r="F17" s="488"/>
      <c r="G17" s="488"/>
      <c r="H17" s="488"/>
      <c r="I17" s="488"/>
      <c r="J17" s="488"/>
      <c r="K17" s="488"/>
      <c r="L17" s="488"/>
      <c r="M17" s="488"/>
      <c r="N17" s="488"/>
      <c r="O17" s="488"/>
      <c r="P17" s="488"/>
      <c r="Q17" s="488"/>
      <c r="R17" s="488"/>
      <c r="S17" s="488"/>
      <c r="T17" s="488"/>
      <c r="U17" s="488"/>
      <c r="V17" s="488"/>
    </row>
    <row r="18" spans="1:22">
      <c r="A18" s="499">
        <v>9</v>
      </c>
      <c r="B18" s="498" t="s">
        <v>701</v>
      </c>
      <c r="C18" s="497"/>
      <c r="D18" s="497"/>
      <c r="E18" s="497"/>
      <c r="F18" s="497"/>
      <c r="G18" s="497"/>
      <c r="H18" s="497"/>
      <c r="I18" s="497"/>
      <c r="J18" s="497"/>
      <c r="K18" s="497"/>
      <c r="L18" s="497"/>
      <c r="M18" s="497"/>
      <c r="N18" s="497"/>
      <c r="O18" s="497"/>
      <c r="P18" s="497"/>
      <c r="Q18" s="497"/>
      <c r="R18" s="497"/>
      <c r="S18" s="497"/>
      <c r="T18" s="497"/>
      <c r="U18" s="497"/>
      <c r="V18" s="497"/>
    </row>
    <row r="19" spans="1:22">
      <c r="A19" s="496">
        <v>10</v>
      </c>
      <c r="B19" s="495" t="s">
        <v>717</v>
      </c>
      <c r="C19" s="714">
        <v>973321.97829999996</v>
      </c>
      <c r="D19" s="488">
        <v>786087.83840000001</v>
      </c>
      <c r="E19" s="488">
        <v>132924.9699</v>
      </c>
      <c r="F19" s="488">
        <v>54309.17</v>
      </c>
      <c r="G19" s="488"/>
      <c r="H19" s="488">
        <v>977975.04319999996</v>
      </c>
      <c r="I19" s="488">
        <v>787145.473</v>
      </c>
      <c r="J19" s="488">
        <v>135666.61199999999</v>
      </c>
      <c r="K19" s="488">
        <v>55162.958200000001</v>
      </c>
      <c r="L19" s="488"/>
      <c r="M19" s="488">
        <v>65495.645100000002</v>
      </c>
      <c r="N19" s="488">
        <v>11177.0852</v>
      </c>
      <c r="O19" s="488">
        <v>9305.8022000000001</v>
      </c>
      <c r="P19" s="488">
        <v>45012.757700000002</v>
      </c>
      <c r="Q19" s="488"/>
      <c r="R19" s="488">
        <v>140</v>
      </c>
      <c r="S19" s="488">
        <v>0.1186</v>
      </c>
      <c r="T19" s="488">
        <v>0.1298</v>
      </c>
      <c r="U19" s="488">
        <v>0.1333</v>
      </c>
      <c r="V19" s="488">
        <v>30.226299999999998</v>
      </c>
    </row>
    <row r="20" spans="1:22" ht="24">
      <c r="A20" s="494">
        <v>10.1</v>
      </c>
      <c r="B20" s="493" t="s">
        <v>720</v>
      </c>
      <c r="C20" s="488"/>
      <c r="D20" s="488"/>
      <c r="E20" s="488"/>
      <c r="F20" s="488"/>
      <c r="G20" s="488"/>
      <c r="H20" s="488"/>
      <c r="I20" s="488"/>
      <c r="J20" s="488"/>
      <c r="K20" s="488"/>
      <c r="L20" s="488"/>
      <c r="M20" s="488"/>
      <c r="N20" s="488"/>
      <c r="O20" s="488"/>
      <c r="P20" s="488"/>
      <c r="Q20" s="488"/>
      <c r="R20" s="488"/>
      <c r="S20" s="488"/>
      <c r="T20" s="488"/>
      <c r="U20" s="488"/>
      <c r="V20" s="488"/>
    </row>
  </sheetData>
  <mergeCells count="9">
    <mergeCell ref="A5:B6"/>
    <mergeCell ref="V5:V6"/>
    <mergeCell ref="U5:U6"/>
    <mergeCell ref="T5:T6"/>
    <mergeCell ref="S5:S6"/>
    <mergeCell ref="H5:L5"/>
    <mergeCell ref="M5:Q5"/>
    <mergeCell ref="R5:R6"/>
    <mergeCell ref="C5:G5"/>
  </mergeCells>
  <pageMargins left="0.7" right="0.7" top="0.75" bottom="0.75" header="0.3" footer="0.3"/>
  <pageSetup scale="1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activeCell="A3" sqref="A3"/>
    </sheetView>
  </sheetViews>
  <sheetFormatPr defaultColWidth="43.5546875" defaultRowHeight="12"/>
  <cols>
    <col min="1" max="1" width="8" style="144" customWidth="1"/>
    <col min="2" max="2" width="66.21875" style="145" customWidth="1"/>
    <col min="3" max="3" width="131.44140625" style="146" customWidth="1"/>
    <col min="4" max="5" width="10.21875" style="137" customWidth="1"/>
    <col min="6" max="6" width="67.6640625" style="137" customWidth="1"/>
    <col min="7" max="16384" width="43.5546875" style="137"/>
  </cols>
  <sheetData>
    <row r="1" spans="1:3" ht="13.2" thickTop="1" thickBot="1">
      <c r="A1" s="841" t="s">
        <v>187</v>
      </c>
      <c r="B1" s="842"/>
      <c r="C1" s="843"/>
    </row>
    <row r="2" spans="1:3" ht="26.25" customHeight="1">
      <c r="A2" s="382"/>
      <c r="B2" s="844" t="s">
        <v>188</v>
      </c>
      <c r="C2" s="844"/>
    </row>
    <row r="3" spans="1:3" s="142" customFormat="1" ht="11.25" customHeight="1">
      <c r="A3" s="141"/>
      <c r="B3" s="844" t="s">
        <v>263</v>
      </c>
      <c r="C3" s="844"/>
    </row>
    <row r="4" spans="1:3" ht="12" customHeight="1" thickBot="1">
      <c r="A4" s="845" t="s">
        <v>267</v>
      </c>
      <c r="B4" s="846"/>
      <c r="C4" s="847"/>
    </row>
    <row r="5" spans="1:3" ht="12.6" thickTop="1">
      <c r="A5" s="138"/>
      <c r="B5" s="848" t="s">
        <v>189</v>
      </c>
      <c r="C5" s="849"/>
    </row>
    <row r="6" spans="1:3">
      <c r="A6" s="382"/>
      <c r="B6" s="850" t="s">
        <v>264</v>
      </c>
      <c r="C6" s="851"/>
    </row>
    <row r="7" spans="1:3">
      <c r="A7" s="382"/>
      <c r="B7" s="850" t="s">
        <v>190</v>
      </c>
      <c r="C7" s="851"/>
    </row>
    <row r="8" spans="1:3">
      <c r="A8" s="382"/>
      <c r="B8" s="850" t="s">
        <v>265</v>
      </c>
      <c r="C8" s="851"/>
    </row>
    <row r="9" spans="1:3">
      <c r="A9" s="382"/>
      <c r="B9" s="856" t="s">
        <v>266</v>
      </c>
      <c r="C9" s="857"/>
    </row>
    <row r="10" spans="1:3">
      <c r="A10" s="382"/>
      <c r="B10" s="852" t="s">
        <v>191</v>
      </c>
      <c r="C10" s="853" t="s">
        <v>191</v>
      </c>
    </row>
    <row r="11" spans="1:3">
      <c r="A11" s="382"/>
      <c r="B11" s="852" t="s">
        <v>192</v>
      </c>
      <c r="C11" s="853" t="s">
        <v>192</v>
      </c>
    </row>
    <row r="12" spans="1:3">
      <c r="A12" s="382"/>
      <c r="B12" s="852" t="s">
        <v>193</v>
      </c>
      <c r="C12" s="853" t="s">
        <v>193</v>
      </c>
    </row>
    <row r="13" spans="1:3">
      <c r="A13" s="382"/>
      <c r="B13" s="852" t="s">
        <v>194</v>
      </c>
      <c r="C13" s="853" t="s">
        <v>194</v>
      </c>
    </row>
    <row r="14" spans="1:3">
      <c r="A14" s="382"/>
      <c r="B14" s="852" t="s">
        <v>195</v>
      </c>
      <c r="C14" s="853" t="s">
        <v>195</v>
      </c>
    </row>
    <row r="15" spans="1:3" ht="21.75" customHeight="1">
      <c r="A15" s="382"/>
      <c r="B15" s="852" t="s">
        <v>196</v>
      </c>
      <c r="C15" s="853" t="s">
        <v>196</v>
      </c>
    </row>
    <row r="16" spans="1:3">
      <c r="A16" s="382"/>
      <c r="B16" s="852" t="s">
        <v>197</v>
      </c>
      <c r="C16" s="853" t="s">
        <v>198</v>
      </c>
    </row>
    <row r="17" spans="1:6">
      <c r="A17" s="382"/>
      <c r="B17" s="852" t="s">
        <v>199</v>
      </c>
      <c r="C17" s="853" t="s">
        <v>200</v>
      </c>
    </row>
    <row r="18" spans="1:6">
      <c r="A18" s="382"/>
      <c r="B18" s="852" t="s">
        <v>201</v>
      </c>
      <c r="C18" s="853" t="s">
        <v>202</v>
      </c>
    </row>
    <row r="19" spans="1:6">
      <c r="A19" s="382"/>
      <c r="B19" s="852" t="s">
        <v>203</v>
      </c>
      <c r="C19" s="853" t="s">
        <v>203</v>
      </c>
    </row>
    <row r="20" spans="1:6">
      <c r="A20" s="382"/>
      <c r="B20" s="854" t="s">
        <v>959</v>
      </c>
      <c r="C20" s="855" t="s">
        <v>204</v>
      </c>
    </row>
    <row r="21" spans="1:6">
      <c r="A21" s="382"/>
      <c r="B21" s="852" t="s">
        <v>948</v>
      </c>
      <c r="C21" s="853" t="s">
        <v>205</v>
      </c>
    </row>
    <row r="22" spans="1:6" ht="23.25" customHeight="1">
      <c r="A22" s="382"/>
      <c r="B22" s="852" t="s">
        <v>206</v>
      </c>
      <c r="C22" s="853" t="s">
        <v>207</v>
      </c>
      <c r="F22" s="568"/>
    </row>
    <row r="23" spans="1:6">
      <c r="A23" s="382"/>
      <c r="B23" s="852" t="s">
        <v>208</v>
      </c>
      <c r="C23" s="853" t="s">
        <v>208</v>
      </c>
    </row>
    <row r="24" spans="1:6">
      <c r="A24" s="382"/>
      <c r="B24" s="852" t="s">
        <v>209</v>
      </c>
      <c r="C24" s="853" t="s">
        <v>210</v>
      </c>
    </row>
    <row r="25" spans="1:6" ht="12.6" thickBot="1">
      <c r="A25" s="139"/>
      <c r="B25" s="863" t="s">
        <v>211</v>
      </c>
      <c r="C25" s="864"/>
    </row>
    <row r="26" spans="1:6" ht="13.2" thickTop="1" thickBot="1">
      <c r="A26" s="845" t="s">
        <v>844</v>
      </c>
      <c r="B26" s="846"/>
      <c r="C26" s="847"/>
    </row>
    <row r="27" spans="1:6" ht="13.2" thickTop="1" thickBot="1">
      <c r="A27" s="140"/>
      <c r="B27" s="865" t="s">
        <v>845</v>
      </c>
      <c r="C27" s="866"/>
    </row>
    <row r="28" spans="1:6" ht="13.2" thickTop="1" thickBot="1">
      <c r="A28" s="845" t="s">
        <v>268</v>
      </c>
      <c r="B28" s="846"/>
      <c r="C28" s="847"/>
    </row>
    <row r="29" spans="1:6" ht="12.6" thickTop="1">
      <c r="A29" s="138"/>
      <c r="B29" s="867" t="s">
        <v>848</v>
      </c>
      <c r="C29" s="868" t="s">
        <v>212</v>
      </c>
    </row>
    <row r="30" spans="1:6">
      <c r="A30" s="382"/>
      <c r="B30" s="858" t="s">
        <v>216</v>
      </c>
      <c r="C30" s="859" t="s">
        <v>213</v>
      </c>
    </row>
    <row r="31" spans="1:6">
      <c r="A31" s="382"/>
      <c r="B31" s="858" t="s">
        <v>846</v>
      </c>
      <c r="C31" s="859" t="s">
        <v>214</v>
      </c>
    </row>
    <row r="32" spans="1:6">
      <c r="A32" s="382"/>
      <c r="B32" s="858" t="s">
        <v>847</v>
      </c>
      <c r="C32" s="859" t="s">
        <v>215</v>
      </c>
    </row>
    <row r="33" spans="1:3">
      <c r="A33" s="382"/>
      <c r="B33" s="858" t="s">
        <v>219</v>
      </c>
      <c r="C33" s="859" t="s">
        <v>220</v>
      </c>
    </row>
    <row r="34" spans="1:3">
      <c r="A34" s="382"/>
      <c r="B34" s="858" t="s">
        <v>849</v>
      </c>
      <c r="C34" s="859" t="s">
        <v>217</v>
      </c>
    </row>
    <row r="35" spans="1:3">
      <c r="A35" s="382"/>
      <c r="B35" s="858" t="s">
        <v>850</v>
      </c>
      <c r="C35" s="859" t="s">
        <v>218</v>
      </c>
    </row>
    <row r="36" spans="1:3">
      <c r="A36" s="382"/>
      <c r="B36" s="860" t="s">
        <v>851</v>
      </c>
      <c r="C36" s="861"/>
    </row>
    <row r="37" spans="1:3" ht="24.75" customHeight="1">
      <c r="A37" s="382"/>
      <c r="B37" s="858" t="s">
        <v>852</v>
      </c>
      <c r="C37" s="859" t="s">
        <v>221</v>
      </c>
    </row>
    <row r="38" spans="1:3" ht="23.25" customHeight="1">
      <c r="A38" s="382"/>
      <c r="B38" s="858" t="s">
        <v>853</v>
      </c>
      <c r="C38" s="859" t="s">
        <v>222</v>
      </c>
    </row>
    <row r="39" spans="1:3" ht="23.25" customHeight="1">
      <c r="A39" s="410"/>
      <c r="B39" s="860" t="s">
        <v>854</v>
      </c>
      <c r="C39" s="862"/>
    </row>
    <row r="40" spans="1:3" ht="12" customHeight="1">
      <c r="A40" s="382"/>
      <c r="B40" s="858" t="s">
        <v>855</v>
      </c>
      <c r="C40" s="859"/>
    </row>
    <row r="41" spans="1:3" ht="12.6" thickBot="1">
      <c r="A41" s="845" t="s">
        <v>269</v>
      </c>
      <c r="B41" s="846"/>
      <c r="C41" s="847"/>
    </row>
    <row r="42" spans="1:3" ht="12.6" thickTop="1">
      <c r="A42" s="138"/>
      <c r="B42" s="848" t="s">
        <v>299</v>
      </c>
      <c r="C42" s="849" t="s">
        <v>223</v>
      </c>
    </row>
    <row r="43" spans="1:3">
      <c r="A43" s="382"/>
      <c r="B43" s="850" t="s">
        <v>298</v>
      </c>
      <c r="C43" s="851"/>
    </row>
    <row r="44" spans="1:3" ht="23.25" customHeight="1" thickBot="1">
      <c r="A44" s="139"/>
      <c r="B44" s="869" t="s">
        <v>224</v>
      </c>
      <c r="C44" s="870" t="s">
        <v>225</v>
      </c>
    </row>
    <row r="45" spans="1:3" ht="11.25" customHeight="1" thickTop="1" thickBot="1">
      <c r="A45" s="845" t="s">
        <v>270</v>
      </c>
      <c r="B45" s="846"/>
      <c r="C45" s="847"/>
    </row>
    <row r="46" spans="1:3" ht="26.25" customHeight="1" thickTop="1">
      <c r="A46" s="382"/>
      <c r="B46" s="850" t="s">
        <v>271</v>
      </c>
      <c r="C46" s="851"/>
    </row>
    <row r="47" spans="1:3" ht="12.6" thickBot="1">
      <c r="A47" s="845" t="s">
        <v>272</v>
      </c>
      <c r="B47" s="846"/>
      <c r="C47" s="847"/>
    </row>
    <row r="48" spans="1:3" ht="12.6" thickTop="1">
      <c r="A48" s="138"/>
      <c r="B48" s="848" t="s">
        <v>226</v>
      </c>
      <c r="C48" s="849" t="s">
        <v>226</v>
      </c>
    </row>
    <row r="49" spans="1:3" ht="11.25" customHeight="1">
      <c r="A49" s="382"/>
      <c r="B49" s="850" t="s">
        <v>227</v>
      </c>
      <c r="C49" s="851" t="s">
        <v>227</v>
      </c>
    </row>
    <row r="50" spans="1:3">
      <c r="A50" s="382"/>
      <c r="B50" s="850" t="s">
        <v>228</v>
      </c>
      <c r="C50" s="851" t="s">
        <v>228</v>
      </c>
    </row>
    <row r="51" spans="1:3" ht="11.25" customHeight="1">
      <c r="A51" s="382"/>
      <c r="B51" s="850" t="s">
        <v>857</v>
      </c>
      <c r="C51" s="851" t="s">
        <v>229</v>
      </c>
    </row>
    <row r="52" spans="1:3" ht="33.6" customHeight="1">
      <c r="A52" s="382"/>
      <c r="B52" s="850" t="s">
        <v>230</v>
      </c>
      <c r="C52" s="851" t="s">
        <v>230</v>
      </c>
    </row>
    <row r="53" spans="1:3" ht="11.25" customHeight="1">
      <c r="A53" s="382"/>
      <c r="B53" s="850" t="s">
        <v>319</v>
      </c>
      <c r="C53" s="851" t="s">
        <v>231</v>
      </c>
    </row>
    <row r="54" spans="1:3" ht="11.25" customHeight="1" thickBot="1">
      <c r="A54" s="845" t="s">
        <v>273</v>
      </c>
      <c r="B54" s="846"/>
      <c r="C54" s="847"/>
    </row>
    <row r="55" spans="1:3" ht="12.6" thickTop="1">
      <c r="A55" s="138"/>
      <c r="B55" s="848" t="s">
        <v>226</v>
      </c>
      <c r="C55" s="849" t="s">
        <v>226</v>
      </c>
    </row>
    <row r="56" spans="1:3">
      <c r="A56" s="382"/>
      <c r="B56" s="850" t="s">
        <v>232</v>
      </c>
      <c r="C56" s="851" t="s">
        <v>232</v>
      </c>
    </row>
    <row r="57" spans="1:3">
      <c r="A57" s="382"/>
      <c r="B57" s="850" t="s">
        <v>276</v>
      </c>
      <c r="C57" s="851" t="s">
        <v>233</v>
      </c>
    </row>
    <row r="58" spans="1:3">
      <c r="A58" s="382"/>
      <c r="B58" s="850" t="s">
        <v>234</v>
      </c>
      <c r="C58" s="851" t="s">
        <v>234</v>
      </c>
    </row>
    <row r="59" spans="1:3">
      <c r="A59" s="382"/>
      <c r="B59" s="850" t="s">
        <v>235</v>
      </c>
      <c r="C59" s="851" t="s">
        <v>235</v>
      </c>
    </row>
    <row r="60" spans="1:3">
      <c r="A60" s="382"/>
      <c r="B60" s="850" t="s">
        <v>236</v>
      </c>
      <c r="C60" s="851" t="s">
        <v>236</v>
      </c>
    </row>
    <row r="61" spans="1:3">
      <c r="A61" s="382"/>
      <c r="B61" s="850" t="s">
        <v>277</v>
      </c>
      <c r="C61" s="851" t="s">
        <v>237</v>
      </c>
    </row>
    <row r="62" spans="1:3">
      <c r="A62" s="382"/>
      <c r="B62" s="850" t="s">
        <v>238</v>
      </c>
      <c r="C62" s="851" t="s">
        <v>238</v>
      </c>
    </row>
    <row r="63" spans="1:3" ht="12.6" thickBot="1">
      <c r="A63" s="139"/>
      <c r="B63" s="869" t="s">
        <v>239</v>
      </c>
      <c r="C63" s="870" t="s">
        <v>239</v>
      </c>
    </row>
    <row r="64" spans="1:3" ht="11.25" customHeight="1" thickTop="1">
      <c r="A64" s="873" t="s">
        <v>274</v>
      </c>
      <c r="B64" s="874"/>
      <c r="C64" s="875"/>
    </row>
    <row r="65" spans="1:3" ht="12.6" thickBot="1">
      <c r="A65" s="139"/>
      <c r="B65" s="869" t="s">
        <v>240</v>
      </c>
      <c r="C65" s="870" t="s">
        <v>240</v>
      </c>
    </row>
    <row r="66" spans="1:3" ht="11.25" customHeight="1" thickTop="1" thickBot="1">
      <c r="A66" s="845" t="s">
        <v>275</v>
      </c>
      <c r="B66" s="846"/>
      <c r="C66" s="847"/>
    </row>
    <row r="67" spans="1:3" ht="12.6" thickTop="1">
      <c r="A67" s="138"/>
      <c r="B67" s="848" t="s">
        <v>241</v>
      </c>
      <c r="C67" s="849" t="s">
        <v>241</v>
      </c>
    </row>
    <row r="68" spans="1:3">
      <c r="A68" s="382"/>
      <c r="B68" s="850" t="s">
        <v>859</v>
      </c>
      <c r="C68" s="851" t="s">
        <v>242</v>
      </c>
    </row>
    <row r="69" spans="1:3">
      <c r="A69" s="382"/>
      <c r="B69" s="850" t="s">
        <v>243</v>
      </c>
      <c r="C69" s="851" t="s">
        <v>243</v>
      </c>
    </row>
    <row r="70" spans="1:3" ht="55.05" customHeight="1">
      <c r="A70" s="382"/>
      <c r="B70" s="871" t="s">
        <v>688</v>
      </c>
      <c r="C70" s="872" t="s">
        <v>244</v>
      </c>
    </row>
    <row r="71" spans="1:3" ht="33.75" customHeight="1">
      <c r="A71" s="382"/>
      <c r="B71" s="871" t="s">
        <v>278</v>
      </c>
      <c r="C71" s="872" t="s">
        <v>245</v>
      </c>
    </row>
    <row r="72" spans="1:3" ht="15.75" customHeight="1">
      <c r="A72" s="382"/>
      <c r="B72" s="871" t="s">
        <v>860</v>
      </c>
      <c r="C72" s="872" t="s">
        <v>246</v>
      </c>
    </row>
    <row r="73" spans="1:3">
      <c r="A73" s="382"/>
      <c r="B73" s="850" t="s">
        <v>247</v>
      </c>
      <c r="C73" s="851" t="s">
        <v>247</v>
      </c>
    </row>
    <row r="74" spans="1:3" ht="12.6" thickBot="1">
      <c r="A74" s="139"/>
      <c r="B74" s="869" t="s">
        <v>248</v>
      </c>
      <c r="C74" s="870" t="s">
        <v>248</v>
      </c>
    </row>
    <row r="75" spans="1:3" ht="12.6" thickTop="1">
      <c r="A75" s="873" t="s">
        <v>302</v>
      </c>
      <c r="B75" s="874"/>
      <c r="C75" s="875"/>
    </row>
    <row r="76" spans="1:3">
      <c r="A76" s="382"/>
      <c r="B76" s="850" t="s">
        <v>240</v>
      </c>
      <c r="C76" s="851"/>
    </row>
    <row r="77" spans="1:3">
      <c r="A77" s="382"/>
      <c r="B77" s="850" t="s">
        <v>300</v>
      </c>
      <c r="C77" s="851"/>
    </row>
    <row r="78" spans="1:3">
      <c r="A78" s="382"/>
      <c r="B78" s="850" t="s">
        <v>301</v>
      </c>
      <c r="C78" s="851"/>
    </row>
    <row r="79" spans="1:3">
      <c r="A79" s="873" t="s">
        <v>303</v>
      </c>
      <c r="B79" s="874"/>
      <c r="C79" s="875"/>
    </row>
    <row r="80" spans="1:3">
      <c r="A80" s="382"/>
      <c r="B80" s="850" t="s">
        <v>240</v>
      </c>
      <c r="C80" s="851"/>
    </row>
    <row r="81" spans="1:3">
      <c r="A81" s="382"/>
      <c r="B81" s="850" t="s">
        <v>304</v>
      </c>
      <c r="C81" s="851"/>
    </row>
    <row r="82" spans="1:3" ht="79.5" customHeight="1">
      <c r="A82" s="382"/>
      <c r="B82" s="850" t="s">
        <v>318</v>
      </c>
      <c r="C82" s="851"/>
    </row>
    <row r="83" spans="1:3" ht="53.25" customHeight="1">
      <c r="A83" s="382"/>
      <c r="B83" s="850" t="s">
        <v>317</v>
      </c>
      <c r="C83" s="851"/>
    </row>
    <row r="84" spans="1:3">
      <c r="A84" s="382"/>
      <c r="B84" s="850" t="s">
        <v>305</v>
      </c>
      <c r="C84" s="851"/>
    </row>
    <row r="85" spans="1:3">
      <c r="A85" s="382"/>
      <c r="B85" s="850" t="s">
        <v>306</v>
      </c>
      <c r="C85" s="851"/>
    </row>
    <row r="86" spans="1:3">
      <c r="A86" s="382"/>
      <c r="B86" s="850" t="s">
        <v>307</v>
      </c>
      <c r="C86" s="851"/>
    </row>
    <row r="87" spans="1:3">
      <c r="A87" s="873" t="s">
        <v>308</v>
      </c>
      <c r="B87" s="874"/>
      <c r="C87" s="875"/>
    </row>
    <row r="88" spans="1:3">
      <c r="A88" s="382"/>
      <c r="B88" s="850" t="s">
        <v>240</v>
      </c>
      <c r="C88" s="851"/>
    </row>
    <row r="89" spans="1:3">
      <c r="A89" s="382"/>
      <c r="B89" s="850" t="s">
        <v>310</v>
      </c>
      <c r="C89" s="851"/>
    </row>
    <row r="90" spans="1:3" ht="12" customHeight="1">
      <c r="A90" s="382"/>
      <c r="B90" s="850" t="s">
        <v>311</v>
      </c>
      <c r="C90" s="851"/>
    </row>
    <row r="91" spans="1:3">
      <c r="A91" s="382"/>
      <c r="B91" s="850" t="s">
        <v>312</v>
      </c>
      <c r="C91" s="851"/>
    </row>
    <row r="92" spans="1:3" ht="24.75" customHeight="1">
      <c r="A92" s="382"/>
      <c r="B92" s="876" t="s">
        <v>348</v>
      </c>
      <c r="C92" s="877"/>
    </row>
    <row r="93" spans="1:3" ht="24" customHeight="1">
      <c r="A93" s="382"/>
      <c r="B93" s="876" t="s">
        <v>349</v>
      </c>
      <c r="C93" s="877"/>
    </row>
    <row r="94" spans="1:3" ht="13.5" customHeight="1">
      <c r="A94" s="382"/>
      <c r="B94" s="878" t="s">
        <v>313</v>
      </c>
      <c r="C94" s="879"/>
    </row>
    <row r="95" spans="1:3" ht="11.25" customHeight="1" thickBot="1">
      <c r="A95" s="880" t="s">
        <v>344</v>
      </c>
      <c r="B95" s="881"/>
      <c r="C95" s="882"/>
    </row>
    <row r="96" spans="1:3" ht="13.2" thickTop="1" thickBot="1">
      <c r="A96" s="889" t="s">
        <v>249</v>
      </c>
      <c r="B96" s="889"/>
      <c r="C96" s="889"/>
    </row>
    <row r="97" spans="1:3">
      <c r="A97" s="221">
        <v>2</v>
      </c>
      <c r="B97" s="370" t="s">
        <v>324</v>
      </c>
      <c r="C97" s="370" t="s">
        <v>345</v>
      </c>
    </row>
    <row r="98" spans="1:3">
      <c r="A98" s="143">
        <v>3</v>
      </c>
      <c r="B98" s="371" t="s">
        <v>325</v>
      </c>
      <c r="C98" s="372" t="s">
        <v>346</v>
      </c>
    </row>
    <row r="99" spans="1:3">
      <c r="A99" s="143">
        <v>4</v>
      </c>
      <c r="B99" s="371" t="s">
        <v>326</v>
      </c>
      <c r="C99" s="372" t="s">
        <v>350</v>
      </c>
    </row>
    <row r="100" spans="1:3" ht="11.25" customHeight="1">
      <c r="A100" s="143">
        <v>5</v>
      </c>
      <c r="B100" s="371" t="s">
        <v>327</v>
      </c>
      <c r="C100" s="372" t="s">
        <v>347</v>
      </c>
    </row>
    <row r="101" spans="1:3" ht="12" customHeight="1">
      <c r="A101" s="143">
        <v>6</v>
      </c>
      <c r="B101" s="371" t="s">
        <v>342</v>
      </c>
      <c r="C101" s="372" t="s">
        <v>328</v>
      </c>
    </row>
    <row r="102" spans="1:3" ht="12" customHeight="1">
      <c r="A102" s="143">
        <v>7</v>
      </c>
      <c r="B102" s="371" t="s">
        <v>329</v>
      </c>
      <c r="C102" s="372" t="s">
        <v>343</v>
      </c>
    </row>
    <row r="103" spans="1:3">
      <c r="A103" s="143">
        <v>8</v>
      </c>
      <c r="B103" s="371" t="s">
        <v>334</v>
      </c>
      <c r="C103" s="372" t="s">
        <v>354</v>
      </c>
    </row>
    <row r="104" spans="1:3" ht="11.25" customHeight="1">
      <c r="A104" s="873" t="s">
        <v>314</v>
      </c>
      <c r="B104" s="874"/>
      <c r="C104" s="875"/>
    </row>
    <row r="105" spans="1:3" ht="12" customHeight="1">
      <c r="A105" s="382"/>
      <c r="B105" s="850" t="s">
        <v>240</v>
      </c>
      <c r="C105" s="851"/>
    </row>
    <row r="106" spans="1:3">
      <c r="A106" s="873" t="s">
        <v>489</v>
      </c>
      <c r="B106" s="874"/>
      <c r="C106" s="875"/>
    </row>
    <row r="107" spans="1:3" ht="12" customHeight="1">
      <c r="A107" s="382"/>
      <c r="B107" s="850" t="s">
        <v>491</v>
      </c>
      <c r="C107" s="851"/>
    </row>
    <row r="108" spans="1:3">
      <c r="A108" s="382"/>
      <c r="B108" s="850" t="s">
        <v>492</v>
      </c>
      <c r="C108" s="851"/>
    </row>
    <row r="109" spans="1:3">
      <c r="A109" s="382"/>
      <c r="B109" s="850" t="s">
        <v>490</v>
      </c>
      <c r="C109" s="851"/>
    </row>
    <row r="110" spans="1:3">
      <c r="A110" s="883" t="s">
        <v>724</v>
      </c>
      <c r="B110" s="883"/>
      <c r="C110" s="883"/>
    </row>
    <row r="111" spans="1:3">
      <c r="A111" s="884" t="s">
        <v>187</v>
      </c>
      <c r="B111" s="884"/>
      <c r="C111" s="884"/>
    </row>
    <row r="112" spans="1:3">
      <c r="A112" s="531">
        <v>1</v>
      </c>
      <c r="B112" s="885" t="s">
        <v>607</v>
      </c>
      <c r="C112" s="886"/>
    </row>
    <row r="113" spans="1:3">
      <c r="A113" s="531">
        <v>2</v>
      </c>
      <c r="B113" s="887" t="s">
        <v>608</v>
      </c>
      <c r="C113" s="888"/>
    </row>
    <row r="114" spans="1:3">
      <c r="A114" s="531">
        <v>3</v>
      </c>
      <c r="B114" s="885" t="s">
        <v>934</v>
      </c>
      <c r="C114" s="886"/>
    </row>
    <row r="115" spans="1:3">
      <c r="A115" s="531">
        <v>4</v>
      </c>
      <c r="B115" s="885" t="s">
        <v>933</v>
      </c>
      <c r="C115" s="886"/>
    </row>
    <row r="116" spans="1:3">
      <c r="A116" s="531">
        <v>5</v>
      </c>
      <c r="B116" s="535" t="s">
        <v>932</v>
      </c>
      <c r="C116" s="534"/>
    </row>
    <row r="117" spans="1:3">
      <c r="A117" s="531">
        <v>6</v>
      </c>
      <c r="B117" s="885" t="s">
        <v>946</v>
      </c>
      <c r="C117" s="886"/>
    </row>
    <row r="118" spans="1:3" ht="48.45" customHeight="1">
      <c r="A118" s="531">
        <v>7</v>
      </c>
      <c r="B118" s="885" t="s">
        <v>947</v>
      </c>
      <c r="C118" s="886"/>
    </row>
    <row r="119" spans="1:3">
      <c r="A119" s="508">
        <v>8</v>
      </c>
      <c r="B119" s="503" t="s">
        <v>634</v>
      </c>
      <c r="C119" s="528" t="s">
        <v>931</v>
      </c>
    </row>
    <row r="120" spans="1:3" ht="24">
      <c r="A120" s="531">
        <v>9.01</v>
      </c>
      <c r="B120" s="503" t="s">
        <v>518</v>
      </c>
      <c r="C120" s="504" t="s">
        <v>683</v>
      </c>
    </row>
    <row r="121" spans="1:3" ht="36">
      <c r="A121" s="531">
        <v>9.02</v>
      </c>
      <c r="B121" s="503" t="s">
        <v>519</v>
      </c>
      <c r="C121" s="504" t="s">
        <v>686</v>
      </c>
    </row>
    <row r="122" spans="1:3">
      <c r="A122" s="531">
        <v>9.0299999999999994</v>
      </c>
      <c r="B122" s="504" t="s">
        <v>868</v>
      </c>
      <c r="C122" s="504" t="s">
        <v>609</v>
      </c>
    </row>
    <row r="123" spans="1:3">
      <c r="A123" s="531">
        <v>9.0399999999999991</v>
      </c>
      <c r="B123" s="503" t="s">
        <v>520</v>
      </c>
      <c r="C123" s="504" t="s">
        <v>610</v>
      </c>
    </row>
    <row r="124" spans="1:3">
      <c r="A124" s="531">
        <v>9.0500000000000007</v>
      </c>
      <c r="B124" s="503" t="s">
        <v>521</v>
      </c>
      <c r="C124" s="504" t="s">
        <v>611</v>
      </c>
    </row>
    <row r="125" spans="1:3" ht="24">
      <c r="A125" s="531">
        <v>9.06</v>
      </c>
      <c r="B125" s="503" t="s">
        <v>522</v>
      </c>
      <c r="C125" s="504" t="s">
        <v>612</v>
      </c>
    </row>
    <row r="126" spans="1:3">
      <c r="A126" s="531">
        <v>9.07</v>
      </c>
      <c r="B126" s="533" t="s">
        <v>523</v>
      </c>
      <c r="C126" s="504" t="s">
        <v>613</v>
      </c>
    </row>
    <row r="127" spans="1:3" ht="24">
      <c r="A127" s="531">
        <v>9.08</v>
      </c>
      <c r="B127" s="503" t="s">
        <v>524</v>
      </c>
      <c r="C127" s="504" t="s">
        <v>614</v>
      </c>
    </row>
    <row r="128" spans="1:3" ht="24">
      <c r="A128" s="531">
        <v>9.09</v>
      </c>
      <c r="B128" s="503" t="s">
        <v>525</v>
      </c>
      <c r="C128" s="504" t="s">
        <v>615</v>
      </c>
    </row>
    <row r="129" spans="1:3">
      <c r="A129" s="532">
        <v>9.1</v>
      </c>
      <c r="B129" s="503" t="s">
        <v>526</v>
      </c>
      <c r="C129" s="504" t="s">
        <v>616</v>
      </c>
    </row>
    <row r="130" spans="1:3">
      <c r="A130" s="531">
        <v>9.11</v>
      </c>
      <c r="B130" s="503" t="s">
        <v>527</v>
      </c>
      <c r="C130" s="504" t="s">
        <v>617</v>
      </c>
    </row>
    <row r="131" spans="1:3">
      <c r="A131" s="531">
        <v>9.1199999999999992</v>
      </c>
      <c r="B131" s="503" t="s">
        <v>528</v>
      </c>
      <c r="C131" s="504" t="s">
        <v>618</v>
      </c>
    </row>
    <row r="132" spans="1:3">
      <c r="A132" s="531">
        <v>9.1300000000000008</v>
      </c>
      <c r="B132" s="503" t="s">
        <v>529</v>
      </c>
      <c r="C132" s="504" t="s">
        <v>619</v>
      </c>
    </row>
    <row r="133" spans="1:3">
      <c r="A133" s="531">
        <v>9.14</v>
      </c>
      <c r="B133" s="503" t="s">
        <v>530</v>
      </c>
      <c r="C133" s="504" t="s">
        <v>620</v>
      </c>
    </row>
    <row r="134" spans="1:3">
      <c r="A134" s="531">
        <v>9.15</v>
      </c>
      <c r="B134" s="503" t="s">
        <v>531</v>
      </c>
      <c r="C134" s="504" t="s">
        <v>621</v>
      </c>
    </row>
    <row r="135" spans="1:3">
      <c r="A135" s="531">
        <v>9.16</v>
      </c>
      <c r="B135" s="503" t="s">
        <v>532</v>
      </c>
      <c r="C135" s="504" t="s">
        <v>622</v>
      </c>
    </row>
    <row r="136" spans="1:3">
      <c r="A136" s="531">
        <v>9.17</v>
      </c>
      <c r="B136" s="504" t="s">
        <v>533</v>
      </c>
      <c r="C136" s="504" t="s">
        <v>623</v>
      </c>
    </row>
    <row r="137" spans="1:3" ht="24">
      <c r="A137" s="531">
        <v>9.18</v>
      </c>
      <c r="B137" s="503" t="s">
        <v>534</v>
      </c>
      <c r="C137" s="504" t="s">
        <v>624</v>
      </c>
    </row>
    <row r="138" spans="1:3">
      <c r="A138" s="531">
        <v>9.19</v>
      </c>
      <c r="B138" s="503" t="s">
        <v>535</v>
      </c>
      <c r="C138" s="504" t="s">
        <v>625</v>
      </c>
    </row>
    <row r="139" spans="1:3">
      <c r="A139" s="532">
        <v>9.1999999999999993</v>
      </c>
      <c r="B139" s="503" t="s">
        <v>536</v>
      </c>
      <c r="C139" s="504" t="s">
        <v>626</v>
      </c>
    </row>
    <row r="140" spans="1:3">
      <c r="A140" s="531">
        <v>9.2100000000000009</v>
      </c>
      <c r="B140" s="503" t="s">
        <v>537</v>
      </c>
      <c r="C140" s="504" t="s">
        <v>627</v>
      </c>
    </row>
    <row r="141" spans="1:3">
      <c r="A141" s="531">
        <v>9.2200000000000006</v>
      </c>
      <c r="B141" s="503" t="s">
        <v>538</v>
      </c>
      <c r="C141" s="504" t="s">
        <v>628</v>
      </c>
    </row>
    <row r="142" spans="1:3" ht="24">
      <c r="A142" s="531">
        <v>9.23</v>
      </c>
      <c r="B142" s="503" t="s">
        <v>539</v>
      </c>
      <c r="C142" s="504" t="s">
        <v>629</v>
      </c>
    </row>
    <row r="143" spans="1:3" ht="24">
      <c r="A143" s="531">
        <v>9.24</v>
      </c>
      <c r="B143" s="503" t="s">
        <v>540</v>
      </c>
      <c r="C143" s="504" t="s">
        <v>630</v>
      </c>
    </row>
    <row r="144" spans="1:3">
      <c r="A144" s="531">
        <v>9.2500000000000107</v>
      </c>
      <c r="B144" s="503" t="s">
        <v>541</v>
      </c>
      <c r="C144" s="504" t="s">
        <v>631</v>
      </c>
    </row>
    <row r="145" spans="1:3" ht="24">
      <c r="A145" s="531">
        <v>9.2600000000000193</v>
      </c>
      <c r="B145" s="503" t="s">
        <v>632</v>
      </c>
      <c r="C145" s="530" t="s">
        <v>633</v>
      </c>
    </row>
    <row r="146" spans="1:3" s="383" customFormat="1" ht="24">
      <c r="A146" s="531">
        <v>9.2700000000000298</v>
      </c>
      <c r="B146" s="503" t="s">
        <v>99</v>
      </c>
      <c r="C146" s="530" t="s">
        <v>684</v>
      </c>
    </row>
    <row r="147" spans="1:3" s="383" customFormat="1">
      <c r="A147" s="509"/>
      <c r="B147" s="891" t="s">
        <v>635</v>
      </c>
      <c r="C147" s="892"/>
    </row>
    <row r="148" spans="1:3" s="383" customFormat="1">
      <c r="A148" s="508">
        <v>1</v>
      </c>
      <c r="B148" s="893" t="s">
        <v>930</v>
      </c>
      <c r="C148" s="894"/>
    </row>
    <row r="149" spans="1:3" s="383" customFormat="1">
      <c r="A149" s="508">
        <v>2</v>
      </c>
      <c r="B149" s="893" t="s">
        <v>685</v>
      </c>
      <c r="C149" s="894"/>
    </row>
    <row r="150" spans="1:3" s="383" customFormat="1">
      <c r="A150" s="508">
        <v>3</v>
      </c>
      <c r="B150" s="893" t="s">
        <v>682</v>
      </c>
      <c r="C150" s="894"/>
    </row>
    <row r="151" spans="1:3" s="383" customFormat="1">
      <c r="A151" s="509"/>
      <c r="B151" s="891" t="s">
        <v>636</v>
      </c>
      <c r="C151" s="892"/>
    </row>
    <row r="152" spans="1:3" s="383" customFormat="1">
      <c r="A152" s="508">
        <v>1</v>
      </c>
      <c r="B152" s="896" t="s">
        <v>929</v>
      </c>
      <c r="C152" s="899"/>
    </row>
    <row r="153" spans="1:3" s="383" customFormat="1">
      <c r="A153" s="508">
        <v>2</v>
      </c>
      <c r="B153" s="503" t="s">
        <v>866</v>
      </c>
      <c r="C153" s="528" t="s">
        <v>951</v>
      </c>
    </row>
    <row r="154" spans="1:3" ht="24">
      <c r="A154" s="508">
        <v>3</v>
      </c>
      <c r="B154" s="503" t="s">
        <v>865</v>
      </c>
      <c r="C154" s="528" t="s">
        <v>928</v>
      </c>
    </row>
    <row r="155" spans="1:3">
      <c r="A155" s="508">
        <v>4</v>
      </c>
      <c r="B155" s="503" t="s">
        <v>511</v>
      </c>
      <c r="C155" s="503" t="s">
        <v>952</v>
      </c>
    </row>
    <row r="156" spans="1:3" ht="25.05" customHeight="1">
      <c r="A156" s="509"/>
      <c r="B156" s="891" t="s">
        <v>637</v>
      </c>
      <c r="C156" s="892"/>
    </row>
    <row r="157" spans="1:3" ht="36">
      <c r="A157" s="508"/>
      <c r="B157" s="503" t="s">
        <v>917</v>
      </c>
      <c r="C157" s="510" t="s">
        <v>953</v>
      </c>
    </row>
    <row r="158" spans="1:3">
      <c r="A158" s="509"/>
      <c r="B158" s="891" t="s">
        <v>638</v>
      </c>
      <c r="C158" s="892"/>
    </row>
    <row r="159" spans="1:3" ht="39" customHeight="1">
      <c r="A159" s="509"/>
      <c r="B159" s="893" t="s">
        <v>927</v>
      </c>
      <c r="C159" s="894"/>
    </row>
    <row r="160" spans="1:3">
      <c r="A160" s="509" t="s">
        <v>639</v>
      </c>
      <c r="B160" s="529" t="s">
        <v>549</v>
      </c>
      <c r="C160" s="521" t="s">
        <v>640</v>
      </c>
    </row>
    <row r="161" spans="1:3">
      <c r="A161" s="509" t="s">
        <v>369</v>
      </c>
      <c r="B161" s="526" t="s">
        <v>550</v>
      </c>
      <c r="C161" s="528" t="s">
        <v>926</v>
      </c>
    </row>
    <row r="162" spans="1:3" ht="24">
      <c r="A162" s="509" t="s">
        <v>376</v>
      </c>
      <c r="B162" s="521" t="s">
        <v>551</v>
      </c>
      <c r="C162" s="528" t="s">
        <v>641</v>
      </c>
    </row>
    <row r="163" spans="1:3">
      <c r="A163" s="509" t="s">
        <v>642</v>
      </c>
      <c r="B163" s="526" t="s">
        <v>552</v>
      </c>
      <c r="C163" s="527" t="s">
        <v>643</v>
      </c>
    </row>
    <row r="164" spans="1:3" ht="24">
      <c r="A164" s="509" t="s">
        <v>644</v>
      </c>
      <c r="B164" s="526" t="s">
        <v>881</v>
      </c>
      <c r="C164" s="520" t="s">
        <v>925</v>
      </c>
    </row>
    <row r="165" spans="1:3" ht="24">
      <c r="A165" s="509" t="s">
        <v>377</v>
      </c>
      <c r="B165" s="526" t="s">
        <v>553</v>
      </c>
      <c r="C165" s="520" t="s">
        <v>646</v>
      </c>
    </row>
    <row r="166" spans="1:3" ht="24">
      <c r="A166" s="509" t="s">
        <v>645</v>
      </c>
      <c r="B166" s="524" t="s">
        <v>556</v>
      </c>
      <c r="C166" s="525" t="s">
        <v>653</v>
      </c>
    </row>
    <row r="167" spans="1:3" ht="24">
      <c r="A167" s="509" t="s">
        <v>647</v>
      </c>
      <c r="B167" s="524" t="s">
        <v>554</v>
      </c>
      <c r="C167" s="520" t="s">
        <v>649</v>
      </c>
    </row>
    <row r="168" spans="1:3" ht="26.55" customHeight="1">
      <c r="A168" s="509" t="s">
        <v>648</v>
      </c>
      <c r="B168" s="524" t="s">
        <v>555</v>
      </c>
      <c r="C168" s="525" t="s">
        <v>651</v>
      </c>
    </row>
    <row r="169" spans="1:3">
      <c r="A169" s="509" t="s">
        <v>650</v>
      </c>
      <c r="B169" s="504" t="s">
        <v>557</v>
      </c>
      <c r="C169" s="525" t="s">
        <v>655</v>
      </c>
    </row>
    <row r="170" spans="1:3" ht="24">
      <c r="A170" s="509" t="s">
        <v>652</v>
      </c>
      <c r="B170" s="524" t="s">
        <v>558</v>
      </c>
      <c r="C170" s="523" t="s">
        <v>656</v>
      </c>
    </row>
    <row r="171" spans="1:3">
      <c r="A171" s="509" t="s">
        <v>654</v>
      </c>
      <c r="B171" s="522" t="s">
        <v>559</v>
      </c>
      <c r="C171" s="521" t="s">
        <v>657</v>
      </c>
    </row>
    <row r="172" spans="1:3" ht="24">
      <c r="A172" s="509"/>
      <c r="B172" s="520" t="s">
        <v>924</v>
      </c>
      <c r="C172" s="504" t="s">
        <v>658</v>
      </c>
    </row>
    <row r="173" spans="1:3" ht="24">
      <c r="A173" s="509"/>
      <c r="B173" s="520" t="s">
        <v>923</v>
      </c>
      <c r="C173" s="504" t="s">
        <v>659</v>
      </c>
    </row>
    <row r="174" spans="1:3" ht="24">
      <c r="A174" s="509"/>
      <c r="B174" s="520" t="s">
        <v>922</v>
      </c>
      <c r="C174" s="504" t="s">
        <v>660</v>
      </c>
    </row>
    <row r="175" spans="1:3">
      <c r="A175" s="509"/>
      <c r="B175" s="891" t="s">
        <v>661</v>
      </c>
      <c r="C175" s="892"/>
    </row>
    <row r="176" spans="1:3">
      <c r="A176" s="509"/>
      <c r="B176" s="893" t="s">
        <v>921</v>
      </c>
      <c r="C176" s="894"/>
    </row>
    <row r="177" spans="1:3">
      <c r="A177" s="508">
        <v>1</v>
      </c>
      <c r="B177" s="504" t="s">
        <v>563</v>
      </c>
      <c r="C177" s="504" t="s">
        <v>563</v>
      </c>
    </row>
    <row r="178" spans="1:3" ht="24">
      <c r="A178" s="508">
        <v>2</v>
      </c>
      <c r="B178" s="504" t="s">
        <v>662</v>
      </c>
      <c r="C178" s="504" t="s">
        <v>663</v>
      </c>
    </row>
    <row r="179" spans="1:3">
      <c r="A179" s="508">
        <v>3</v>
      </c>
      <c r="B179" s="504" t="s">
        <v>565</v>
      </c>
      <c r="C179" s="504" t="s">
        <v>664</v>
      </c>
    </row>
    <row r="180" spans="1:3" ht="24">
      <c r="A180" s="508">
        <v>4</v>
      </c>
      <c r="B180" s="504" t="s">
        <v>566</v>
      </c>
      <c r="C180" s="504" t="s">
        <v>665</v>
      </c>
    </row>
    <row r="181" spans="1:3" ht="24">
      <c r="A181" s="508">
        <v>5</v>
      </c>
      <c r="B181" s="504" t="s">
        <v>567</v>
      </c>
      <c r="C181" s="504" t="s">
        <v>687</v>
      </c>
    </row>
    <row r="182" spans="1:3" ht="48">
      <c r="A182" s="508">
        <v>6</v>
      </c>
      <c r="B182" s="504" t="s">
        <v>568</v>
      </c>
      <c r="C182" s="504" t="s">
        <v>666</v>
      </c>
    </row>
    <row r="183" spans="1:3">
      <c r="A183" s="509"/>
      <c r="B183" s="891" t="s">
        <v>667</v>
      </c>
      <c r="C183" s="892"/>
    </row>
    <row r="184" spans="1:3">
      <c r="A184" s="509"/>
      <c r="B184" s="895" t="s">
        <v>920</v>
      </c>
      <c r="C184" s="896"/>
    </row>
    <row r="185" spans="1:3" ht="24">
      <c r="A185" s="509">
        <v>1.1000000000000001</v>
      </c>
      <c r="B185" s="519" t="s">
        <v>573</v>
      </c>
      <c r="C185" s="504" t="s">
        <v>668</v>
      </c>
    </row>
    <row r="186" spans="1:3" ht="49.95" customHeight="1">
      <c r="A186" s="509" t="s">
        <v>157</v>
      </c>
      <c r="B186" s="505" t="s">
        <v>574</v>
      </c>
      <c r="C186" s="504" t="s">
        <v>669</v>
      </c>
    </row>
    <row r="187" spans="1:3">
      <c r="A187" s="509" t="s">
        <v>575</v>
      </c>
      <c r="B187" s="518" t="s">
        <v>576</v>
      </c>
      <c r="C187" s="897" t="s">
        <v>919</v>
      </c>
    </row>
    <row r="188" spans="1:3">
      <c r="A188" s="509" t="s">
        <v>577</v>
      </c>
      <c r="B188" s="518" t="s">
        <v>578</v>
      </c>
      <c r="C188" s="897"/>
    </row>
    <row r="189" spans="1:3">
      <c r="A189" s="509" t="s">
        <v>579</v>
      </c>
      <c r="B189" s="518" t="s">
        <v>580</v>
      </c>
      <c r="C189" s="897"/>
    </row>
    <row r="190" spans="1:3">
      <c r="A190" s="509" t="s">
        <v>581</v>
      </c>
      <c r="B190" s="518" t="s">
        <v>582</v>
      </c>
      <c r="C190" s="897"/>
    </row>
    <row r="191" spans="1:3" ht="25.5" customHeight="1">
      <c r="A191" s="509">
        <v>1.2</v>
      </c>
      <c r="B191" s="517" t="s">
        <v>895</v>
      </c>
      <c r="C191" s="503" t="s">
        <v>954</v>
      </c>
    </row>
    <row r="192" spans="1:3" ht="24">
      <c r="A192" s="509" t="s">
        <v>584</v>
      </c>
      <c r="B192" s="512" t="s">
        <v>585</v>
      </c>
      <c r="C192" s="515" t="s">
        <v>670</v>
      </c>
    </row>
    <row r="193" spans="1:4" ht="24">
      <c r="A193" s="509" t="s">
        <v>586</v>
      </c>
      <c r="B193" s="516" t="s">
        <v>587</v>
      </c>
      <c r="C193" s="515" t="s">
        <v>671</v>
      </c>
    </row>
    <row r="194" spans="1:4" ht="25.95" customHeight="1">
      <c r="A194" s="509" t="s">
        <v>588</v>
      </c>
      <c r="B194" s="514" t="s">
        <v>589</v>
      </c>
      <c r="C194" s="503" t="s">
        <v>672</v>
      </c>
    </row>
    <row r="195" spans="1:4" ht="24">
      <c r="A195" s="509" t="s">
        <v>590</v>
      </c>
      <c r="B195" s="513" t="s">
        <v>591</v>
      </c>
      <c r="C195" s="503" t="s">
        <v>673</v>
      </c>
      <c r="D195" s="384"/>
    </row>
    <row r="196" spans="1:4" ht="12.6">
      <c r="A196" s="509">
        <v>1.4</v>
      </c>
      <c r="B196" s="512" t="s">
        <v>680</v>
      </c>
      <c r="C196" s="511" t="s">
        <v>674</v>
      </c>
      <c r="D196" s="385"/>
    </row>
    <row r="197" spans="1:4" ht="12.6">
      <c r="A197" s="509">
        <v>1.5</v>
      </c>
      <c r="B197" s="512" t="s">
        <v>681</v>
      </c>
      <c r="C197" s="511" t="s">
        <v>674</v>
      </c>
      <c r="D197" s="386"/>
    </row>
    <row r="198" spans="1:4" ht="12.6">
      <c r="A198" s="509"/>
      <c r="B198" s="883" t="s">
        <v>675</v>
      </c>
      <c r="C198" s="883"/>
      <c r="D198" s="386"/>
    </row>
    <row r="199" spans="1:4" ht="12.6">
      <c r="A199" s="509"/>
      <c r="B199" s="895" t="s">
        <v>918</v>
      </c>
      <c r="C199" s="895"/>
      <c r="D199" s="386"/>
    </row>
    <row r="200" spans="1:4" ht="12.6">
      <c r="A200" s="508"/>
      <c r="B200" s="503" t="s">
        <v>917</v>
      </c>
      <c r="C200" s="510" t="s">
        <v>951</v>
      </c>
      <c r="D200" s="386"/>
    </row>
    <row r="201" spans="1:4" ht="12.6">
      <c r="A201" s="509"/>
      <c r="B201" s="883" t="s">
        <v>676</v>
      </c>
      <c r="C201" s="883"/>
      <c r="D201" s="387"/>
    </row>
    <row r="202" spans="1:4" ht="12.6">
      <c r="A202" s="508"/>
      <c r="B202" s="895" t="s">
        <v>916</v>
      </c>
      <c r="C202" s="895"/>
      <c r="D202" s="388"/>
    </row>
    <row r="203" spans="1:4" ht="12.6">
      <c r="B203" s="883" t="s">
        <v>714</v>
      </c>
      <c r="C203" s="883"/>
      <c r="D203" s="389"/>
    </row>
    <row r="204" spans="1:4" ht="24">
      <c r="A204" s="505">
        <v>1</v>
      </c>
      <c r="B204" s="503" t="s">
        <v>690</v>
      </c>
      <c r="C204" s="503" t="s">
        <v>702</v>
      </c>
      <c r="D204" s="388"/>
    </row>
    <row r="205" spans="1:4" ht="18" customHeight="1">
      <c r="A205" s="505">
        <v>2</v>
      </c>
      <c r="B205" s="503" t="s">
        <v>691</v>
      </c>
      <c r="C205" s="503" t="s">
        <v>703</v>
      </c>
      <c r="D205" s="389"/>
    </row>
    <row r="206" spans="1:4" ht="24">
      <c r="A206" s="505">
        <v>3</v>
      </c>
      <c r="B206" s="503" t="s">
        <v>692</v>
      </c>
      <c r="C206" s="503" t="s">
        <v>704</v>
      </c>
      <c r="D206" s="390"/>
    </row>
    <row r="207" spans="1:4" ht="12.6">
      <c r="A207" s="505">
        <v>4</v>
      </c>
      <c r="B207" s="503" t="s">
        <v>693</v>
      </c>
      <c r="C207" s="503" t="s">
        <v>705</v>
      </c>
      <c r="D207" s="390"/>
    </row>
    <row r="208" spans="1:4" ht="24">
      <c r="A208" s="505">
        <v>5</v>
      </c>
      <c r="B208" s="503" t="s">
        <v>694</v>
      </c>
      <c r="C208" s="503" t="s">
        <v>706</v>
      </c>
    </row>
    <row r="209" spans="1:3" ht="24.45" customHeight="1">
      <c r="A209" s="505">
        <v>6</v>
      </c>
      <c r="B209" s="503" t="s">
        <v>695</v>
      </c>
      <c r="C209" s="503" t="s">
        <v>707</v>
      </c>
    </row>
    <row r="210" spans="1:3" ht="24">
      <c r="A210" s="505">
        <v>7</v>
      </c>
      <c r="B210" s="503" t="s">
        <v>696</v>
      </c>
      <c r="C210" s="503" t="s">
        <v>708</v>
      </c>
    </row>
    <row r="211" spans="1:3">
      <c r="A211" s="505">
        <v>7.1</v>
      </c>
      <c r="B211" s="507" t="s">
        <v>697</v>
      </c>
      <c r="C211" s="503" t="s">
        <v>709</v>
      </c>
    </row>
    <row r="212" spans="1:3">
      <c r="A212" s="505">
        <v>7.2</v>
      </c>
      <c r="B212" s="507" t="s">
        <v>698</v>
      </c>
      <c r="C212" s="503" t="s">
        <v>710</v>
      </c>
    </row>
    <row r="213" spans="1:3">
      <c r="A213" s="505">
        <v>7.3</v>
      </c>
      <c r="B213" s="506" t="s">
        <v>699</v>
      </c>
      <c r="C213" s="503" t="s">
        <v>711</v>
      </c>
    </row>
    <row r="214" spans="1:3" ht="39.450000000000003" customHeight="1">
      <c r="A214" s="505">
        <v>8</v>
      </c>
      <c r="B214" s="503" t="s">
        <v>700</v>
      </c>
      <c r="C214" s="503" t="s">
        <v>712</v>
      </c>
    </row>
    <row r="215" spans="1:3">
      <c r="A215" s="505">
        <v>9</v>
      </c>
      <c r="B215" s="503" t="s">
        <v>701</v>
      </c>
      <c r="C215" s="503" t="s">
        <v>713</v>
      </c>
    </row>
    <row r="216" spans="1:3">
      <c r="A216" s="543">
        <v>10.1</v>
      </c>
      <c r="B216" s="544" t="s">
        <v>721</v>
      </c>
      <c r="C216" s="536" t="s">
        <v>722</v>
      </c>
    </row>
    <row r="217" spans="1:3">
      <c r="A217" s="898"/>
      <c r="B217" s="545" t="s">
        <v>908</v>
      </c>
      <c r="C217" s="503" t="s">
        <v>915</v>
      </c>
    </row>
    <row r="218" spans="1:3">
      <c r="A218" s="898"/>
      <c r="B218" s="504" t="s">
        <v>572</v>
      </c>
      <c r="C218" s="503" t="s">
        <v>914</v>
      </c>
    </row>
    <row r="219" spans="1:3">
      <c r="A219" s="898"/>
      <c r="B219" s="504" t="s">
        <v>907</v>
      </c>
      <c r="C219" s="503" t="s">
        <v>955</v>
      </c>
    </row>
    <row r="220" spans="1:3">
      <c r="A220" s="898"/>
      <c r="B220" s="504" t="s">
        <v>715</v>
      </c>
      <c r="C220" s="503" t="s">
        <v>913</v>
      </c>
    </row>
    <row r="221" spans="1:3" ht="24">
      <c r="A221" s="898"/>
      <c r="B221" s="504" t="s">
        <v>719</v>
      </c>
      <c r="C221" s="504" t="s">
        <v>912</v>
      </c>
    </row>
    <row r="222" spans="1:3" ht="36">
      <c r="A222" s="898"/>
      <c r="B222" s="504" t="s">
        <v>718</v>
      </c>
      <c r="C222" s="503" t="s">
        <v>911</v>
      </c>
    </row>
    <row r="223" spans="1:3">
      <c r="A223" s="898"/>
      <c r="B223" s="504" t="s">
        <v>956</v>
      </c>
      <c r="C223" s="503" t="s">
        <v>910</v>
      </c>
    </row>
    <row r="224" spans="1:3" ht="24">
      <c r="A224" s="898"/>
      <c r="B224" s="504" t="s">
        <v>957</v>
      </c>
      <c r="C224" s="503" t="s">
        <v>909</v>
      </c>
    </row>
    <row r="225" spans="1:3" ht="12.6">
      <c r="A225" s="537"/>
      <c r="B225" s="538"/>
      <c r="C225" s="539"/>
    </row>
    <row r="226" spans="1:3" ht="12.6">
      <c r="A226" s="537"/>
      <c r="B226" s="539"/>
      <c r="C226" s="539"/>
    </row>
    <row r="227" spans="1:3" ht="12.6">
      <c r="A227" s="537"/>
      <c r="B227" s="539"/>
      <c r="C227" s="539"/>
    </row>
    <row r="228" spans="1:3" ht="12.6">
      <c r="A228" s="537"/>
      <c r="B228" s="540"/>
      <c r="C228" s="539"/>
    </row>
    <row r="229" spans="1:3">
      <c r="A229" s="890"/>
      <c r="B229" s="541"/>
      <c r="C229" s="539"/>
    </row>
    <row r="230" spans="1:3">
      <c r="A230" s="890"/>
      <c r="B230" s="541"/>
      <c r="C230" s="539"/>
    </row>
    <row r="231" spans="1:3">
      <c r="A231" s="890"/>
      <c r="B231" s="541"/>
      <c r="C231" s="539"/>
    </row>
    <row r="232" spans="1:3">
      <c r="A232" s="890"/>
      <c r="B232" s="541"/>
      <c r="C232" s="542"/>
    </row>
    <row r="233" spans="1:3" ht="40.5" customHeight="1">
      <c r="A233" s="890"/>
      <c r="B233" s="541"/>
      <c r="C233" s="539"/>
    </row>
    <row r="234" spans="1:3" ht="24" customHeight="1">
      <c r="A234" s="890"/>
      <c r="B234" s="541"/>
      <c r="C234" s="539"/>
    </row>
    <row r="235" spans="1:3">
      <c r="A235" s="890"/>
      <c r="B235" s="541"/>
      <c r="C235" s="539"/>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headerFooter>
    <oddFooter>&amp;C_x000D_&amp;1#&amp;"Calibri"&amp;10&amp;K000000 C1 - FOR INTERNAL USE ONLY</odd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T842qrqMonSajRFQmH10zWSlr+nBM3rJz5ZGR2dpIks=</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DLHO23sV4If6m09ph6SU3RolOzVG3FJgnR8FFxgzUAA=</DigestValue>
    </Reference>
  </SignedInfo>
  <SignatureValue>Dm7FRN/A8iVCT9qQD6GHCYNjd+7fFcrviR2PV5Eq2cgSp2ZZJh+uuGTaQnhKR9ey/MOVlXKaQrh9
bAbQ+jzYaJWD79IXsuBExvAL05i7hvSa1j2Ds/1jIgKSCNulIt8xESO/ORBLnO8ojlwJsugw9UrJ
98tx5lsDQbOtXuFd9s3izNCc4uKjdF0iKfSxAielTqZMMHCmhFDv8bENiKefIQgI+UhdO98BVhcS
YqkbY46/jAuIAPCYE19QOmURY0BqF9yGYC5SJqLpMbmK1zKsU3xDWzu6dAVGUpY6gOWeNb/fihZc
CHoG6lvb+pc6K8W7a6ofnjmxy5VthL5uXepxXA==</SignatureValue>
  <KeyInfo>
    <X509Data>
      <X509Certificate>MIIGRTCCBS2gAwIBAgIKUWli5wADAAI9xDANBgkqhkiG9w0BAQsFADBKMRIwEAYKCZImiZPyLGQBGRYCZ2UxEzARBgoJkiaJk/IsZAEZFgNuYmcxHzAdBgNVBAMTFk5CRyBDbGFzcyAyIElOVCBTdWIgQ0EwHhcNMjMwOTA2MDc1NDA1WhcNMjUwOTA1MDc1NDA1WjBDMR8wHQYDVQQKExZKU0MgUGFzaGEgQmFuayBHZW9yZ2lhMSAwHgYDVQQDExdCUEIgLSBNaWtoZWlsIElha29iaWR6ZTCCASIwDQYJKoZIhvcNAQEBBQADggEPADCCAQoCggEBAOU0Q5NPqBtLFffHvZdNOZYas36rdPChTULZI6+DQD1P1ASlbXajyAS8+Y+Ur8Rszbh5cLCdfD6R3bu983Gf42eqeDmf/lnRxyvbDpfTX9f90wGcblDcNjRXece9JOAG1ri1RPsSUk/UmUqDKUMbtPC3e96yRFrMD1UjWmUsu3u7ysTZp+X/sr2JW0m+TiqHS4CSncyjSFwDIW8OjdVgdxftl6KR3sCyQVnZ6S+kBcN1eAUtJOR8yLneFGRHyOBsN801k5Hb8O8jWV9W9KM7aDE+DvTAJwSrlUbOfdmavMPwovf/2A9ZQfTg1IiBtAPjdBD17owHyGFifABpRarmbecCAwEAAaOCAzIwggMuMDwGCSsGAQQBgjcVBwQvMC0GJSsGAQQBgjcVCOayYION9USGgZkJg7ihSoO+hHEEg8SRM4SDiF0CAWQCASMwHQYDVR0lBBYwFAYIKwYBBQUHAwIGCCsGAQUFBwMEMAsGA1UdDwQEAwIHgDAnBgkrBgEEAYI3FQoEGjAYMAoGCCsGAQUFBwMCMAoGCCsGAQUFBwMEMB0GA1UdDgQWBBRUNNN4NhsLx5ltvr1mRR6S6SiT4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SSOiyAW22xUtzc24q4NstBK2cgNxTxASuts2hbzcm4lbGhzH9gfwyI5yyn6rPptCGX5cvQ8I7mLYAqQP/rHjaPn1+ixCQKIouBCkH8VLyK3Em8bJO8fcdxh3UP4pUGTN3qJqnYitDnzw0Pkccv4d6hbxEUqgwlVOzKZHfGI40j5XhvR0vYa7QoAAISEWC3kwMATw66rkW5/Dgk8viNj91k+P4kHGfYNXcBdCGeQkHzOV7DQeu6Dz7Go5+GllOvJGxBoPDp5NFLs7emolJW4fYBH5zErY6g00/AzCB5JL791FIOwoyZXTu+spN7TpeDNlcEipR2YHoWNLj1KJZMPv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qTFtxGNjwVYuSOwkTSLsPIpr1CsM9wMmd2yFiFJbdTY=</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cM2l1Hv0vf0w51IyFa10jijwjT00vtYJkMS355K20Uc=</DigestValue>
      </Reference>
      <Reference URI="/xl/printerSettings/printerSettings10.bin?ContentType=application/vnd.openxmlformats-officedocument.spreadsheetml.printerSettings">
        <DigestMethod Algorithm="http://www.w3.org/2001/04/xmlenc#sha256"/>
        <DigestValue>cM2l1Hv0vf0w51IyFa10jijwjT00vtYJkMS355K20Uc=</DigestValue>
      </Reference>
      <Reference URI="/xl/printerSettings/printerSettings11.bin?ContentType=application/vnd.openxmlformats-officedocument.spreadsheetml.printerSettings">
        <DigestMethod Algorithm="http://www.w3.org/2001/04/xmlenc#sha256"/>
        <DigestValue>cM2l1Hv0vf0w51IyFa10jijwjT00vtYJkMS355K20Uc=</DigestValue>
      </Reference>
      <Reference URI="/xl/printerSettings/printerSettings12.bin?ContentType=application/vnd.openxmlformats-officedocument.spreadsheetml.printerSettings">
        <DigestMethod Algorithm="http://www.w3.org/2001/04/xmlenc#sha256"/>
        <DigestValue>cM2l1Hv0vf0w51IyFa10jijwjT00vtYJkMS355K20Uc=</DigestValue>
      </Reference>
      <Reference URI="/xl/printerSettings/printerSettings13.bin?ContentType=application/vnd.openxmlformats-officedocument.spreadsheetml.printerSettings">
        <DigestMethod Algorithm="http://www.w3.org/2001/04/xmlenc#sha256"/>
        <DigestValue>cM2l1Hv0vf0w51IyFa10jijwjT00vtYJkMS355K20Uc=</DigestValue>
      </Reference>
      <Reference URI="/xl/printerSettings/printerSettings14.bin?ContentType=application/vnd.openxmlformats-officedocument.spreadsheetml.printerSettings">
        <DigestMethod Algorithm="http://www.w3.org/2001/04/xmlenc#sha256"/>
        <DigestValue>cM2l1Hv0vf0w51IyFa10jijwjT00vtYJkMS355K20Uc=</DigestValue>
      </Reference>
      <Reference URI="/xl/printerSettings/printerSettings15.bin?ContentType=application/vnd.openxmlformats-officedocument.spreadsheetml.printerSettings">
        <DigestMethod Algorithm="http://www.w3.org/2001/04/xmlenc#sha256"/>
        <DigestValue>cM2l1Hv0vf0w51IyFa10jijwjT00vtYJkMS355K20Uc=</DigestValue>
      </Reference>
      <Reference URI="/xl/printerSettings/printerSettings16.bin?ContentType=application/vnd.openxmlformats-officedocument.spreadsheetml.printerSettings">
        <DigestMethod Algorithm="http://www.w3.org/2001/04/xmlenc#sha256"/>
        <DigestValue>cM2l1Hv0vf0w51IyFa10jijwjT00vtYJkMS355K20Uc=</DigestValue>
      </Reference>
      <Reference URI="/xl/printerSettings/printerSettings17.bin?ContentType=application/vnd.openxmlformats-officedocument.spreadsheetml.printerSettings">
        <DigestMethod Algorithm="http://www.w3.org/2001/04/xmlenc#sha256"/>
        <DigestValue>cM2l1Hv0vf0w51IyFa10jijwjT00vtYJkMS355K20Uc=</DigestValue>
      </Reference>
      <Reference URI="/xl/printerSettings/printerSettings18.bin?ContentType=application/vnd.openxmlformats-officedocument.spreadsheetml.printerSettings">
        <DigestMethod Algorithm="http://www.w3.org/2001/04/xmlenc#sha256"/>
        <DigestValue>cM2l1Hv0vf0w51IyFa10jijwjT00vtYJkMS355K20Uc=</DigestValue>
      </Reference>
      <Reference URI="/xl/printerSettings/printerSettings19.bin?ContentType=application/vnd.openxmlformats-officedocument.spreadsheetml.printerSettings">
        <DigestMethod Algorithm="http://www.w3.org/2001/04/xmlenc#sha256"/>
        <DigestValue>cM2l1Hv0vf0w51IyFa10jijwjT00vtYJkMS355K20Uc=</DigestValue>
      </Reference>
      <Reference URI="/xl/printerSettings/printerSettings2.bin?ContentType=application/vnd.openxmlformats-officedocument.spreadsheetml.printerSettings">
        <DigestMethod Algorithm="http://www.w3.org/2001/04/xmlenc#sha256"/>
        <DigestValue>cM2l1Hv0vf0w51IyFa10jijwjT00vtYJkMS355K20Uc=</DigestValue>
      </Reference>
      <Reference URI="/xl/printerSettings/printerSettings20.bin?ContentType=application/vnd.openxmlformats-officedocument.spreadsheetml.printerSettings">
        <DigestMethod Algorithm="http://www.w3.org/2001/04/xmlenc#sha256"/>
        <DigestValue>cM2l1Hv0vf0w51IyFa10jijwjT00vtYJkMS355K20Uc=</DigestValue>
      </Reference>
      <Reference URI="/xl/printerSettings/printerSettings21.bin?ContentType=application/vnd.openxmlformats-officedocument.spreadsheetml.printerSettings">
        <DigestMethod Algorithm="http://www.w3.org/2001/04/xmlenc#sha256"/>
        <DigestValue>cM2l1Hv0vf0w51IyFa10jijwjT00vtYJkMS355K20Uc=</DigestValue>
      </Reference>
      <Reference URI="/xl/printerSettings/printerSettings22.bin?ContentType=application/vnd.openxmlformats-officedocument.spreadsheetml.printerSettings">
        <DigestMethod Algorithm="http://www.w3.org/2001/04/xmlenc#sha256"/>
        <DigestValue>cM2l1Hv0vf0w51IyFa10jijwjT00vtYJkMS355K20Uc=</DigestValue>
      </Reference>
      <Reference URI="/xl/printerSettings/printerSettings23.bin?ContentType=application/vnd.openxmlformats-officedocument.spreadsheetml.printerSettings">
        <DigestMethod Algorithm="http://www.w3.org/2001/04/xmlenc#sha256"/>
        <DigestValue>cM2l1Hv0vf0w51IyFa10jijwjT00vtYJkMS355K20Uc=</DigestValue>
      </Reference>
      <Reference URI="/xl/printerSettings/printerSettings24.bin?ContentType=application/vnd.openxmlformats-officedocument.spreadsheetml.printerSettings">
        <DigestMethod Algorithm="http://www.w3.org/2001/04/xmlenc#sha256"/>
        <DigestValue>cM2l1Hv0vf0w51IyFa10jijwjT00vtYJkMS355K20Uc=</DigestValue>
      </Reference>
      <Reference URI="/xl/printerSettings/printerSettings25.bin?ContentType=application/vnd.openxmlformats-officedocument.spreadsheetml.printerSettings">
        <DigestMethod Algorithm="http://www.w3.org/2001/04/xmlenc#sha256"/>
        <DigestValue>cM2l1Hv0vf0w51IyFa10jijwjT00vtYJkMS355K20Uc=</DigestValue>
      </Reference>
      <Reference URI="/xl/printerSettings/printerSettings26.bin?ContentType=application/vnd.openxmlformats-officedocument.spreadsheetml.printerSettings">
        <DigestMethod Algorithm="http://www.w3.org/2001/04/xmlenc#sha256"/>
        <DigestValue>cM2l1Hv0vf0w51IyFa10jijwjT00vtYJkMS355K20Uc=</DigestValue>
      </Reference>
      <Reference URI="/xl/printerSettings/printerSettings27.bin?ContentType=application/vnd.openxmlformats-officedocument.spreadsheetml.printerSettings">
        <DigestMethod Algorithm="http://www.w3.org/2001/04/xmlenc#sha256"/>
        <DigestValue>cM2l1Hv0vf0w51IyFa10jijwjT00vtYJkMS355K20Uc=</DigestValue>
      </Reference>
      <Reference URI="/xl/printerSettings/printerSettings28.bin?ContentType=application/vnd.openxmlformats-officedocument.spreadsheetml.printerSettings">
        <DigestMethod Algorithm="http://www.w3.org/2001/04/xmlenc#sha256"/>
        <DigestValue>cM2l1Hv0vf0w51IyFa10jijwjT00vtYJkMS355K20Uc=</DigestValue>
      </Reference>
      <Reference URI="/xl/printerSettings/printerSettings29.bin?ContentType=application/vnd.openxmlformats-officedocument.spreadsheetml.printerSettings">
        <DigestMethod Algorithm="http://www.w3.org/2001/04/xmlenc#sha256"/>
        <DigestValue>cM2l1Hv0vf0w51IyFa10jijwjT00vtYJkMS355K20Uc=</DigestValue>
      </Reference>
      <Reference URI="/xl/printerSettings/printerSettings3.bin?ContentType=application/vnd.openxmlformats-officedocument.spreadsheetml.printerSettings">
        <DigestMethod Algorithm="http://www.w3.org/2001/04/xmlenc#sha256"/>
        <DigestValue>cM2l1Hv0vf0w51IyFa10jijwjT00vtYJkMS355K20Uc=</DigestValue>
      </Reference>
      <Reference URI="/xl/printerSettings/printerSettings30.bin?ContentType=application/vnd.openxmlformats-officedocument.spreadsheetml.printerSettings">
        <DigestMethod Algorithm="http://www.w3.org/2001/04/xmlenc#sha256"/>
        <DigestValue>/lSAzGRrYBj68FmBe1gBKOAVb2D7iCtwOEt8vlDCjTA=</DigestValue>
      </Reference>
      <Reference URI="/xl/printerSettings/printerSettings4.bin?ContentType=application/vnd.openxmlformats-officedocument.spreadsheetml.printerSettings">
        <DigestMethod Algorithm="http://www.w3.org/2001/04/xmlenc#sha256"/>
        <DigestValue>cM2l1Hv0vf0w51IyFa10jijwjT00vtYJkMS355K20Uc=</DigestValue>
      </Reference>
      <Reference URI="/xl/printerSettings/printerSettings5.bin?ContentType=application/vnd.openxmlformats-officedocument.spreadsheetml.printerSettings">
        <DigestMethod Algorithm="http://www.w3.org/2001/04/xmlenc#sha256"/>
        <DigestValue>cM2l1Hv0vf0w51IyFa10jijwjT00vtYJkMS355K20Uc=</DigestValue>
      </Reference>
      <Reference URI="/xl/printerSettings/printerSettings6.bin?ContentType=application/vnd.openxmlformats-officedocument.spreadsheetml.printerSettings">
        <DigestMethod Algorithm="http://www.w3.org/2001/04/xmlenc#sha256"/>
        <DigestValue>cM2l1Hv0vf0w51IyFa10jijwjT00vtYJkMS355K20Uc=</DigestValue>
      </Reference>
      <Reference URI="/xl/printerSettings/printerSettings7.bin?ContentType=application/vnd.openxmlformats-officedocument.spreadsheetml.printerSettings">
        <DigestMethod Algorithm="http://www.w3.org/2001/04/xmlenc#sha256"/>
        <DigestValue>cM2l1Hv0vf0w51IyFa10jijwjT00vtYJkMS355K20Uc=</DigestValue>
      </Reference>
      <Reference URI="/xl/printerSettings/printerSettings8.bin?ContentType=application/vnd.openxmlformats-officedocument.spreadsheetml.printerSettings">
        <DigestMethod Algorithm="http://www.w3.org/2001/04/xmlenc#sha256"/>
        <DigestValue>cM2l1Hv0vf0w51IyFa10jijwjT00vtYJkMS355K20Uc=</DigestValue>
      </Reference>
      <Reference URI="/xl/printerSettings/printerSettings9.bin?ContentType=application/vnd.openxmlformats-officedocument.spreadsheetml.printerSettings">
        <DigestMethod Algorithm="http://www.w3.org/2001/04/xmlenc#sha256"/>
        <DigestValue>cM2l1Hv0vf0w51IyFa10jijwjT00vtYJkMS355K20Uc=</DigestValue>
      </Reference>
      <Reference URI="/xl/sharedStrings.xml?ContentType=application/vnd.openxmlformats-officedocument.spreadsheetml.sharedStrings+xml">
        <DigestMethod Algorithm="http://www.w3.org/2001/04/xmlenc#sha256"/>
        <DigestValue>/CknYFXlI++1GBfaSh4m3D6BYfOTWz/NZXlV1HMaADE=</DigestValue>
      </Reference>
      <Reference URI="/xl/styles.xml?ContentType=application/vnd.openxmlformats-officedocument.spreadsheetml.styles+xml">
        <DigestMethod Algorithm="http://www.w3.org/2001/04/xmlenc#sha256"/>
        <DigestValue>ohiWDf4FmBK02961eux7OMxkTHKZrsEUVHm8VRYTCx8=</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zXz4e/uZ7LbdFj0NYTkaiXcMOYKZRZI1rUZefpBgx5s=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TAVoy6y+K44cABJPR6p4MOR7qYmT/cw/jKifUXolxtM=</DigestValue>
      </Reference>
      <Reference URI="/xl/worksheets/sheet10.xml?ContentType=application/vnd.openxmlformats-officedocument.spreadsheetml.worksheet+xml">
        <DigestMethod Algorithm="http://www.w3.org/2001/04/xmlenc#sha256"/>
        <DigestValue>Gepv1sytuuENbme8VuX98NkuCF7xO+UV4oLEPNE1X6Y=</DigestValue>
      </Reference>
      <Reference URI="/xl/worksheets/sheet11.xml?ContentType=application/vnd.openxmlformats-officedocument.spreadsheetml.worksheet+xml">
        <DigestMethod Algorithm="http://www.w3.org/2001/04/xmlenc#sha256"/>
        <DigestValue>xHX9xXr8siB6yK1hb1QVAgRuPIfZ1C8tbpEsBfpOZl0=</DigestValue>
      </Reference>
      <Reference URI="/xl/worksheets/sheet12.xml?ContentType=application/vnd.openxmlformats-officedocument.spreadsheetml.worksheet+xml">
        <DigestMethod Algorithm="http://www.w3.org/2001/04/xmlenc#sha256"/>
        <DigestValue>efpXnwRXcRnz2NfMYEfvoKg+Of2D2Ir4Wp6zi1EDoa0=</DigestValue>
      </Reference>
      <Reference URI="/xl/worksheets/sheet13.xml?ContentType=application/vnd.openxmlformats-officedocument.spreadsheetml.worksheet+xml">
        <DigestMethod Algorithm="http://www.w3.org/2001/04/xmlenc#sha256"/>
        <DigestValue>1e24fLOEz6gRCzWl9jhWHz+X2OLC3zDE0ziZ2KSr3VE=</DigestValue>
      </Reference>
      <Reference URI="/xl/worksheets/sheet14.xml?ContentType=application/vnd.openxmlformats-officedocument.spreadsheetml.worksheet+xml">
        <DigestMethod Algorithm="http://www.w3.org/2001/04/xmlenc#sha256"/>
        <DigestValue>6bm/MFh3Lh7rDxVMAAPvdSCQxeRlpwtDElIjSiwwH6s=</DigestValue>
      </Reference>
      <Reference URI="/xl/worksheets/sheet15.xml?ContentType=application/vnd.openxmlformats-officedocument.spreadsheetml.worksheet+xml">
        <DigestMethod Algorithm="http://www.w3.org/2001/04/xmlenc#sha256"/>
        <DigestValue>aDVEOrdP/jnBcQQiSN/zT30u2QjUCfGiK4IUu+1HrZ8=</DigestValue>
      </Reference>
      <Reference URI="/xl/worksheets/sheet16.xml?ContentType=application/vnd.openxmlformats-officedocument.spreadsheetml.worksheet+xml">
        <DigestMethod Algorithm="http://www.w3.org/2001/04/xmlenc#sha256"/>
        <DigestValue>OXsy8IQJwv7pr327olI+zedwA/b9FJM7653h08zMVa4=</DigestValue>
      </Reference>
      <Reference URI="/xl/worksheets/sheet17.xml?ContentType=application/vnd.openxmlformats-officedocument.spreadsheetml.worksheet+xml">
        <DigestMethod Algorithm="http://www.w3.org/2001/04/xmlenc#sha256"/>
        <DigestValue>v2HgY+7rYocwxWcVDY8LpGRAwMFbOJAwCqADfh5gw6I=</DigestValue>
      </Reference>
      <Reference URI="/xl/worksheets/sheet18.xml?ContentType=application/vnd.openxmlformats-officedocument.spreadsheetml.worksheet+xml">
        <DigestMethod Algorithm="http://www.w3.org/2001/04/xmlenc#sha256"/>
        <DigestValue>iY+Detg+jB4UYsWOdq+eaXhT1CcHdbV0kF+rQajaWG0=</DigestValue>
      </Reference>
      <Reference URI="/xl/worksheets/sheet19.xml?ContentType=application/vnd.openxmlformats-officedocument.spreadsheetml.worksheet+xml">
        <DigestMethod Algorithm="http://www.w3.org/2001/04/xmlenc#sha256"/>
        <DigestValue>V0prdc9e/S9adMHPHY4sR8SkLzSs0Zl4dRbiEdaWCqI=</DigestValue>
      </Reference>
      <Reference URI="/xl/worksheets/sheet2.xml?ContentType=application/vnd.openxmlformats-officedocument.spreadsheetml.worksheet+xml">
        <DigestMethod Algorithm="http://www.w3.org/2001/04/xmlenc#sha256"/>
        <DigestValue>fPiA84zgwI8VM1y5b4XA3KS7dJ5rpQAA2EmaU0GYCHs=</DigestValue>
      </Reference>
      <Reference URI="/xl/worksheets/sheet20.xml?ContentType=application/vnd.openxmlformats-officedocument.spreadsheetml.worksheet+xml">
        <DigestMethod Algorithm="http://www.w3.org/2001/04/xmlenc#sha256"/>
        <DigestValue>2NCDaPhbRz4ZOgHEYkoOhGUP4CH7jmNq1NEAv2xCjZ8=</DigestValue>
      </Reference>
      <Reference URI="/xl/worksheets/sheet21.xml?ContentType=application/vnd.openxmlformats-officedocument.spreadsheetml.worksheet+xml">
        <DigestMethod Algorithm="http://www.w3.org/2001/04/xmlenc#sha256"/>
        <DigestValue>0lNbiK0VGHpzCxLFBzRVL0bHJobeuwZomiqKPIkdKzM=</DigestValue>
      </Reference>
      <Reference URI="/xl/worksheets/sheet22.xml?ContentType=application/vnd.openxmlformats-officedocument.spreadsheetml.worksheet+xml">
        <DigestMethod Algorithm="http://www.w3.org/2001/04/xmlenc#sha256"/>
        <DigestValue>csIoGMZMfL+hol43sqcyGuhgAYkqm2y5R7BnMkIDz0s=</DigestValue>
      </Reference>
      <Reference URI="/xl/worksheets/sheet23.xml?ContentType=application/vnd.openxmlformats-officedocument.spreadsheetml.worksheet+xml">
        <DigestMethod Algorithm="http://www.w3.org/2001/04/xmlenc#sha256"/>
        <DigestValue>HpQ6bED0HCGYFVeruD0DZ8s6qZJymdejrV6Fn3CeV24=</DigestValue>
      </Reference>
      <Reference URI="/xl/worksheets/sheet24.xml?ContentType=application/vnd.openxmlformats-officedocument.spreadsheetml.worksheet+xml">
        <DigestMethod Algorithm="http://www.w3.org/2001/04/xmlenc#sha256"/>
        <DigestValue>IHNJnAUY80CNXfit/azi7UQsldhojQh+z7xwS/IKk0o=</DigestValue>
      </Reference>
      <Reference URI="/xl/worksheets/sheet25.xml?ContentType=application/vnd.openxmlformats-officedocument.spreadsheetml.worksheet+xml">
        <DigestMethod Algorithm="http://www.w3.org/2001/04/xmlenc#sha256"/>
        <DigestValue>9JN8D5PYjHdhPdnZ3UELK2mBaHH77hw6jHbtqKu1hos=</DigestValue>
      </Reference>
      <Reference URI="/xl/worksheets/sheet26.xml?ContentType=application/vnd.openxmlformats-officedocument.spreadsheetml.worksheet+xml">
        <DigestMethod Algorithm="http://www.w3.org/2001/04/xmlenc#sha256"/>
        <DigestValue>HnAQhrI2SKGWD/3qJygPPfAjZ+1K1Ri7XWgLCw/c5dg=</DigestValue>
      </Reference>
      <Reference URI="/xl/worksheets/sheet27.xml?ContentType=application/vnd.openxmlformats-officedocument.spreadsheetml.worksheet+xml">
        <DigestMethod Algorithm="http://www.w3.org/2001/04/xmlenc#sha256"/>
        <DigestValue>6SrW3tP+eY0lIEwWb19GKR0wvSNQWGj9LiMioVJl8EI=</DigestValue>
      </Reference>
      <Reference URI="/xl/worksheets/sheet28.xml?ContentType=application/vnd.openxmlformats-officedocument.spreadsheetml.worksheet+xml">
        <DigestMethod Algorithm="http://www.w3.org/2001/04/xmlenc#sha256"/>
        <DigestValue>2QWYIB8Er/mr3D9Qm0jPM3iD/yUZ09zlcNoZ18U4KeY=</DigestValue>
      </Reference>
      <Reference URI="/xl/worksheets/sheet29.xml?ContentType=application/vnd.openxmlformats-officedocument.spreadsheetml.worksheet+xml">
        <DigestMethod Algorithm="http://www.w3.org/2001/04/xmlenc#sha256"/>
        <DigestValue>pgNgejW41u0suDHTCClYAMjyG0qev/QJ8Y1NkRJPUZ4=</DigestValue>
      </Reference>
      <Reference URI="/xl/worksheets/sheet3.xml?ContentType=application/vnd.openxmlformats-officedocument.spreadsheetml.worksheet+xml">
        <DigestMethod Algorithm="http://www.w3.org/2001/04/xmlenc#sha256"/>
        <DigestValue>RUzzSAbqduH4WNtTrBatPjXJZvKngwSBrNp6fegjshc=</DigestValue>
      </Reference>
      <Reference URI="/xl/worksheets/sheet30.xml?ContentType=application/vnd.openxmlformats-officedocument.spreadsheetml.worksheet+xml">
        <DigestMethod Algorithm="http://www.w3.org/2001/04/xmlenc#sha256"/>
        <DigestValue>vDfIYNro8h77UIDadml/XVQMEGtH4E0IcsLgcu1XS4U=</DigestValue>
      </Reference>
      <Reference URI="/xl/worksheets/sheet4.xml?ContentType=application/vnd.openxmlformats-officedocument.spreadsheetml.worksheet+xml">
        <DigestMethod Algorithm="http://www.w3.org/2001/04/xmlenc#sha256"/>
        <DigestValue>HBwiIwMeDGwJPNIzyAuuZ4y6K40/Z/4p5s2Kr2/h26w=</DigestValue>
      </Reference>
      <Reference URI="/xl/worksheets/sheet5.xml?ContentType=application/vnd.openxmlformats-officedocument.spreadsheetml.worksheet+xml">
        <DigestMethod Algorithm="http://www.w3.org/2001/04/xmlenc#sha256"/>
        <DigestValue>QBOMyKp2OTe2XFPoKyIgLzb9NNpgppK/W6BXQTZQjeQ=</DigestValue>
      </Reference>
      <Reference URI="/xl/worksheets/sheet6.xml?ContentType=application/vnd.openxmlformats-officedocument.spreadsheetml.worksheet+xml">
        <DigestMethod Algorithm="http://www.w3.org/2001/04/xmlenc#sha256"/>
        <DigestValue>hsBqVw4B7kbJOcnCu3x3SYVw9jvtgVRUHGOh6SyyR9w=</DigestValue>
      </Reference>
      <Reference URI="/xl/worksheets/sheet7.xml?ContentType=application/vnd.openxmlformats-officedocument.spreadsheetml.worksheet+xml">
        <DigestMethod Algorithm="http://www.w3.org/2001/04/xmlenc#sha256"/>
        <DigestValue>3Uc7yXsCtPsh1zGY0tjKwWJHCF7DkF9wjBYlUGxqCas=</DigestValue>
      </Reference>
      <Reference URI="/xl/worksheets/sheet8.xml?ContentType=application/vnd.openxmlformats-officedocument.spreadsheetml.worksheet+xml">
        <DigestMethod Algorithm="http://www.w3.org/2001/04/xmlenc#sha256"/>
        <DigestValue>3EgbbfHLxXTe9gTbFlEKEm/I/sS1QIgpzcXoSiYVKMM=</DigestValue>
      </Reference>
      <Reference URI="/xl/worksheets/sheet9.xml?ContentType=application/vnd.openxmlformats-officedocument.spreadsheetml.worksheet+xml">
        <DigestMethod Algorithm="http://www.w3.org/2001/04/xmlenc#sha256"/>
        <DigestValue>2QX0MUu5NjYISzyNxtUyaz5eqKaiTJJsGZyLkgTXEg4=</DigestValue>
      </Reference>
    </Manifest>
    <SignatureProperties>
      <SignatureProperty Id="idSignatureTime" Target="#idPackageSignature">
        <mdssi:SignatureTime xmlns:mdssi="http://schemas.openxmlformats.org/package/2006/digital-signature">
          <mdssi:Format>YYYY-MM-DDThh:mm:ssTZD</mdssi:Format>
          <mdssi:Value>2024-04-30T06:10:18Z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2024-04-30T06:10:18Z</xd:SigningTime>
          <xd:SigningCertificate>
            <xd:Cert>
              <xd:CertDigest>
                <DigestMethod Algorithm="http://www.w3.org/2001/04/xmlenc#sha256"/>
                <DigestValue>kq96ANjMEh57xbF5Ile7UsSX8PP5m3uaEUKiwgmziS8=</DigestValue>
              </xd:CertDigest>
              <xd:IssuerSerial>
                <X509IssuerName>CN=NBG Class 2 INT Sub CA, DC=nbg, DC=ge</X509IssuerName>
                <X509SerialNumber>384455719905128987377092</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cDZkidylfYtjRxykL+h5iWMeJjMJcgNn6k/5LB6goPY=</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wdkjA3negO+RtJxX1W/6LRf9uH5oevpOWm5D0rMFakQ=</DigestValue>
    </Reference>
  </SignedInfo>
  <SignatureValue>zghsKIR7Vb0qg1O4mB4NDkAzKDRpeNXFSCZMbnsJHrv/H8ewEa+CMWzbGt6H1HNdYkD/6RHalPKk
8nkx2wQarYmyfNeuqTiGDEUE1NJQRkOEzxvq5FFTDfLt+nJLkHM0TCZXXp5cJ+Vpn1lJ/kkJ8xko
TZTXYeB+jN3gLoy7nxXClniMmIC/XeI9pIm6lRuCkYT3CLK8O/esKsjBEjlKLn6SJNzR318H/jSt
yNK93XpvJPak74tsxubepgilJDGtLaxIDmlX4/eb7mooO5JEtIUdM26CP1ehb83H804yuc+gPsXH
5OKs1db7obARCzJuAFmwLDVaD3/Wd7v6fEoz+Q==</SignatureValue>
  <KeyInfo>
    <X509Data>
      <X509Certificate>MIIGRDCCBSygAwIBAgIKOR1q0AADAAIU9jANBgkqhkiG9w0BAQsFADBKMRIwEAYKCZImiZPyLGQBGRYCZ2UxEzARBgoJkiaJk/IsZAEZFgNuYmcxHzAdBgNVBAMTFk5CRyBDbGFzcyAyIElOVCBTdWIgQ0EwHhcNMjIwNTEwMTIyOTE5WhcNMjQwNTA5MTIyOTE5WjBCMR8wHQYDVQQKExZKU0MgUGFzaGEgQmFuayBHZW9yZ2lhMR8wHQYDVQQDExZCUEIgLSBMZWxhIEdvZ2lhc2h2aWxpMIIBIjANBgkqhkiG9w0BAQEFAAOCAQ8AMIIBCgKCAQEA0ddczz12HceaHg0KDFduu5pEaRvWaOgOCwdGO5L+fFzmRdp03FY11crIhXvvHRrwCKf+EKhhZ2QfTJbMxchRBgPCvfLh+RGnAYDqaUhRpALjhMX3+rIumvgyHsoUQ2U1YOjlCJQGAQmT4ssymvfuoslcicRNJ7kbibSeksmAN3u/Gr4FSteZBK1zm3JBF5h83oYC2S+EPEEp+nbhR6A2TljdP85Jnyr2fd4vqLuvbS4e9t/O/j4R7mfvRhzYj3/mMKExEMsTHU+hD+d0CMFm/OtSCUtSMxAPavOjzMRaINLSj5oYKsVGqW92AkL0P4AAcF+CiFbTgYtkZSW0qcfQxQIDAQABo4IDMjCCAy4wPAYJKwYBBAGCNxUHBC8wLQYlKwYBBAGCNxUI5rJgg431RIaBmQmDuKFKg76EcQSDxJEzhIOIXQIBZAIBIzAdBgNVHSUEFjAUBggrBgEFBQcDAgYIKwYBBQUHAwQwCwYDVR0PBAQDAgeAMCcGCSsGAQQBgjcVCgQaMBgwCgYIKwYBBQUHAwIwCgYIKwYBBQUHAwQwHQYDVR0OBBYEFFVBokIxsg8lEBxj8lzlz05tnfPr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T+74PsHBj8lcaDmAovHaedEeJ/Kg0VtdFGeCVBq7R055LaYs7hlZveO8CAQvCFCmWwyYzYSppmIfKB5pXmOUs0i5hMgqiKwEHJbzyJlVQw71gz2rwcc6KR9j/FqQ+gsB7HAbdX+05Rgywq2Jx72DaZcKCcJ9FRd8XYt9xSwhSvScGp8tKVza/Yq+hhfw0AAaUClX1qcnrf0WdKZmEXYQoDBahO+ewsuN4aIuPRCXedsT4APKKnEhtt85yLXiapLTpMHKpyrJXjwtKPkyAnr1+51VyX3cEqBgYzmk4mGD9Lp6K85h0mW8oGIb8UJxj7lnetQSBjQd3VskIMCm1iIE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qTFtxGNjwVYuSOwkTSLsPIpr1CsM9wMmd2yFiFJbdTY=</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cM2l1Hv0vf0w51IyFa10jijwjT00vtYJkMS355K20Uc=</DigestValue>
      </Reference>
      <Reference URI="/xl/printerSettings/printerSettings10.bin?ContentType=application/vnd.openxmlformats-officedocument.spreadsheetml.printerSettings">
        <DigestMethod Algorithm="http://www.w3.org/2001/04/xmlenc#sha256"/>
        <DigestValue>cM2l1Hv0vf0w51IyFa10jijwjT00vtYJkMS355K20Uc=</DigestValue>
      </Reference>
      <Reference URI="/xl/printerSettings/printerSettings11.bin?ContentType=application/vnd.openxmlformats-officedocument.spreadsheetml.printerSettings">
        <DigestMethod Algorithm="http://www.w3.org/2001/04/xmlenc#sha256"/>
        <DigestValue>cM2l1Hv0vf0w51IyFa10jijwjT00vtYJkMS355K20Uc=</DigestValue>
      </Reference>
      <Reference URI="/xl/printerSettings/printerSettings12.bin?ContentType=application/vnd.openxmlformats-officedocument.spreadsheetml.printerSettings">
        <DigestMethod Algorithm="http://www.w3.org/2001/04/xmlenc#sha256"/>
        <DigestValue>cM2l1Hv0vf0w51IyFa10jijwjT00vtYJkMS355K20Uc=</DigestValue>
      </Reference>
      <Reference URI="/xl/printerSettings/printerSettings13.bin?ContentType=application/vnd.openxmlformats-officedocument.spreadsheetml.printerSettings">
        <DigestMethod Algorithm="http://www.w3.org/2001/04/xmlenc#sha256"/>
        <DigestValue>cM2l1Hv0vf0w51IyFa10jijwjT00vtYJkMS355K20Uc=</DigestValue>
      </Reference>
      <Reference URI="/xl/printerSettings/printerSettings14.bin?ContentType=application/vnd.openxmlformats-officedocument.spreadsheetml.printerSettings">
        <DigestMethod Algorithm="http://www.w3.org/2001/04/xmlenc#sha256"/>
        <DigestValue>cM2l1Hv0vf0w51IyFa10jijwjT00vtYJkMS355K20Uc=</DigestValue>
      </Reference>
      <Reference URI="/xl/printerSettings/printerSettings15.bin?ContentType=application/vnd.openxmlformats-officedocument.spreadsheetml.printerSettings">
        <DigestMethod Algorithm="http://www.w3.org/2001/04/xmlenc#sha256"/>
        <DigestValue>cM2l1Hv0vf0w51IyFa10jijwjT00vtYJkMS355K20Uc=</DigestValue>
      </Reference>
      <Reference URI="/xl/printerSettings/printerSettings16.bin?ContentType=application/vnd.openxmlformats-officedocument.spreadsheetml.printerSettings">
        <DigestMethod Algorithm="http://www.w3.org/2001/04/xmlenc#sha256"/>
        <DigestValue>cM2l1Hv0vf0w51IyFa10jijwjT00vtYJkMS355K20Uc=</DigestValue>
      </Reference>
      <Reference URI="/xl/printerSettings/printerSettings17.bin?ContentType=application/vnd.openxmlformats-officedocument.spreadsheetml.printerSettings">
        <DigestMethod Algorithm="http://www.w3.org/2001/04/xmlenc#sha256"/>
        <DigestValue>cM2l1Hv0vf0w51IyFa10jijwjT00vtYJkMS355K20Uc=</DigestValue>
      </Reference>
      <Reference URI="/xl/printerSettings/printerSettings18.bin?ContentType=application/vnd.openxmlformats-officedocument.spreadsheetml.printerSettings">
        <DigestMethod Algorithm="http://www.w3.org/2001/04/xmlenc#sha256"/>
        <DigestValue>cM2l1Hv0vf0w51IyFa10jijwjT00vtYJkMS355K20Uc=</DigestValue>
      </Reference>
      <Reference URI="/xl/printerSettings/printerSettings19.bin?ContentType=application/vnd.openxmlformats-officedocument.spreadsheetml.printerSettings">
        <DigestMethod Algorithm="http://www.w3.org/2001/04/xmlenc#sha256"/>
        <DigestValue>cM2l1Hv0vf0w51IyFa10jijwjT00vtYJkMS355K20Uc=</DigestValue>
      </Reference>
      <Reference URI="/xl/printerSettings/printerSettings2.bin?ContentType=application/vnd.openxmlformats-officedocument.spreadsheetml.printerSettings">
        <DigestMethod Algorithm="http://www.w3.org/2001/04/xmlenc#sha256"/>
        <DigestValue>cM2l1Hv0vf0w51IyFa10jijwjT00vtYJkMS355K20Uc=</DigestValue>
      </Reference>
      <Reference URI="/xl/printerSettings/printerSettings20.bin?ContentType=application/vnd.openxmlformats-officedocument.spreadsheetml.printerSettings">
        <DigestMethod Algorithm="http://www.w3.org/2001/04/xmlenc#sha256"/>
        <DigestValue>cM2l1Hv0vf0w51IyFa10jijwjT00vtYJkMS355K20Uc=</DigestValue>
      </Reference>
      <Reference URI="/xl/printerSettings/printerSettings21.bin?ContentType=application/vnd.openxmlformats-officedocument.spreadsheetml.printerSettings">
        <DigestMethod Algorithm="http://www.w3.org/2001/04/xmlenc#sha256"/>
        <DigestValue>cM2l1Hv0vf0w51IyFa10jijwjT00vtYJkMS355K20Uc=</DigestValue>
      </Reference>
      <Reference URI="/xl/printerSettings/printerSettings22.bin?ContentType=application/vnd.openxmlformats-officedocument.spreadsheetml.printerSettings">
        <DigestMethod Algorithm="http://www.w3.org/2001/04/xmlenc#sha256"/>
        <DigestValue>cM2l1Hv0vf0w51IyFa10jijwjT00vtYJkMS355K20Uc=</DigestValue>
      </Reference>
      <Reference URI="/xl/printerSettings/printerSettings23.bin?ContentType=application/vnd.openxmlformats-officedocument.spreadsheetml.printerSettings">
        <DigestMethod Algorithm="http://www.w3.org/2001/04/xmlenc#sha256"/>
        <DigestValue>cM2l1Hv0vf0w51IyFa10jijwjT00vtYJkMS355K20Uc=</DigestValue>
      </Reference>
      <Reference URI="/xl/printerSettings/printerSettings24.bin?ContentType=application/vnd.openxmlformats-officedocument.spreadsheetml.printerSettings">
        <DigestMethod Algorithm="http://www.w3.org/2001/04/xmlenc#sha256"/>
        <DigestValue>cM2l1Hv0vf0w51IyFa10jijwjT00vtYJkMS355K20Uc=</DigestValue>
      </Reference>
      <Reference URI="/xl/printerSettings/printerSettings25.bin?ContentType=application/vnd.openxmlformats-officedocument.spreadsheetml.printerSettings">
        <DigestMethod Algorithm="http://www.w3.org/2001/04/xmlenc#sha256"/>
        <DigestValue>cM2l1Hv0vf0w51IyFa10jijwjT00vtYJkMS355K20Uc=</DigestValue>
      </Reference>
      <Reference URI="/xl/printerSettings/printerSettings26.bin?ContentType=application/vnd.openxmlformats-officedocument.spreadsheetml.printerSettings">
        <DigestMethod Algorithm="http://www.w3.org/2001/04/xmlenc#sha256"/>
        <DigestValue>cM2l1Hv0vf0w51IyFa10jijwjT00vtYJkMS355K20Uc=</DigestValue>
      </Reference>
      <Reference URI="/xl/printerSettings/printerSettings27.bin?ContentType=application/vnd.openxmlformats-officedocument.spreadsheetml.printerSettings">
        <DigestMethod Algorithm="http://www.w3.org/2001/04/xmlenc#sha256"/>
        <DigestValue>cM2l1Hv0vf0w51IyFa10jijwjT00vtYJkMS355K20Uc=</DigestValue>
      </Reference>
      <Reference URI="/xl/printerSettings/printerSettings28.bin?ContentType=application/vnd.openxmlformats-officedocument.spreadsheetml.printerSettings">
        <DigestMethod Algorithm="http://www.w3.org/2001/04/xmlenc#sha256"/>
        <DigestValue>cM2l1Hv0vf0w51IyFa10jijwjT00vtYJkMS355K20Uc=</DigestValue>
      </Reference>
      <Reference URI="/xl/printerSettings/printerSettings29.bin?ContentType=application/vnd.openxmlformats-officedocument.spreadsheetml.printerSettings">
        <DigestMethod Algorithm="http://www.w3.org/2001/04/xmlenc#sha256"/>
        <DigestValue>cM2l1Hv0vf0w51IyFa10jijwjT00vtYJkMS355K20Uc=</DigestValue>
      </Reference>
      <Reference URI="/xl/printerSettings/printerSettings3.bin?ContentType=application/vnd.openxmlformats-officedocument.spreadsheetml.printerSettings">
        <DigestMethod Algorithm="http://www.w3.org/2001/04/xmlenc#sha256"/>
        <DigestValue>cM2l1Hv0vf0w51IyFa10jijwjT00vtYJkMS355K20Uc=</DigestValue>
      </Reference>
      <Reference URI="/xl/printerSettings/printerSettings30.bin?ContentType=application/vnd.openxmlformats-officedocument.spreadsheetml.printerSettings">
        <DigestMethod Algorithm="http://www.w3.org/2001/04/xmlenc#sha256"/>
        <DigestValue>/lSAzGRrYBj68FmBe1gBKOAVb2D7iCtwOEt8vlDCjTA=</DigestValue>
      </Reference>
      <Reference URI="/xl/printerSettings/printerSettings4.bin?ContentType=application/vnd.openxmlformats-officedocument.spreadsheetml.printerSettings">
        <DigestMethod Algorithm="http://www.w3.org/2001/04/xmlenc#sha256"/>
        <DigestValue>cM2l1Hv0vf0w51IyFa10jijwjT00vtYJkMS355K20Uc=</DigestValue>
      </Reference>
      <Reference URI="/xl/printerSettings/printerSettings5.bin?ContentType=application/vnd.openxmlformats-officedocument.spreadsheetml.printerSettings">
        <DigestMethod Algorithm="http://www.w3.org/2001/04/xmlenc#sha256"/>
        <DigestValue>cM2l1Hv0vf0w51IyFa10jijwjT00vtYJkMS355K20Uc=</DigestValue>
      </Reference>
      <Reference URI="/xl/printerSettings/printerSettings6.bin?ContentType=application/vnd.openxmlformats-officedocument.spreadsheetml.printerSettings">
        <DigestMethod Algorithm="http://www.w3.org/2001/04/xmlenc#sha256"/>
        <DigestValue>cM2l1Hv0vf0w51IyFa10jijwjT00vtYJkMS355K20Uc=</DigestValue>
      </Reference>
      <Reference URI="/xl/printerSettings/printerSettings7.bin?ContentType=application/vnd.openxmlformats-officedocument.spreadsheetml.printerSettings">
        <DigestMethod Algorithm="http://www.w3.org/2001/04/xmlenc#sha256"/>
        <DigestValue>cM2l1Hv0vf0w51IyFa10jijwjT00vtYJkMS355K20Uc=</DigestValue>
      </Reference>
      <Reference URI="/xl/printerSettings/printerSettings8.bin?ContentType=application/vnd.openxmlformats-officedocument.spreadsheetml.printerSettings">
        <DigestMethod Algorithm="http://www.w3.org/2001/04/xmlenc#sha256"/>
        <DigestValue>cM2l1Hv0vf0w51IyFa10jijwjT00vtYJkMS355K20Uc=</DigestValue>
      </Reference>
      <Reference URI="/xl/printerSettings/printerSettings9.bin?ContentType=application/vnd.openxmlformats-officedocument.spreadsheetml.printerSettings">
        <DigestMethod Algorithm="http://www.w3.org/2001/04/xmlenc#sha256"/>
        <DigestValue>cM2l1Hv0vf0w51IyFa10jijwjT00vtYJkMS355K20Uc=</DigestValue>
      </Reference>
      <Reference URI="/xl/sharedStrings.xml?ContentType=application/vnd.openxmlformats-officedocument.spreadsheetml.sharedStrings+xml">
        <DigestMethod Algorithm="http://www.w3.org/2001/04/xmlenc#sha256"/>
        <DigestValue>/CknYFXlI++1GBfaSh4m3D6BYfOTWz/NZXlV1HMaADE=</DigestValue>
      </Reference>
      <Reference URI="/xl/styles.xml?ContentType=application/vnd.openxmlformats-officedocument.spreadsheetml.styles+xml">
        <DigestMethod Algorithm="http://www.w3.org/2001/04/xmlenc#sha256"/>
        <DigestValue>ohiWDf4FmBK02961eux7OMxkTHKZrsEUVHm8VRYTCx8=</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zXz4e/uZ7LbdFj0NYTkaiXcMOYKZRZI1rUZefpBgx5s=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TAVoy6y+K44cABJPR6p4MOR7qYmT/cw/jKifUXolxtM=</DigestValue>
      </Reference>
      <Reference URI="/xl/worksheets/sheet10.xml?ContentType=application/vnd.openxmlformats-officedocument.spreadsheetml.worksheet+xml">
        <DigestMethod Algorithm="http://www.w3.org/2001/04/xmlenc#sha256"/>
        <DigestValue>Gepv1sytuuENbme8VuX98NkuCF7xO+UV4oLEPNE1X6Y=</DigestValue>
      </Reference>
      <Reference URI="/xl/worksheets/sheet11.xml?ContentType=application/vnd.openxmlformats-officedocument.spreadsheetml.worksheet+xml">
        <DigestMethod Algorithm="http://www.w3.org/2001/04/xmlenc#sha256"/>
        <DigestValue>xHX9xXr8siB6yK1hb1QVAgRuPIfZ1C8tbpEsBfpOZl0=</DigestValue>
      </Reference>
      <Reference URI="/xl/worksheets/sheet12.xml?ContentType=application/vnd.openxmlformats-officedocument.spreadsheetml.worksheet+xml">
        <DigestMethod Algorithm="http://www.w3.org/2001/04/xmlenc#sha256"/>
        <DigestValue>efpXnwRXcRnz2NfMYEfvoKg+Of2D2Ir4Wp6zi1EDoa0=</DigestValue>
      </Reference>
      <Reference URI="/xl/worksheets/sheet13.xml?ContentType=application/vnd.openxmlformats-officedocument.spreadsheetml.worksheet+xml">
        <DigestMethod Algorithm="http://www.w3.org/2001/04/xmlenc#sha256"/>
        <DigestValue>1e24fLOEz6gRCzWl9jhWHz+X2OLC3zDE0ziZ2KSr3VE=</DigestValue>
      </Reference>
      <Reference URI="/xl/worksheets/sheet14.xml?ContentType=application/vnd.openxmlformats-officedocument.spreadsheetml.worksheet+xml">
        <DigestMethod Algorithm="http://www.w3.org/2001/04/xmlenc#sha256"/>
        <DigestValue>6bm/MFh3Lh7rDxVMAAPvdSCQxeRlpwtDElIjSiwwH6s=</DigestValue>
      </Reference>
      <Reference URI="/xl/worksheets/sheet15.xml?ContentType=application/vnd.openxmlformats-officedocument.spreadsheetml.worksheet+xml">
        <DigestMethod Algorithm="http://www.w3.org/2001/04/xmlenc#sha256"/>
        <DigestValue>aDVEOrdP/jnBcQQiSN/zT30u2QjUCfGiK4IUu+1HrZ8=</DigestValue>
      </Reference>
      <Reference URI="/xl/worksheets/sheet16.xml?ContentType=application/vnd.openxmlformats-officedocument.spreadsheetml.worksheet+xml">
        <DigestMethod Algorithm="http://www.w3.org/2001/04/xmlenc#sha256"/>
        <DigestValue>OXsy8IQJwv7pr327olI+zedwA/b9FJM7653h08zMVa4=</DigestValue>
      </Reference>
      <Reference URI="/xl/worksheets/sheet17.xml?ContentType=application/vnd.openxmlformats-officedocument.spreadsheetml.worksheet+xml">
        <DigestMethod Algorithm="http://www.w3.org/2001/04/xmlenc#sha256"/>
        <DigestValue>v2HgY+7rYocwxWcVDY8LpGRAwMFbOJAwCqADfh5gw6I=</DigestValue>
      </Reference>
      <Reference URI="/xl/worksheets/sheet18.xml?ContentType=application/vnd.openxmlformats-officedocument.spreadsheetml.worksheet+xml">
        <DigestMethod Algorithm="http://www.w3.org/2001/04/xmlenc#sha256"/>
        <DigestValue>iY+Detg+jB4UYsWOdq+eaXhT1CcHdbV0kF+rQajaWG0=</DigestValue>
      </Reference>
      <Reference URI="/xl/worksheets/sheet19.xml?ContentType=application/vnd.openxmlformats-officedocument.spreadsheetml.worksheet+xml">
        <DigestMethod Algorithm="http://www.w3.org/2001/04/xmlenc#sha256"/>
        <DigestValue>V0prdc9e/S9adMHPHY4sR8SkLzSs0Zl4dRbiEdaWCqI=</DigestValue>
      </Reference>
      <Reference URI="/xl/worksheets/sheet2.xml?ContentType=application/vnd.openxmlformats-officedocument.spreadsheetml.worksheet+xml">
        <DigestMethod Algorithm="http://www.w3.org/2001/04/xmlenc#sha256"/>
        <DigestValue>fPiA84zgwI8VM1y5b4XA3KS7dJ5rpQAA2EmaU0GYCHs=</DigestValue>
      </Reference>
      <Reference URI="/xl/worksheets/sheet20.xml?ContentType=application/vnd.openxmlformats-officedocument.spreadsheetml.worksheet+xml">
        <DigestMethod Algorithm="http://www.w3.org/2001/04/xmlenc#sha256"/>
        <DigestValue>2NCDaPhbRz4ZOgHEYkoOhGUP4CH7jmNq1NEAv2xCjZ8=</DigestValue>
      </Reference>
      <Reference URI="/xl/worksheets/sheet21.xml?ContentType=application/vnd.openxmlformats-officedocument.spreadsheetml.worksheet+xml">
        <DigestMethod Algorithm="http://www.w3.org/2001/04/xmlenc#sha256"/>
        <DigestValue>0lNbiK0VGHpzCxLFBzRVL0bHJobeuwZomiqKPIkdKzM=</DigestValue>
      </Reference>
      <Reference URI="/xl/worksheets/sheet22.xml?ContentType=application/vnd.openxmlformats-officedocument.spreadsheetml.worksheet+xml">
        <DigestMethod Algorithm="http://www.w3.org/2001/04/xmlenc#sha256"/>
        <DigestValue>csIoGMZMfL+hol43sqcyGuhgAYkqm2y5R7BnMkIDz0s=</DigestValue>
      </Reference>
      <Reference URI="/xl/worksheets/sheet23.xml?ContentType=application/vnd.openxmlformats-officedocument.spreadsheetml.worksheet+xml">
        <DigestMethod Algorithm="http://www.w3.org/2001/04/xmlenc#sha256"/>
        <DigestValue>HpQ6bED0HCGYFVeruD0DZ8s6qZJymdejrV6Fn3CeV24=</DigestValue>
      </Reference>
      <Reference URI="/xl/worksheets/sheet24.xml?ContentType=application/vnd.openxmlformats-officedocument.spreadsheetml.worksheet+xml">
        <DigestMethod Algorithm="http://www.w3.org/2001/04/xmlenc#sha256"/>
        <DigestValue>IHNJnAUY80CNXfit/azi7UQsldhojQh+z7xwS/IKk0o=</DigestValue>
      </Reference>
      <Reference URI="/xl/worksheets/sheet25.xml?ContentType=application/vnd.openxmlformats-officedocument.spreadsheetml.worksheet+xml">
        <DigestMethod Algorithm="http://www.w3.org/2001/04/xmlenc#sha256"/>
        <DigestValue>9JN8D5PYjHdhPdnZ3UELK2mBaHH77hw6jHbtqKu1hos=</DigestValue>
      </Reference>
      <Reference URI="/xl/worksheets/sheet26.xml?ContentType=application/vnd.openxmlformats-officedocument.spreadsheetml.worksheet+xml">
        <DigestMethod Algorithm="http://www.w3.org/2001/04/xmlenc#sha256"/>
        <DigestValue>HnAQhrI2SKGWD/3qJygPPfAjZ+1K1Ri7XWgLCw/c5dg=</DigestValue>
      </Reference>
      <Reference URI="/xl/worksheets/sheet27.xml?ContentType=application/vnd.openxmlformats-officedocument.spreadsheetml.worksheet+xml">
        <DigestMethod Algorithm="http://www.w3.org/2001/04/xmlenc#sha256"/>
        <DigestValue>6SrW3tP+eY0lIEwWb19GKR0wvSNQWGj9LiMioVJl8EI=</DigestValue>
      </Reference>
      <Reference URI="/xl/worksheets/sheet28.xml?ContentType=application/vnd.openxmlformats-officedocument.spreadsheetml.worksheet+xml">
        <DigestMethod Algorithm="http://www.w3.org/2001/04/xmlenc#sha256"/>
        <DigestValue>2QWYIB8Er/mr3D9Qm0jPM3iD/yUZ09zlcNoZ18U4KeY=</DigestValue>
      </Reference>
      <Reference URI="/xl/worksheets/sheet29.xml?ContentType=application/vnd.openxmlformats-officedocument.spreadsheetml.worksheet+xml">
        <DigestMethod Algorithm="http://www.w3.org/2001/04/xmlenc#sha256"/>
        <DigestValue>pgNgejW41u0suDHTCClYAMjyG0qev/QJ8Y1NkRJPUZ4=</DigestValue>
      </Reference>
      <Reference URI="/xl/worksheets/sheet3.xml?ContentType=application/vnd.openxmlformats-officedocument.spreadsheetml.worksheet+xml">
        <DigestMethod Algorithm="http://www.w3.org/2001/04/xmlenc#sha256"/>
        <DigestValue>RUzzSAbqduH4WNtTrBatPjXJZvKngwSBrNp6fegjshc=</DigestValue>
      </Reference>
      <Reference URI="/xl/worksheets/sheet30.xml?ContentType=application/vnd.openxmlformats-officedocument.spreadsheetml.worksheet+xml">
        <DigestMethod Algorithm="http://www.w3.org/2001/04/xmlenc#sha256"/>
        <DigestValue>vDfIYNro8h77UIDadml/XVQMEGtH4E0IcsLgcu1XS4U=</DigestValue>
      </Reference>
      <Reference URI="/xl/worksheets/sheet4.xml?ContentType=application/vnd.openxmlformats-officedocument.spreadsheetml.worksheet+xml">
        <DigestMethod Algorithm="http://www.w3.org/2001/04/xmlenc#sha256"/>
        <DigestValue>HBwiIwMeDGwJPNIzyAuuZ4y6K40/Z/4p5s2Kr2/h26w=</DigestValue>
      </Reference>
      <Reference URI="/xl/worksheets/sheet5.xml?ContentType=application/vnd.openxmlformats-officedocument.spreadsheetml.worksheet+xml">
        <DigestMethod Algorithm="http://www.w3.org/2001/04/xmlenc#sha256"/>
        <DigestValue>QBOMyKp2OTe2XFPoKyIgLzb9NNpgppK/W6BXQTZQjeQ=</DigestValue>
      </Reference>
      <Reference URI="/xl/worksheets/sheet6.xml?ContentType=application/vnd.openxmlformats-officedocument.spreadsheetml.worksheet+xml">
        <DigestMethod Algorithm="http://www.w3.org/2001/04/xmlenc#sha256"/>
        <DigestValue>hsBqVw4B7kbJOcnCu3x3SYVw9jvtgVRUHGOh6SyyR9w=</DigestValue>
      </Reference>
      <Reference URI="/xl/worksheets/sheet7.xml?ContentType=application/vnd.openxmlformats-officedocument.spreadsheetml.worksheet+xml">
        <DigestMethod Algorithm="http://www.w3.org/2001/04/xmlenc#sha256"/>
        <DigestValue>3Uc7yXsCtPsh1zGY0tjKwWJHCF7DkF9wjBYlUGxqCas=</DigestValue>
      </Reference>
      <Reference URI="/xl/worksheets/sheet8.xml?ContentType=application/vnd.openxmlformats-officedocument.spreadsheetml.worksheet+xml">
        <DigestMethod Algorithm="http://www.w3.org/2001/04/xmlenc#sha256"/>
        <DigestValue>3EgbbfHLxXTe9gTbFlEKEm/I/sS1QIgpzcXoSiYVKMM=</DigestValue>
      </Reference>
      <Reference URI="/xl/worksheets/sheet9.xml?ContentType=application/vnd.openxmlformats-officedocument.spreadsheetml.worksheet+xml">
        <DigestMethod Algorithm="http://www.w3.org/2001/04/xmlenc#sha256"/>
        <DigestValue>2QX0MUu5NjYISzyNxtUyaz5eqKaiTJJsGZyLkgTXEg4=</DigestValue>
      </Reference>
    </Manifest>
    <SignatureProperties>
      <SignatureProperty Id="idSignatureTime" Target="#idPackageSignature">
        <mdssi:SignatureTime xmlns:mdssi="http://schemas.openxmlformats.org/package/2006/digital-signature">
          <mdssi:Format>YYYY-MM-DDThh:mm:ssTZD</mdssi:Format>
          <mdssi:Value>2024-04-30T06:13:14Z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2024-04-30T06:13:14Z</xd:SigningTime>
          <xd:SigningCertificate>
            <xd:Cert>
              <xd:CertDigest>
                <DigestMethod Algorithm="http://www.w3.org/2001/04/xmlenc#sha256"/>
                <DigestValue>6V1++79Qr/cLBXm7sWgQTCsAgEkJU8Qi3Wf6ZrbZ0bo=</DigestValue>
              </xd:CertDigest>
              <xd:IssuerSerial>
                <X509IssuerName>CN=NBG Class 2 INT Sub CA, DC=nbg, DC=ge</X509IssuerName>
                <X509SerialNumber>269717541753483415393526</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2024-04-29T11:11:53Z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06c7ad2-60a5-409e-8203-10f940b19acd_Enabled">
    <vt:lpwstr>true</vt:lpwstr>
  </property>
  <property fmtid="{D5CDD505-2E9C-101B-9397-08002B2CF9AE}" pid="8" name="MSIP_Label_706c7ad2-60a5-409e-8203-10f940b19acd_SetDate">
    <vt:lpwstr>2024-04-16T09:27:10Z</vt:lpwstr>
  </property>
  <property fmtid="{D5CDD505-2E9C-101B-9397-08002B2CF9AE}" pid="9" name="MSIP_Label_706c7ad2-60a5-409e-8203-10f940b19acd_Method">
    <vt:lpwstr>Standard</vt:lpwstr>
  </property>
  <property fmtid="{D5CDD505-2E9C-101B-9397-08002B2CF9AE}" pid="10" name="MSIP_Label_706c7ad2-60a5-409e-8203-10f940b19acd_Name">
    <vt:lpwstr>For internal use only C1</vt:lpwstr>
  </property>
  <property fmtid="{D5CDD505-2E9C-101B-9397-08002B2CF9AE}" pid="11" name="MSIP_Label_706c7ad2-60a5-409e-8203-10f940b19acd_SiteId">
    <vt:lpwstr>91e167b0-e7f3-47d0-b08e-ac1e6b839fc3</vt:lpwstr>
  </property>
  <property fmtid="{D5CDD505-2E9C-101B-9397-08002B2CF9AE}" pid="12" name="MSIP_Label_706c7ad2-60a5-409e-8203-10f940b19acd_ActionId">
    <vt:lpwstr>1875de70-d656-4cae-becb-24e01d2bb853</vt:lpwstr>
  </property>
  <property fmtid="{D5CDD505-2E9C-101B-9397-08002B2CF9AE}" pid="13" name="MSIP_Label_706c7ad2-60a5-409e-8203-10f940b19acd_ContentBits">
    <vt:lpwstr>2</vt:lpwstr>
  </property>
</Properties>
</file>