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2C6073A2-1D3D-4F55-BD53-2DFA09CF4DE1}"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98" l="1"/>
  <c r="C8" i="98"/>
  <c r="C17" i="99"/>
  <c r="C7" i="99"/>
  <c r="O8" i="100" l="1"/>
  <c r="O13" i="100" l="1"/>
  <c r="D15" i="100"/>
  <c r="C15" i="100"/>
  <c r="D33" i="102" l="1"/>
  <c r="E33" i="102"/>
  <c r="F33" i="102"/>
  <c r="G33" i="102"/>
  <c r="H33" i="102"/>
  <c r="I33" i="102"/>
  <c r="J33" i="102"/>
  <c r="K33" i="102"/>
  <c r="L33" i="102"/>
  <c r="C33" i="102"/>
  <c r="C10" i="98"/>
  <c r="C7" i="98"/>
  <c r="C15" i="98" s="1"/>
  <c r="C10" i="99" l="1"/>
  <c r="C9" i="99"/>
  <c r="J23" i="36"/>
  <c r="I23" i="36"/>
  <c r="G23" i="36"/>
  <c r="F23" i="36"/>
  <c r="H23" i="36" l="1"/>
  <c r="K21" i="36"/>
  <c r="J21" i="36"/>
  <c r="I21" i="36"/>
  <c r="J16" i="36"/>
  <c r="I16" i="36"/>
  <c r="K15" i="36"/>
  <c r="K13" i="36"/>
  <c r="K11" i="36"/>
  <c r="K10" i="36"/>
  <c r="K8" i="36"/>
  <c r="K23" i="36" s="1"/>
  <c r="H15" i="36"/>
  <c r="H14" i="36"/>
  <c r="H13" i="36"/>
  <c r="H12" i="36"/>
  <c r="H11" i="36"/>
  <c r="H10" i="36"/>
  <c r="H8" i="36"/>
  <c r="G16" i="36"/>
  <c r="F16" i="36"/>
  <c r="E15" i="36"/>
  <c r="E13" i="36"/>
  <c r="D16" i="36"/>
  <c r="C16" i="36"/>
  <c r="E11" i="36"/>
  <c r="E10" i="36"/>
  <c r="E16" i="36" s="1"/>
  <c r="D23" i="96"/>
  <c r="F59" i="92"/>
  <c r="G38" i="92"/>
  <c r="F38" i="92"/>
  <c r="G11" i="92"/>
  <c r="F11" i="92"/>
  <c r="C22" i="74"/>
  <c r="C37" i="69"/>
  <c r="C10" i="69"/>
  <c r="E34" i="72"/>
  <c r="E31" i="72"/>
  <c r="E30" i="72"/>
  <c r="E28" i="72"/>
  <c r="E26" i="72"/>
  <c r="E25" i="72"/>
  <c r="E24" i="72"/>
  <c r="E22" i="72"/>
  <c r="E21" i="72"/>
  <c r="E20" i="72"/>
  <c r="E16" i="72"/>
  <c r="E13" i="72"/>
  <c r="E12" i="72"/>
  <c r="E11" i="72"/>
  <c r="E10" i="72"/>
  <c r="E9" i="72"/>
  <c r="E8" i="72"/>
  <c r="C31" i="72"/>
  <c r="C28" i="72"/>
  <c r="C25" i="72"/>
  <c r="C20" i="72"/>
  <c r="C16" i="72"/>
  <c r="C12" i="72"/>
  <c r="C8" i="72"/>
  <c r="D38" i="92"/>
  <c r="C38" i="92"/>
  <c r="D11" i="92"/>
  <c r="C11" i="92"/>
  <c r="I24" i="36" l="1"/>
  <c r="I25" i="36" s="1"/>
  <c r="K16" i="36"/>
  <c r="J24" i="36"/>
  <c r="J25" i="36" s="1"/>
  <c r="H16" i="36"/>
  <c r="G21" i="36"/>
  <c r="G24" i="36" s="1"/>
  <c r="G25" i="36" s="1"/>
  <c r="F21" i="36"/>
  <c r="C21" i="36"/>
  <c r="D21" i="36"/>
  <c r="K24" i="36"/>
  <c r="K25" i="36" s="1"/>
  <c r="C22" i="95"/>
  <c r="H21" i="95"/>
  <c r="F24" i="36" l="1"/>
  <c r="H21" i="36"/>
  <c r="E21" i="36"/>
  <c r="B1" i="94"/>
  <c r="B1" i="93"/>
  <c r="B1" i="92"/>
  <c r="H24" i="36" l="1"/>
  <c r="H25" i="36" s="1"/>
  <c r="F25" i="36"/>
  <c r="B1" i="104"/>
  <c r="B1" i="103"/>
  <c r="B1" i="102"/>
  <c r="B1" i="101"/>
  <c r="B1" i="100"/>
  <c r="B1" i="99"/>
  <c r="B1" i="98"/>
  <c r="B1" i="97"/>
  <c r="B1" i="96"/>
  <c r="B1" i="95"/>
  <c r="C18" i="99" l="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34" i="97" l="1"/>
  <c r="H22" i="95"/>
  <c r="H21" i="96"/>
  <c r="C62" i="69"/>
  <c r="C58" i="69"/>
  <c r="C67" i="69" s="1"/>
  <c r="C46" i="69"/>
  <c r="C40" i="69"/>
  <c r="C29" i="69"/>
  <c r="C26" i="69"/>
  <c r="C23" i="69"/>
  <c r="C18" i="69"/>
  <c r="C14" i="69"/>
  <c r="C6" i="69"/>
  <c r="D8" i="72"/>
  <c r="D16" i="72"/>
  <c r="D20" i="72"/>
  <c r="D25" i="72"/>
  <c r="D28" i="72"/>
  <c r="D31" i="72"/>
  <c r="C35" i="69" l="1"/>
  <c r="C52" i="69"/>
  <c r="C68" i="69" s="1"/>
  <c r="C37" i="72"/>
  <c r="E37" i="72"/>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H36" i="93"/>
  <c r="E36" i="93"/>
  <c r="H35" i="93"/>
  <c r="E35" i="93"/>
  <c r="G34" i="93"/>
  <c r="F34" i="93"/>
  <c r="H34" i="93" s="1"/>
  <c r="D34" i="93"/>
  <c r="C34" i="93"/>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E13" i="93" s="1"/>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H47" i="92" s="1"/>
  <c r="D47" i="92"/>
  <c r="C47" i="92"/>
  <c r="E47" i="92" s="1"/>
  <c r="H46" i="92"/>
  <c r="E46" i="92"/>
  <c r="H45" i="92"/>
  <c r="E45" i="92"/>
  <c r="H44" i="92"/>
  <c r="E44" i="92"/>
  <c r="H43" i="92"/>
  <c r="E43" i="92"/>
  <c r="H42" i="92"/>
  <c r="E42" i="92"/>
  <c r="G41" i="92"/>
  <c r="G53" i="92" s="1"/>
  <c r="F41" i="92"/>
  <c r="D41" i="92"/>
  <c r="D53" i="92" s="1"/>
  <c r="C41" i="92"/>
  <c r="E41" i="92" s="1"/>
  <c r="H40" i="92"/>
  <c r="E40" i="92"/>
  <c r="H39" i="92"/>
  <c r="E39" i="92"/>
  <c r="H38" i="92"/>
  <c r="E38" i="92"/>
  <c r="H35" i="92"/>
  <c r="E35" i="92"/>
  <c r="H34" i="92"/>
  <c r="E34" i="92"/>
  <c r="H33" i="92"/>
  <c r="E33" i="92"/>
  <c r="H32" i="92"/>
  <c r="E32" i="92"/>
  <c r="H31" i="92"/>
  <c r="E31" i="92"/>
  <c r="G30" i="92"/>
  <c r="F30" i="92"/>
  <c r="H30" i="92" s="1"/>
  <c r="D30" i="92"/>
  <c r="C30" i="92"/>
  <c r="E30" i="92" s="1"/>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H19" i="92" s="1"/>
  <c r="D19" i="92"/>
  <c r="C19" i="92"/>
  <c r="E19"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H7" i="92" s="1"/>
  <c r="D7" i="92"/>
  <c r="C7" i="92"/>
  <c r="C36" i="92" s="1"/>
  <c r="E63" i="92" l="1"/>
  <c r="C43" i="93"/>
  <c r="C45" i="93" s="1"/>
  <c r="F43" i="93"/>
  <c r="F45" i="93" s="1"/>
  <c r="E29" i="93"/>
  <c r="E38" i="94"/>
  <c r="D68" i="92"/>
  <c r="G43" i="93"/>
  <c r="G45" i="93" s="1"/>
  <c r="G69" i="92"/>
  <c r="H41" i="92"/>
  <c r="H27" i="92"/>
  <c r="E34" i="93"/>
  <c r="E6" i="93"/>
  <c r="E24" i="92"/>
  <c r="E37" i="93"/>
  <c r="H30" i="94"/>
  <c r="F36" i="92"/>
  <c r="D36" i="92"/>
  <c r="E36" i="92" s="1"/>
  <c r="E27" i="92"/>
  <c r="G36" i="92"/>
  <c r="C68" i="92"/>
  <c r="E68" i="92" s="1"/>
  <c r="E59" i="92"/>
  <c r="H8" i="94"/>
  <c r="E8" i="94"/>
  <c r="E14" i="94"/>
  <c r="H38" i="94"/>
  <c r="E30" i="94"/>
  <c r="E11" i="94"/>
  <c r="E17" i="94"/>
  <c r="H11" i="94"/>
  <c r="H14" i="94"/>
  <c r="H45" i="93"/>
  <c r="H6" i="93"/>
  <c r="D43" i="93"/>
  <c r="D45" i="93" s="1"/>
  <c r="D69" i="92"/>
  <c r="C53" i="92"/>
  <c r="H68" i="92"/>
  <c r="F53" i="92"/>
  <c r="E7" i="92"/>
  <c r="H24" i="92"/>
  <c r="H53" i="92" l="1"/>
  <c r="F69" i="92"/>
  <c r="H69" i="92" s="1"/>
  <c r="H43" i="93"/>
  <c r="H36" i="92"/>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<sst xmlns="http://schemas.openxmlformats.org/spreadsheetml/2006/main" count="2113" uniqueCount="990">
  <si>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</si>
  <si>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</si>
  <si>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</si>
  <si>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</si>
  <si>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</si>
  <si>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</si>
  <si>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</si>
  <si>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</si>
  <si>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</si>
  <si>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</si>
  <si>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</si>
  <si>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</si>
  <si>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</si>
  <si>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</si>
  <si>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</si>
  <si>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</si>
  <si>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</si>
  <si>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</si>
  <si>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</si>
  <si>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</si>
  <si>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</si>
  <si>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</si>
  <si>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</si>
  <si>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</si>
  <si>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</si>
  <si>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</si>
  <si>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</si>
  <si>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</si>
  <si>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</si>
  <si>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</si>
  <si>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</si>
  <si>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</si>
  <si>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</si>
  <si>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</si>
  <si>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</si>
  <si>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</si>
  <si>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</si>
  <si>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</si>
  <si>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</si>
  <si>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</si>
  <si>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</si>
  <si>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</si>
  <si>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</si>
  <si>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</si>
  <si>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</si>
  <si>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</si>
  <si>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</si>
  <si>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</si>
  <si>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</si>
  <si>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</si>
  <si>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</si>
  <si>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</si>
  <si>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</si>
  <si>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</si>
  <si>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</si>
  <si>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</si>
  <si>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</si>
  <si>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</si>
  <si>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</si>
  <si>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</si>
  <si>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</si>
  <si>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</si>
  <si>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</si>
  <si>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</si>
  <si>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</si>
  <si>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</si>
  <si>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</si>
  <si>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</si>
  <si>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</si>
  <si>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</si>
  <si>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</si>
  <si>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</si>
  <si>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</si>
  <si>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</si>
  <si>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</si>
  <si>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</si>
  <si>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</si>
  <si>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</si>
  <si>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</si>
  <si>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</si>
  <si>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</si>
  <si>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</si>
  <si>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</si>
  <si>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</si>
  <si>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</si>
  <si>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</si>
  <si>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</si>
  <si>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</si>
  <si>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</si>
  <si>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</si>
  <si>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</si>
  <si>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</si>
  <si>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</si>
  <si>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</si>
  <si>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</si>
  <si>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</si>
  <si>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</si>
  <si>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</si>
  <si>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</si>
  <si>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</si>
  <si>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</si>
  <si>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</si>
  <si>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</si>
  <si>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</si>
  <si>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</si>
  <si>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</si>
  <si>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</si>
  <si>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</si>
  <si>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</si>
  <si>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</si>
  <si>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</si>
  <si>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</si>
  <si>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</si>
  <si>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</si>
  <si>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</si>
  <si>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</si>
  <si>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</si>
  <si>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</si>
  <si>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</si>
  <si>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</si>
  <si>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</si>
  <si>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</si>
  <si>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</si>
  <si>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</si>
  <si>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</si>
  <si>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</si>
  <si>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</si>
  <si>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</si>
  <si>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</si>
  <si>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</si>
  <si>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</si>
  <si>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</si>
  <si>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</si>
  <si>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</si>
  <si>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</si>
  <si>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</si>
  <si>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</si>
  <si>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</si>
  <si>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</si>
  <si>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</si>
  <si>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</si>
  <si>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</si>
  <si>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</si>
  <si>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</si>
  <si>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</si>
  <si>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</si>
  <si>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</si>
  <si>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</si>
  <si>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</si>
  <si>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</si>
  <si>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</si>
  <si>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</si>
  <si>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</si>
  <si>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</si>
  <si>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</si>
  <si>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</si>
  <si>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</si>
  <si>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</si>
  <si>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</si>
  <si>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</si>
  <si>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</si>
  <si>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</si>
  <si>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</si>
  <si>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</si>
  <si>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</si>
  <si>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</si>
  <si>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</si>
  <si>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</si>
  <si>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</si>
  <si>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</si>
  <si>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</si>
  <si>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</si>
  <si>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</si>
  <si>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</si>
  <si>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</si>
  <si>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</si>
  <si>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</si>
  <si>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</si>
  <si>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</si>
  <si>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</si>
  <si>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</si>
  <si>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</si>
  <si>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</si>
  <si>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</si>
  <si>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</si>
  <si>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</si>
  <si>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</si>
  <si>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</si>
  <si>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</si>
  <si>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</si>
  <si>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</si>
  <si>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</si>
  <si>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</si>
  <si>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</si>
  <si>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</si>
  <si>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</si>
  <si>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</si>
  <si>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</si>
  <si>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</si>
  <si>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</si>
  <si>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</si>
  <si>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</si>
  <si>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</si>
  <si>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</si>
  <si>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</si>
  <si>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</si>
  <si>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</si>
  <si>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</si>
  <si>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</si>
  <si>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</si>
  <si>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</si>
  <si>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</si>
  <si>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</si>
  <si>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</si>
  <si>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</si>
  <si>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</si>
  <si>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</si>
  <si>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</si>
  <si>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</si>
  <si>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</si>
  <si>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</si>
  <si>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</si>
  <si>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</si>
  <si>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</si>
  <si>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</si>
  <si>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</si>
  <si>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</si>
  <si>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</si>
  <si>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</si>
  <si>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</si>
  <si>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</si>
  <si>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</si>
  <si>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</si>
  <si>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</si>
  <si>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</si>
  <si>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</si>
  <si>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</si>
  <si>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</si>
  <si>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</si>
  <si>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</si>
  <si>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</si>
  <si>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</si>
  <si>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</si>
  <si>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</si>
  <si>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</si>
  <si>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</si>
  <si>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</si>
  <si>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</si>
  <si>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</si>
  <si>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</si>
  <si>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</si>
  <si>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</si>
  <si>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</si>
  <si>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</si>
  <si>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</si>
  <si>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</si>
  <si>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</si>
  <si>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</si>
  <si>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</si>
  <si>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</si>
  <si>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</si>
  <si>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</si>
  <si>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</si>
  <si>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</si>
  <si>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</si>
  <si>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</si>
  <si>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</si>
  <si>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</si>
  <si>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</si>
  <si>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</si>
  <si>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</si>
  <si>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</si>
  <si>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</si>
  <si>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</si>
  <si>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</si>
  <si>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</si>
  <si>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</si>
  <si>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</si>
  <si>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</si>
  <si>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</si>
  <si>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</si>
  <si>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</si>
  <si>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</si>
  <si>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</si>
  <si>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</si>
  <si>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</si>
  <si>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</si>
  <si>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</si>
  <si>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</si>
  <si>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</si>
  <si>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</si>
  <si>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</si>
  <si>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</si>
  <si>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</si>
  <si>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</si>
  <si>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</si>
  <si>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</si>
  <si>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</si>
  <si>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</si>
  <si>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</si>
  <si>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</si>
  <si>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</si>
  <si>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</si>
  <si>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</si>
  <si>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</si>
  <si>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</si>
  <si>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</si>
  <si>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</si>
  <si>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</si>
  <si>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</si>
  <si>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</si>
  <si>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</si>
  <si>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</si>
  <si>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</si>
  <si>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</si>
  <si>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</si>
  <si>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</si>
  <si>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</si>
  <si>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</si>
  <si>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</si>
  <si>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</si>
  <si>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</si>
  <si>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</si>
  <si>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</si>
  <si>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</si>
  <si>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</si>
  <si>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</si>
  <si>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</si>
  <si>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</si>
  <si>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</si>
  <si>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</si>
  <si>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</si>
  <si>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</si>
  <si>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</si>
  <si>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</si>
  <si>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</si>
  <si>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</si>
  <si>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</si>
  <si>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</si>
  <si>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</si>
  <si>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</si>
  <si>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</si>
  <si>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</si>
  <si>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</si>
  <si>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</si>
  <si>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</si>
  <si>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</si>
  <si>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</si>
  <si>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</si>
  <si>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</si>
  <si>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</si>
  <si>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</si>
  <si>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</si>
  <si>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</si>
  <si>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</si>
  <si>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</si>
  <si>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</si>
  <si>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</si>
  <si>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</si>
  <si>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</si>
  <si>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</si>
  <si>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</si>
  <si>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</si>
  <si>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</si>
  <si>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</si>
  <si>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</si>
  <si>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</si>
  <si>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</si>
  <si>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</si>
  <si>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</si>
  <si>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</si>
  <si>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</si>
  <si>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</si>
  <si>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</si>
  <si>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</si>
  <si>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</si>
  <si>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</si>
  <si>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</si>
  <si>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</si>
  <si>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</si>
  <si>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</si>
  <si>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</si>
  <si>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</si>
  <si>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</si>
  <si>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</si>
  <si>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</si>
  <si>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</si>
  <si>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</si>
  <si>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</si>
  <si>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</si>
  <si>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</si>
  <si>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</si>
  <si>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</si>
  <si>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</si>
  <si>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</si>
  <si>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</si>
  <si>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</si>
  <si>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</si>
  <si>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</si>
  <si>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</si>
  <si>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</si>
  <si>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</si>
  <si>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</si>
  <si>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</si>
  <si>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</si>
  <si>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</si>
  <si>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</si>
  <si>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</si>
  <si>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</si>
  <si>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</si>
  <si>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</si>
  <si>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</si>
  <si>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</si>
  <si>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</si>
  <si>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</si>
  <si>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</si>
  <si>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</si>
  <si>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</si>
  <si>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</si>
  <si>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</si>
  <si>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</si>
  <si>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</si>
  <si>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</si>
  <si>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</si>
  <si>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</si>
  <si>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</si>
  <si>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</si>
  <si>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</si>
  <si>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</si>
  <si>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</si>
  <si>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</si>
  <si>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</si>
  <si>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</si>
  <si>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</si>
  <si>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</si>
  <si>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</si>
  <si>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</si>
  <si>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</si>
  <si>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</si>
  <si>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</si>
  <si>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</si>
  <si>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</si>
  <si>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</si>
  <si>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</si>
  <si>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</si>
  <si>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</si>
  <si>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</si>
  <si>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</si>
  <si>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</si>
  <si>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</si>
  <si>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</si>
  <si>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</si>
  <si>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</si>
  <si>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</si>
  <si>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</si>
  <si>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</si>
  <si>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</si>
  <si>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</si>
  <si>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</si>
  <si>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</si>
  <si>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</si>
  <si>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</si>
  <si>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</si>
  <si>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</si>
  <si>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</si>
  <si>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</si>
  <si>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</si>
  <si>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</si>
  <si>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</si>
  <si>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</si>
  <si>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</si>
  <si>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</si>
  <si>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</si>
  <si>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</si>
  <si>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</si>
  <si>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</si>
  <si>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</si>
  <si>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</si>
  <si>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</si>
  <si>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</si>
  <si>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</si>
  <si>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</si>
  <si>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</si>
  <si>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</si>
  <si>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</si>
  <si>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</si>
  <si>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</si>
  <si>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</si>
  <si>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</si>
  <si>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</si>
  <si>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</si>
  <si>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</si>
  <si>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</si>
  <si>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</si>
  <si>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</si>
  <si>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</si>
  <si>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</si>
  <si>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</si>
  <si>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</si>
  <si>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</si>
  <si>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</si>
  <si>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</si>
  <si>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</si>
  <si>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</si>
  <si>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</si>
  <si>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</si>
  <si>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</si>
  <si>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</si>
  <si>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</si>
  <si>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</si>
  <si>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</si>
  <si>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</si>
  <si>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</si>
  <si>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</si>
  <si>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</si>
  <si>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</si>
  <si>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</si>
  <si>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</si>
  <si>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</si>
  <si>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</si>
  <si>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</si>
  <si>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</si>
  <si>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</si>
  <si>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</si>
  <si>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</si>
  <si>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</si>
  <si>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</si>
  <si>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</si>
  <si>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</si>
  <si>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</si>
  <si>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</si>
  <si>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</si>
  <si>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</si>
  <si>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</si>
  <si>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</si>
  <si>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</si>
  <si>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</si>
  <si>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</si>
  <si>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</si>
  <si>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</si>
  <si>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</si>
  <si>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</si>
  <si>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</si>
  <si>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</si>
  <si>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</si>
  <si>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</si>
  <si>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</si>
  <si>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</si>
  <si>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</si>
  <si>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</si>
  <si>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</si>
  <si>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</si>
  <si>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</si>
  <si>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</si>
  <si>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</si>
  <si>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</si>
  <si>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</si>
  <si>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</si>
  <si>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</si>
  <si>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</si>
  <si>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</si>
  <si>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</si>
  <si>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</si>
  <si>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</si>
  <si>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</si>
  <si>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</si>
  <si>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</si>
  <si>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</si>
  <si>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</si>
  <si>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</si>
  <si>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</si>
  <si>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</si>
  <si>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</si>
  <si>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</si>
  <si>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</si>
  <si>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</si>
  <si>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</si>
  <si>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</si>
  <si>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</si>
  <si>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</si>
  <si>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</si>
  <si>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</si>
  <si>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</si>
  <si>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</si>
  <si>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</si>
  <si>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</si>
  <si>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</si>
  <si>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</si>
  <si>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</si>
  <si>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</si>
  <si>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</si>
  <si>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</si>
  <si>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</si>
  <si>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</si>
  <si>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</si>
  <si>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</si>
  <si>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</si>
  <si>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</si>
  <si>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</si>
  <si>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</si>
  <si>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</si>
  <si>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</si>
  <si>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</si>
  <si>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</si>
  <si>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</si>
  <si>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</si>
  <si>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</si>
  <si>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</si>
  <si>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</si>
  <si>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</si>
  <si>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</si>
  <si>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</si>
  <si>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</si>
  <si>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</si>
  <si>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</si>
  <si>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</si>
  <si>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</si>
  <si>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</si>
  <si>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</si>
  <si>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</si>
  <si>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</si>
  <si>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</si>
  <si>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</si>
  <si>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</si>
  <si>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</si>
  <si>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</si>
  <si>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</si>
  <si>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</si>
  <si>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</si>
  <si>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</si>
  <si>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</si>
  <si>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</si>
  <si>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</si>
  <si>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</si>
  <si>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</si>
  <si>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</si>
  <si>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</si>
  <si>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</si>
  <si>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</si>
  <si>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</si>
  <si>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</si>
  <si>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</si>
  <si>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</si>
  <si>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</si>
  <si>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</si>
  <si>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</si>
  <si>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</si>
  <si>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</si>
  <si>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</si>
  <si>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</si>
  <si>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</si>
  <si>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</si>
  <si>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</si>
  <si>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</si>
  <si>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</si>
  <si>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</si>
  <si>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</si>
  <si>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</si>
  <si>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</si>
  <si>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</si>
  <si>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</si>
  <si>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</si>
  <si>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</si>
  <si>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</si>
  <si>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</si>
  <si>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</si>
  <si>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</si>
  <si>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</si>
  <si>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</si>
  <si>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</si>
  <si>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</si>
  <si>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</si>
  <si>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</si>
  <si>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</si>
  <si>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</si>
  <si>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</si>
  <si>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</si>
  <si>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</si>
  <si>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</si>
  <si>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</si>
  <si>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</si>
  <si>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</si>
  <si>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</si>
  <si>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</si>
  <si>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</si>
  <si>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</si>
  <si>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</si>
  <si>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</si>
  <si>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</si>
  <si>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</si>
  <si>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</si>
  <si>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</si>
  <si>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</si>
  <si>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</si>
  <si>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</si>
  <si>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</si>
  <si>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</si>
  <si>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</si>
  <si>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</si>
  <si>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</si>
  <si>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</si>
  <si>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</si>
  <si>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</si>
  <si>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</si>
  <si>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</si>
  <si>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</si>
  <si>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</si>
  <si>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</si>
  <si>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</si>
  <si>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</si>
  <si>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</si>
  <si>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</si>
  <si>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</si>
  <si>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</si>
  <si>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</si>
  <si>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</si>
  <si>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</si>
  <si>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</si>
  <si>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</si>
  <si>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</si>
  <si>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</si>
  <si>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</si>
  <si>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</si>
  <si>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</si>
  <si>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</si>
  <si>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</si>
  <si>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</si>
  <si>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</si>
  <si>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</si>
  <si>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</si>
  <si>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</si>
  <si>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</si>
  <si>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</si>
  <si>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</si>
  <si>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</si>
  <si>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</si>
  <si>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</si>
  <si>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</si>
  <si>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</si>
  <si>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</si>
  <si>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</si>
  <si>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</si>
  <si>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</si>
  <si>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</si>
  <si>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</si>
  <si>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</si>
  <si>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</si>
  <si>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</si>
  <si>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</si>
  <si>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</si>
  <si>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</si>
  <si>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</si>
  <si>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</si>
  <si>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</si>
  <si>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</si>
  <si>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</si>
  <si>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</si>
  <si>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</si>
  <si>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</si>
  <si>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</si>
  <si>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</si>
  <si>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</si>
  <si>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</si>
  <si>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</si>
  <si>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</si>
  <si>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</si>
  <si>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</si>
  <si>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</si>
  <si>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</si>
  <si>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</si>
  <si>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</si>
  <si>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</si>
  <si>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</si>
  <si>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</si>
  <si>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</si>
  <si>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</si>
  <si>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</si>
  <si>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</si>
  <si>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</si>
  <si>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</si>
  <si>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</si>
  <si>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</si>
  <si>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</si>
  <si>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</si>
  <si>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</si>
  <si>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</si>
  <si>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</si>
  <si>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</si>
  <si>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</si>
  <si>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</si>
  <si>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</si>
  <si>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</si>
  <si>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</si>
  <si>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</si>
  <si>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</si>
  <si>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</si>
  <si>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</si>
  <si>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</si>
  <si>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</si>
  <si>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</si>
  <si>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</si>
  <si>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</si>
  <si>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</si>
  <si>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</si>
  <si>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</si>
  <si>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</si>
  <si>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</si>
  <si>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</si>
  <si>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</si>
  <si>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</si>
  <si>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</si>
  <si>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</si>
  <si>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</si>
  <si>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</si>
  <si>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</si>
  <si>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</si>
  <si>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</si>
  <si>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</si>
  <si>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</si>
  <si>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</si>
  <si>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</si>
  <si>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</si>
  <si>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</si>
  <si>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</si>
  <si>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</si>
  <si>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</si>
  <si>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</si>
  <si>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</si>
  <si>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</si>
  <si>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</si>
  <si>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</si>
  <si>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</si>
  <si>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</si>
  <si>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</si>
  <si>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</si>
  <si>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</si>
  <si>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</si>
  <si>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</si>
  <si>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</si>
  <si>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</si>
  <si>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</si>
  <si>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</si>
  <si>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</si>
  <si>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</si>
  <si>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</si>
  <si>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</si>
  <si>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</si>
  <si>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</si>
  <si>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</si>
  <si>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</si>
  <si>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</si>
  <si>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</si>
  <si>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</si>
  <si>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</si>
  <si>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</si>
  <si>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</si>
  <si>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</si>
  <si>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</si>
  <si>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</si>
  <si>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</si>
  <si>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</si>
  <si>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</si>
  <si>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</si>
  <si>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</si>
  <si>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</si>
  <si>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</si>
  <si>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</si>
  <si>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</si>
  <si>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</si>
  <si>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</si>
  <si>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</si>
  <si>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</si>
  <si>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</si>
  <si>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</si>
  <si>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</si>
  <si>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</si>
  <si>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</si>
  <si>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</si>
  <si>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</si>
  <si>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</si>
  <si>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</si>
  <si>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</si>
  <si>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</si>
  <si>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</si>
  <si>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</si>
  <si>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</si>
  <si>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</si>
  <si>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</si>
  <si>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</si>
  <si>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</si>
  <si>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</si>
  <si>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</si>
  <si>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</si>
  <si>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</si>
  <si>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</si>
  <si>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</si>
  <si>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</si>
  <si>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</si>
  <si>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</si>
  <si>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</si>
  <si>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</si>
  <si>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</si>
  <si>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</si>
  <si>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</si>
  <si>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</si>
  <si>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</si>
  <si>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</si>
  <si>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</si>
  <si>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</si>
  <si>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</si>
  <si>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</si>
  <si>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</si>
  <si>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</si>
  <si>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</si>
  <si>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</si>
  <si>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</si>
  <si>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</si>
  <si>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</si>
  <si>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</si>
  <si>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</si>
  <si>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</si>
  <si>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</si>
  <si>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</si>
  <si>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</si>
  <si>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</si>
  <si>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</si>
  <si>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</si>
  <si>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</si>
  <si>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</si>
  <si>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</si>
  <si>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</si>
  <si>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</si>
  <si>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</si>
  <si>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</si>
  <si>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</si>
  <si>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</si>
  <si>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</si>
  <si>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</si>
  <si>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</si>
  <si>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</si>
  <si>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</si>
  <si>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</si>
  <si>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</si>
  <si>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</si>
  <si>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</si>
  <si>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</si>
  <si>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</si>
  <si>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</si>
  <si>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</si>
  <si>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</si>
  <si>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</si>
  <si>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</si>
  <si>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</si>
  <si>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</si>
  <si>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</si>
  <si>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</si>
  <si>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</si>
  <si>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</si>
  <si>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</si>
  <si>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</si>
  <si>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</si>
  <si>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 პაშა ბანკი საქართველო"</t>
  </si>
  <si>
    <t>როვშან ალაჰვერდიევი</t>
  </si>
  <si>
    <t>რამილ იმამოვ</t>
  </si>
  <si>
    <t>www.pashabank.ge</t>
  </si>
  <si>
    <t xml:space="preserve"> ცხრილი 9 (Capital), N38</t>
  </si>
  <si>
    <t xml:space="preserve"> ცხრილი 9 (Capital), N2</t>
  </si>
  <si>
    <t xml:space="preserve"> ცხრილი 9 (Capital), N6</t>
  </si>
  <si>
    <t>შაჰინ მამმადოვი</t>
  </si>
  <si>
    <t>არადამოუკიდებელ წევრი</t>
  </si>
  <si>
    <t>გიორგი ღლონტი</t>
  </si>
  <si>
    <t>დამოუკიდებელი წევრი</t>
  </si>
  <si>
    <t>ებრუ ოღან კნოტნერუს</t>
  </si>
  <si>
    <t>კამალა ნურიევა</t>
  </si>
  <si>
    <t>როვშან ალაჰვერდიევ</t>
  </si>
  <si>
    <t>არადამოუკიდებელი თავმჯდომარე</t>
  </si>
  <si>
    <t>ლევან ალადაშვილი</t>
  </si>
  <si>
    <t>გენერალური დირექტორის მოვალეობის შემსრულებელი</t>
  </si>
  <si>
    <t>სელიმ ბერენტ</t>
  </si>
  <si>
    <t>ფინანსური დირექტორი</t>
  </si>
  <si>
    <t>რისკების დირექტორი</t>
  </si>
  <si>
    <t>ანზორ მანწკავა</t>
  </si>
  <si>
    <t>საცალო მიმართულების ბანკინგის დირექტორი</t>
  </si>
  <si>
    <t xml:space="preserve">ღსს "პაშა ბანკი" </t>
  </si>
  <si>
    <t>შპს პაშა ჰოლდინგ</t>
  </si>
  <si>
    <t xml:space="preserve">არიფ პაშაევი </t>
  </si>
  <si>
    <t xml:space="preserve">არზუ ალიევა </t>
  </si>
  <si>
    <t xml:space="preserve">ლეილა ალიევა </t>
  </si>
  <si>
    <t>მირ ჯამალ პაშაევი</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</si>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</sst>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1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5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9"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88" fontId="2" fillId="70" borderId="95" applyFont="0">
      <alignment horizontal="right" vertical="center"/>
    </xf>
    <xf numFmtId="3" fontId="2" fillId="70" borderId="95" applyFont="0">
      <alignment horizontal="right" vertical="center"/>
    </xf>
    <xf numFmtId="0" fontId="83"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9"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3" fontId="2" fillId="72" borderId="95" applyFont="0">
      <alignment horizontal="right" vertical="center"/>
      <protection locked="0"/>
    </xf>
    <xf numFmtId="0" fontId="66"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9"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2" fillId="70" borderId="96" applyFont="0" applyBorder="0">
      <alignment horizontal="center" wrapText="1"/>
    </xf>
    <xf numFmtId="168" fontId="54" fillId="0" borderId="93">
      <alignment horizontal="left" vertical="center"/>
    </xf>
    <xf numFmtId="0" fontId="54" fillId="0" borderId="93">
      <alignment horizontal="left" vertical="center"/>
    </xf>
    <xf numFmtId="0" fontId="54" fillId="0" borderId="93">
      <alignment horizontal="left" vertical="center"/>
    </xf>
    <xf numFmtId="0" fontId="2" fillId="69" borderId="95" applyNumberFormat="0" applyFont="0" applyBorder="0" applyProtection="0">
      <alignment horizontal="center" vertical="center"/>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8"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9"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38">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20" fillId="0" borderId="22" xfId="0" applyFont="1" applyBorder="1" applyAlignment="1">
      <alignment horizontal="center" vertical="center" wrapText="1"/>
    </xf>
    <xf numFmtId="0" fontId="4" fillId="0" borderId="54"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0"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5"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3"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81" xfId="0" applyNumberFormat="1" applyFont="1" applyBorder="1" applyAlignment="1">
      <alignment horizontal="right" vertical="center"/>
    </xf>
    <xf numFmtId="0" fontId="106" fillId="0" borderId="0" xfId="0" applyFont="1" applyAlignment="1">
      <alignment horizontal="left"/>
    </xf>
    <xf numFmtId="0" fontId="106" fillId="0" borderId="81"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0"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0" fontId="4" fillId="36" borderId="24" xfId="0" applyFont="1" applyFill="1" applyBorder="1"/>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89" xfId="20" applyBorder="1"/>
    <xf numFmtId="0" fontId="4" fillId="0" borderId="7"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6" fillId="0" borderId="95" xfId="0" applyFont="1" applyBorder="1" applyAlignment="1">
      <alignment vertical="center"/>
    </xf>
    <xf numFmtId="0" fontId="4" fillId="0" borderId="17"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16" xfId="0" applyFont="1" applyBorder="1" applyAlignment="1">
      <alignment horizontal="center" vertical="center"/>
    </xf>
    <xf numFmtId="0" fontId="4" fillId="0" borderId="103" xfId="0" applyFont="1" applyBorder="1" applyAlignment="1">
      <alignment horizontal="center" vertical="center"/>
    </xf>
    <xf numFmtId="0" fontId="4" fillId="0" borderId="105" xfId="0" applyFont="1" applyBorder="1" applyAlignment="1">
      <alignment horizontal="center" vertical="center"/>
    </xf>
    <xf numFmtId="169" fontId="26" fillId="37" borderId="29" xfId="20" applyBorder="1"/>
    <xf numFmtId="169" fontId="26" fillId="37" borderId="107" xfId="20" applyBorder="1"/>
    <xf numFmtId="169" fontId="26" fillId="37" borderId="97" xfId="20" applyBorder="1"/>
    <xf numFmtId="169" fontId="26" fillId="37" borderId="54" xfId="20" applyBorder="1"/>
    <xf numFmtId="0" fontId="4" fillId="3" borderId="60" xfId="0" applyFont="1" applyFill="1" applyBorder="1" applyAlignment="1">
      <alignment horizontal="center" vertical="center"/>
    </xf>
    <xf numFmtId="0" fontId="4" fillId="3" borderId="0" xfId="0" applyFont="1" applyFill="1" applyAlignment="1">
      <alignment vertical="center"/>
    </xf>
    <xf numFmtId="0" fontId="4" fillId="0" borderId="66" xfId="0" applyFont="1" applyBorder="1" applyAlignment="1">
      <alignment horizontal="center" vertical="center"/>
    </xf>
    <xf numFmtId="0" fontId="4" fillId="3" borderId="93" xfId="0" applyFont="1" applyFill="1" applyBorder="1" applyAlignment="1">
      <alignment vertical="center"/>
    </xf>
    <xf numFmtId="0" fontId="14" fillId="3" borderId="108" xfId="0" applyFont="1" applyFill="1" applyBorder="1" applyAlignment="1">
      <alignment horizontal="left"/>
    </xf>
    <xf numFmtId="0" fontId="14" fillId="3" borderId="109" xfId="0" applyFont="1" applyFill="1" applyBorder="1" applyAlignment="1">
      <alignment horizontal="left"/>
    </xf>
    <xf numFmtId="0" fontId="4" fillId="0" borderId="95" xfId="0" applyFont="1" applyBorder="1" applyAlignment="1">
      <alignment horizontal="center" vertical="center" wrapText="1"/>
    </xf>
    <xf numFmtId="0" fontId="106" fillId="0" borderId="83" xfId="0" applyFont="1" applyBorder="1" applyAlignment="1">
      <alignment horizontal="right" vertical="center"/>
    </xf>
    <xf numFmtId="0" fontId="4" fillId="0" borderId="110" xfId="0" applyFont="1" applyBorder="1" applyAlignment="1">
      <alignment horizontal="center" vertical="center" wrapText="1"/>
    </xf>
    <xf numFmtId="0" fontId="6" fillId="3" borderId="111" xfId="0" applyFont="1" applyFill="1" applyBorder="1" applyAlignment="1">
      <alignment vertical="center"/>
    </xf>
    <xf numFmtId="0" fontId="4" fillId="3" borderId="21" xfId="0" applyFont="1" applyFill="1" applyBorder="1" applyAlignment="1">
      <alignment vertical="center"/>
    </xf>
    <xf numFmtId="0" fontId="4" fillId="0" borderId="112" xfId="0" applyFont="1" applyBorder="1" applyAlignment="1">
      <alignment horizontal="center" vertical="center"/>
    </xf>
    <xf numFmtId="0" fontId="4" fillId="0" borderId="110"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6" fillId="36" borderId="113"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2"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6" fillId="36" borderId="110"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5" xfId="0" applyFont="1" applyBorder="1" applyAlignment="1">
      <alignment horizontal="left" vertical="center" wrapText="1"/>
    </xf>
    <xf numFmtId="0" fontId="109" fillId="0" borderId="112" xfId="0" applyFont="1" applyBorder="1" applyAlignment="1">
      <alignment horizontal="right" vertical="center" wrapText="1"/>
    </xf>
    <xf numFmtId="0" fontId="109" fillId="0" borderId="95" xfId="0" applyFont="1" applyBorder="1" applyAlignment="1">
      <alignment horizontal="left" vertical="center" wrapText="1"/>
    </xf>
    <xf numFmtId="0" fontId="6" fillId="0" borderId="112"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2" xfId="0" applyFont="1" applyBorder="1" applyAlignment="1">
      <alignment horizontal="center" vertical="center" wrapText="1"/>
    </xf>
    <xf numFmtId="3" fontId="21" fillId="36" borderId="95" xfId="0" applyNumberFormat="1" applyFont="1" applyFill="1" applyBorder="1" applyAlignment="1">
      <alignment vertical="center" wrapText="1"/>
    </xf>
    <xf numFmtId="3" fontId="21" fillId="36" borderId="110"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3" fontId="21" fillId="0" borderId="95" xfId="0" applyNumberFormat="1" applyFont="1" applyBorder="1" applyAlignment="1">
      <alignment vertical="center" wrapText="1"/>
    </xf>
    <xf numFmtId="14" fontId="7" fillId="3" borderId="95" xfId="8" quotePrefix="1" applyNumberFormat="1" applyFont="1" applyFill="1" applyBorder="1" applyAlignment="1" applyProtection="1">
      <alignment horizontal="left" vertical="center" wrapText="1" indent="3"/>
      <protection locked="0"/>
    </xf>
    <xf numFmtId="0" fontId="11" fillId="0" borderId="95" xfId="17" applyFill="1" applyBorder="1" applyAlignment="1" applyProtection="1"/>
    <xf numFmtId="49" fontId="109" fillId="0" borderId="112" xfId="0" applyNumberFormat="1" applyFont="1" applyBorder="1" applyAlignment="1">
      <alignment horizontal="right" vertical="center" wrapText="1"/>
    </xf>
    <xf numFmtId="0" fontId="7" fillId="3" borderId="95" xfId="20960" applyFont="1" applyFill="1" applyBorder="1"/>
    <xf numFmtId="0" fontId="103" fillId="0" borderId="95" xfId="20960" applyFont="1" applyBorder="1" applyAlignment="1">
      <alignment horizontal="center" vertical="center"/>
    </xf>
    <xf numFmtId="0" fontId="4" fillId="0" borderId="95" xfId="0" applyFont="1" applyBorder="1"/>
    <xf numFmtId="0" fontId="11" fillId="0" borderId="95" xfId="17" applyFill="1" applyBorder="1" applyAlignment="1" applyProtection="1">
      <alignment horizontal="left" vertical="center" wrapText="1"/>
    </xf>
    <xf numFmtId="49" fontId="109" fillId="0" borderId="95" xfId="0" applyNumberFormat="1" applyFont="1" applyBorder="1" applyAlignment="1">
      <alignment horizontal="right" vertical="center" wrapText="1"/>
    </xf>
    <xf numFmtId="0" fontId="11" fillId="0" borderId="95" xfId="17" applyFill="1" applyBorder="1" applyAlignment="1" applyProtection="1">
      <alignment horizontal="left" vertical="center"/>
    </xf>
    <xf numFmtId="0" fontId="112" fillId="78" borderId="96" xfId="21412" applyFont="1" applyFill="1" applyBorder="1" applyAlignment="1" applyProtection="1">
      <alignment vertical="center" wrapText="1"/>
      <protection locked="0"/>
    </xf>
    <xf numFmtId="0" fontId="113" fillId="70" borderId="91" xfId="21412" applyFont="1" applyFill="1" applyBorder="1" applyAlignment="1" applyProtection="1">
      <alignment horizontal="center" vertical="center"/>
      <protection locked="0"/>
    </xf>
    <xf numFmtId="0" fontId="112" fillId="79" borderId="95" xfId="21412" applyFont="1" applyFill="1" applyBorder="1" applyAlignment="1" applyProtection="1">
      <alignment horizontal="center" vertical="center"/>
      <protection locked="0"/>
    </xf>
    <xf numFmtId="0" fontId="112" fillId="78" borderId="96" xfId="21412" applyFont="1" applyFill="1" applyBorder="1" applyProtection="1">
      <alignment vertical="center"/>
      <protection locked="0"/>
    </xf>
    <xf numFmtId="0" fontId="114" fillId="70" borderId="91" xfId="21412" applyFont="1" applyFill="1" applyBorder="1" applyAlignment="1" applyProtection="1">
      <alignment horizontal="center" vertical="center"/>
      <protection locked="0"/>
    </xf>
    <xf numFmtId="0" fontId="114" fillId="3" borderId="91" xfId="21412" applyFont="1" applyFill="1" applyBorder="1" applyAlignment="1" applyProtection="1">
      <alignment horizontal="center" vertical="center"/>
      <protection locked="0"/>
    </xf>
    <xf numFmtId="0" fontId="114" fillId="0" borderId="91" xfId="21412" applyFont="1" applyBorder="1" applyAlignment="1" applyProtection="1">
      <alignment horizontal="center" vertical="center"/>
      <protection locked="0"/>
    </xf>
    <xf numFmtId="0" fontId="115"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horizontal="center" vertical="center"/>
      <protection locked="0"/>
    </xf>
    <xf numFmtId="0" fontId="62" fillId="78" borderId="96" xfId="21412" applyFont="1" applyFill="1" applyBorder="1" applyProtection="1">
      <alignment vertical="center"/>
      <protection locked="0"/>
    </xf>
    <xf numFmtId="0" fontId="114" fillId="70" borderId="95" xfId="21412" applyFont="1" applyFill="1" applyBorder="1" applyAlignment="1" applyProtection="1">
      <alignment horizontal="center" vertical="center"/>
      <protection locked="0"/>
    </xf>
    <xf numFmtId="0" fontId="36" fillId="70" borderId="95" xfId="21412" applyFont="1" applyFill="1" applyBorder="1" applyAlignment="1" applyProtection="1">
      <alignment horizontal="center" vertical="center"/>
      <protection locked="0"/>
    </xf>
    <xf numFmtId="0" fontId="62" fillId="78" borderId="94" xfId="21412" applyFont="1" applyFill="1" applyBorder="1" applyProtection="1">
      <alignment vertical="center"/>
      <protection locked="0"/>
    </xf>
    <xf numFmtId="0" fontId="113" fillId="0" borderId="94" xfId="21412" applyFont="1" applyBorder="1" applyAlignment="1" applyProtection="1">
      <alignment horizontal="left" vertical="center" wrapText="1"/>
      <protection locked="0"/>
    </xf>
    <xf numFmtId="164" fontId="113" fillId="0" borderId="95" xfId="948" applyNumberFormat="1" applyFont="1" applyFill="1" applyBorder="1" applyAlignment="1" applyProtection="1">
      <alignment horizontal="right" vertical="center"/>
      <protection locked="0"/>
    </xf>
    <xf numFmtId="0" fontId="112" fillId="79" borderId="94" xfId="21412" applyFont="1" applyFill="1" applyBorder="1" applyAlignment="1" applyProtection="1">
      <alignment vertical="top" wrapText="1"/>
      <protection locked="0"/>
    </xf>
    <xf numFmtId="164" fontId="113" fillId="79" borderId="95" xfId="948" applyNumberFormat="1" applyFont="1" applyFill="1" applyBorder="1" applyAlignment="1" applyProtection="1">
      <alignment horizontal="right" vertical="center"/>
    </xf>
    <xf numFmtId="164" fontId="62" fillId="78" borderId="94" xfId="948" applyNumberFormat="1" applyFont="1" applyFill="1" applyBorder="1" applyAlignment="1" applyProtection="1">
      <alignment horizontal="right" vertical="center"/>
      <protection locked="0"/>
    </xf>
    <xf numFmtId="0" fontId="113" fillId="70" borderId="94" xfId="21412" applyFont="1" applyFill="1" applyBorder="1" applyAlignment="1" applyProtection="1">
      <alignment vertical="center" wrapText="1"/>
      <protection locked="0"/>
    </xf>
    <xf numFmtId="0" fontId="113" fillId="70" borderId="94" xfId="21412" applyFont="1" applyFill="1" applyBorder="1" applyAlignment="1" applyProtection="1">
      <alignment horizontal="left" vertical="center" wrapText="1"/>
      <protection locked="0"/>
    </xf>
    <xf numFmtId="0" fontId="113" fillId="0" borderId="94" xfId="21412" applyFont="1" applyBorder="1" applyAlignment="1" applyProtection="1">
      <alignment vertical="center" wrapText="1"/>
      <protection locked="0"/>
    </xf>
    <xf numFmtId="0" fontId="113" fillId="3" borderId="94" xfId="21412" applyFont="1" applyFill="1" applyBorder="1" applyAlignment="1" applyProtection="1">
      <alignment horizontal="left" vertical="center" wrapText="1"/>
      <protection locked="0"/>
    </xf>
    <xf numFmtId="0" fontId="112" fillId="79" borderId="94" xfId="21412" applyFont="1" applyFill="1" applyBorder="1" applyAlignment="1" applyProtection="1">
      <alignment vertical="center" wrapText="1"/>
      <protection locked="0"/>
    </xf>
    <xf numFmtId="164" fontId="112" fillId="78" borderId="94" xfId="948" applyNumberFormat="1" applyFont="1" applyFill="1" applyBorder="1" applyAlignment="1" applyProtection="1">
      <alignment horizontal="right" vertical="center"/>
      <protection locked="0"/>
    </xf>
    <xf numFmtId="164" fontId="113" fillId="3" borderId="95" xfId="948" applyNumberFormat="1" applyFont="1" applyFill="1" applyBorder="1" applyAlignment="1" applyProtection="1">
      <alignment horizontal="right" vertical="center"/>
      <protection locked="0"/>
    </xf>
    <xf numFmtId="1" fontId="6" fillId="36" borderId="110" xfId="0" applyNumberFormat="1" applyFont="1" applyFill="1" applyBorder="1" applyAlignment="1">
      <alignment horizontal="right" vertical="center" wrapText="1"/>
    </xf>
    <xf numFmtId="1" fontId="6" fillId="36" borderId="110" xfId="0" applyNumberFormat="1" applyFont="1" applyFill="1" applyBorder="1" applyAlignment="1">
      <alignment horizontal="center" vertical="center" wrapText="1"/>
    </xf>
    <xf numFmtId="10" fontId="7" fillId="0" borderId="95" xfId="20961" applyNumberFormat="1" applyFont="1" applyFill="1" applyBorder="1" applyAlignment="1">
      <alignment horizontal="left" vertical="center" wrapText="1"/>
    </xf>
    <xf numFmtId="10" fontId="4" fillId="0"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9" fillId="0" borderId="95" xfId="20961" applyNumberFormat="1" applyFont="1" applyFill="1" applyBorder="1" applyAlignment="1">
      <alignment horizontal="left" vertical="center" wrapText="1"/>
    </xf>
    <xf numFmtId="10" fontId="6" fillId="36"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2" xfId="0" applyFont="1" applyBorder="1" applyAlignment="1">
      <alignment horizontal="right" vertical="center" wrapText="1"/>
    </xf>
    <xf numFmtId="0" fontId="7" fillId="0" borderId="95" xfId="0" applyFont="1" applyBorder="1" applyAlignment="1">
      <alignment vertical="center" wrapText="1"/>
    </xf>
    <xf numFmtId="0" fontId="4" fillId="0" borderId="95" xfId="0" applyFont="1" applyBorder="1" applyAlignment="1">
      <alignment vertical="center" wrapText="1"/>
    </xf>
    <xf numFmtId="0" fontId="4" fillId="0" borderId="95" xfId="0" applyFont="1" applyBorder="1" applyAlignment="1">
      <alignment horizontal="left" vertical="center" wrapText="1" indent="2"/>
    </xf>
    <xf numFmtId="3" fontId="21" fillId="36" borderId="96"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6"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6" fillId="0" borderId="23" xfId="0" applyFont="1" applyBorder="1" applyAlignment="1">
      <alignment vertical="center" wrapText="1"/>
    </xf>
    <xf numFmtId="0" fontId="4" fillId="0" borderId="110" xfId="0" applyFont="1" applyBorder="1"/>
    <xf numFmtId="0" fontId="9" fillId="0" borderId="110" xfId="0" applyFont="1" applyBorder="1"/>
    <xf numFmtId="0" fontId="9" fillId="0" borderId="110" xfId="0" applyFont="1" applyBorder="1" applyAlignment="1">
      <alignment wrapText="1"/>
    </xf>
    <xf numFmtId="0" fontId="10" fillId="0" borderId="18" xfId="0" applyFont="1" applyBorder="1" applyAlignment="1">
      <alignment horizontal="center"/>
    </xf>
    <xf numFmtId="0" fontId="10" fillId="0" borderId="110"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2" xfId="0" applyFont="1" applyBorder="1" applyAlignment="1">
      <alignment horizontal="center" vertical="center" wrapText="1"/>
    </xf>
    <xf numFmtId="0" fontId="15" fillId="0" borderId="95" xfId="0" applyFont="1" applyBorder="1" applyAlignment="1">
      <alignment horizontal="center" vertical="center" wrapText="1"/>
    </xf>
    <xf numFmtId="0" fontId="16" fillId="0" borderId="95" xfId="0" applyFont="1" applyBorder="1" applyAlignment="1">
      <alignment horizontal="left" vertical="center" wrapText="1"/>
    </xf>
    <xf numFmtId="193" fontId="7" fillId="0" borderId="95" xfId="0" applyNumberFormat="1" applyFont="1" applyBorder="1" applyAlignment="1" applyProtection="1">
      <alignment vertical="center" wrapText="1"/>
      <protection locked="0"/>
    </xf>
    <xf numFmtId="193" fontId="4" fillId="0" borderId="95" xfId="0" applyNumberFormat="1" applyFont="1" applyBorder="1" applyAlignment="1" applyProtection="1">
      <alignment vertical="center" wrapText="1"/>
      <protection locked="0"/>
    </xf>
    <xf numFmtId="193" fontId="4" fillId="0" borderId="110" xfId="0" applyNumberFormat="1" applyFont="1" applyBorder="1" applyAlignment="1" applyProtection="1">
      <alignment vertical="center" wrapText="1"/>
      <protection locked="0"/>
    </xf>
    <xf numFmtId="193" fontId="7" fillId="0" borderId="95" xfId="0" applyNumberFormat="1" applyFont="1" applyBorder="1" applyAlignment="1" applyProtection="1">
      <alignment horizontal="right" vertical="center" wrapText="1"/>
      <protection locked="0"/>
    </xf>
    <xf numFmtId="0" fontId="9" fillId="2" borderId="112" xfId="0" applyFont="1" applyFill="1" applyBorder="1" applyAlignment="1">
      <alignment horizontal="right" vertical="center"/>
    </xf>
    <xf numFmtId="0" fontId="9" fillId="2" borderId="95" xfId="0" applyFont="1" applyFill="1" applyBorder="1" applyAlignment="1">
      <alignment vertical="center"/>
    </xf>
    <xf numFmtId="193" fontId="9" fillId="2" borderId="95"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193" fontId="17" fillId="2" borderId="110" xfId="0" applyNumberFormat="1" applyFont="1" applyFill="1" applyBorder="1" applyAlignment="1" applyProtection="1">
      <alignment vertical="center"/>
      <protection locked="0"/>
    </xf>
    <xf numFmtId="193" fontId="9" fillId="2" borderId="110" xfId="0" applyNumberFormat="1" applyFont="1" applyFill="1" applyBorder="1" applyAlignment="1" applyProtection="1">
      <alignment vertical="center"/>
      <protection locked="0"/>
    </xf>
    <xf numFmtId="0" fontId="15" fillId="0" borderId="112"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5" xfId="0" applyFont="1" applyFill="1" applyBorder="1" applyAlignment="1">
      <alignment wrapText="1"/>
    </xf>
    <xf numFmtId="0" fontId="4" fillId="3" borderId="116" xfId="0" applyFont="1" applyFill="1" applyBorder="1"/>
    <xf numFmtId="0" fontId="6" fillId="3" borderId="11" xfId="0" applyFont="1" applyFill="1" applyBorder="1" applyAlignment="1">
      <alignment horizontal="center" wrapText="1"/>
    </xf>
    <xf numFmtId="0" fontId="4" fillId="0" borderId="95" xfId="0" applyFont="1" applyBorder="1" applyAlignment="1">
      <alignment horizontal="center"/>
    </xf>
    <xf numFmtId="0" fontId="4" fillId="3" borderId="60"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9" xfId="0" applyFont="1" applyFill="1" applyBorder="1" applyAlignment="1">
      <alignment horizontal="center" vertical="center" wrapText="1"/>
    </xf>
    <xf numFmtId="0" fontId="4" fillId="0" borderId="112" xfId="0" applyFont="1" applyBorder="1"/>
    <xf numFmtId="0" fontId="4" fillId="0" borderId="95" xfId="0" applyFont="1" applyBorder="1" applyAlignment="1">
      <alignment wrapText="1"/>
    </xf>
    <xf numFmtId="164" fontId="4" fillId="0" borderId="95" xfId="7" applyNumberFormat="1" applyFont="1" applyBorder="1"/>
    <xf numFmtId="164" fontId="4" fillId="0" borderId="110" xfId="7" applyNumberFormat="1" applyFont="1" applyBorder="1"/>
    <xf numFmtId="0" fontId="14" fillId="0" borderId="95" xfId="0" applyFont="1" applyBorder="1" applyAlignment="1">
      <alignment horizontal="left" wrapText="1" indent="2"/>
    </xf>
    <xf numFmtId="169" fontId="26" fillId="37" borderId="95" xfId="20" applyBorder="1"/>
    <xf numFmtId="164" fontId="4" fillId="0" borderId="95" xfId="7" applyNumberFormat="1" applyFont="1" applyBorder="1" applyAlignment="1">
      <alignment vertical="center"/>
    </xf>
    <xf numFmtId="0" fontId="6" fillId="0" borderId="112" xfId="0" applyFont="1" applyBorder="1"/>
    <xf numFmtId="0" fontId="6" fillId="0" borderId="95" xfId="0" applyFont="1" applyBorder="1" applyAlignment="1">
      <alignment wrapText="1"/>
    </xf>
    <xf numFmtId="164" fontId="6" fillId="0" borderId="110" xfId="7" applyNumberFormat="1" applyFont="1" applyBorder="1"/>
    <xf numFmtId="0" fontId="3" fillId="3" borderId="6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9" xfId="7" applyNumberFormat="1" applyFont="1" applyFill="1" applyBorder="1"/>
    <xf numFmtId="164" fontId="4" fillId="0" borderId="95" xfId="7" applyNumberFormat="1" applyFont="1" applyFill="1" applyBorder="1"/>
    <xf numFmtId="164" fontId="4" fillId="0" borderId="95" xfId="7" applyNumberFormat="1" applyFont="1" applyFill="1" applyBorder="1" applyAlignment="1">
      <alignment vertical="center"/>
    </xf>
    <xf numFmtId="0" fontId="14" fillId="0" borderId="95"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9" xfId="0" applyFont="1" applyFill="1" applyBorder="1"/>
    <xf numFmtId="0" fontId="6" fillId="0" borderId="22" xfId="0" applyFont="1" applyBorder="1"/>
    <xf numFmtId="0" fontId="6" fillId="0" borderId="23" xfId="0" applyFont="1" applyBorder="1" applyAlignment="1">
      <alignment wrapText="1"/>
    </xf>
    <xf numFmtId="169" fontId="26" fillId="37" borderId="113" xfId="20" applyBorder="1"/>
    <xf numFmtId="10" fontId="6" fillId="0" borderId="24" xfId="20961" applyNumberFormat="1" applyFont="1" applyBorder="1"/>
    <xf numFmtId="0" fontId="9" fillId="2" borderId="103" xfId="0" applyFont="1" applyFill="1" applyBorder="1" applyAlignment="1">
      <alignment horizontal="right" vertical="center"/>
    </xf>
    <xf numFmtId="0" fontId="9" fillId="2" borderId="91" xfId="0" applyFont="1" applyFill="1" applyBorder="1" applyAlignment="1">
      <alignment vertical="center"/>
    </xf>
    <xf numFmtId="193" fontId="9" fillId="2" borderId="91" xfId="0" applyNumberFormat="1" applyFont="1" applyFill="1" applyBorder="1" applyAlignment="1" applyProtection="1">
      <alignment vertical="center"/>
      <protection locked="0"/>
    </xf>
    <xf numFmtId="193" fontId="17" fillId="2" borderId="91" xfId="0" applyNumberFormat="1" applyFont="1" applyFill="1" applyBorder="1" applyAlignment="1" applyProtection="1">
      <alignment vertical="center"/>
      <protection locked="0"/>
    </xf>
    <xf numFmtId="193" fontId="17" fillId="2" borderId="104" xfId="0" applyNumberFormat="1" applyFont="1" applyFill="1" applyBorder="1" applyAlignment="1" applyProtection="1">
      <alignment vertical="center"/>
      <protection locked="0"/>
    </xf>
    <xf numFmtId="0" fontId="9" fillId="0" borderId="95" xfId="0" applyFont="1" applyBorder="1" applyAlignment="1">
      <alignment horizontal="left" vertical="center" wrapText="1"/>
    </xf>
    <xf numFmtId="0" fontId="6" fillId="3" borderId="0" xfId="0" applyFont="1" applyFill="1" applyAlignment="1">
      <alignment horizontal="center"/>
    </xf>
    <xf numFmtId="0" fontId="106" fillId="0" borderId="83" xfId="0" applyFont="1" applyBorder="1" applyAlignment="1">
      <alignment horizontal="left" vertical="center"/>
    </xf>
    <xf numFmtId="0" fontId="106" fillId="0" borderId="81" xfId="0" applyFont="1" applyBorder="1" applyAlignment="1">
      <alignment vertical="center" wrapText="1"/>
    </xf>
    <xf numFmtId="0" fontId="106" fillId="0" borderId="81"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6" xfId="0" applyFont="1" applyBorder="1" applyAlignment="1">
      <alignment horizontal="left" vertical="center" wrapText="1"/>
    </xf>
    <xf numFmtId="0" fontId="125" fillId="0" borderId="0" xfId="0" applyFont="1"/>
    <xf numFmtId="49" fontId="106" fillId="0" borderId="95"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0" xfId="2" applyNumberFormat="1" applyFont="1" applyFill="1" applyBorder="1" applyAlignment="1" applyProtection="1">
      <alignment vertical="top" wrapText="1"/>
      <protection locked="0"/>
    </xf>
    <xf numFmtId="0" fontId="0" fillId="0" borderId="0" xfId="0" applyAlignment="1">
      <alignment horizontal="left" vertical="center"/>
    </xf>
    <xf numFmtId="0" fontId="9" fillId="0" borderId="133" xfId="0" applyFont="1" applyBorder="1" applyAlignment="1">
      <alignment horizontal="center" vertical="center" wrapText="1"/>
    </xf>
    <xf numFmtId="0" fontId="9" fillId="0" borderId="110" xfId="0" applyFont="1" applyBorder="1" applyAlignment="1">
      <alignment horizontal="center" vertical="center" wrapText="1"/>
    </xf>
    <xf numFmtId="0" fontId="0" fillId="0" borderId="133" xfId="0" applyBorder="1" applyAlignment="1">
      <alignment horizontal="center"/>
    </xf>
    <xf numFmtId="0" fontId="15" fillId="83" borderId="133" xfId="0" applyFont="1" applyFill="1" applyBorder="1" applyAlignment="1">
      <alignment vertical="center" wrapText="1"/>
    </xf>
    <xf numFmtId="193" fontId="9" fillId="0" borderId="133" xfId="0" applyNumberFormat="1" applyFont="1" applyBorder="1" applyAlignment="1">
      <alignment horizontal="right"/>
    </xf>
    <xf numFmtId="193" fontId="9" fillId="36" borderId="133" xfId="0" applyNumberFormat="1" applyFont="1" applyFill="1" applyBorder="1" applyAlignment="1">
      <alignment horizontal="right"/>
    </xf>
    <xf numFmtId="193" fontId="9" fillId="36" borderId="110" xfId="0" applyNumberFormat="1" applyFont="1" applyFill="1" applyBorder="1" applyAlignment="1">
      <alignment horizontal="right"/>
    </xf>
    <xf numFmtId="0" fontId="15" fillId="0" borderId="133" xfId="0" applyFont="1" applyBorder="1" applyAlignment="1">
      <alignment vertical="center" wrapText="1"/>
    </xf>
    <xf numFmtId="0" fontId="7" fillId="0" borderId="133" xfId="0" applyFont="1" applyBorder="1" applyAlignment="1">
      <alignment horizontal="left" vertical="center" wrapText="1" indent="1"/>
    </xf>
    <xf numFmtId="0" fontId="3" fillId="0" borderId="133" xfId="0" applyFont="1" applyBorder="1" applyAlignment="1">
      <alignment vertical="center"/>
    </xf>
    <xf numFmtId="0" fontId="136" fillId="0" borderId="133" xfId="0" applyFont="1" applyBorder="1" applyAlignment="1" applyProtection="1">
      <alignment horizontal="left" vertical="center" indent="1"/>
      <protection locked="0"/>
    </xf>
    <xf numFmtId="0" fontId="137" fillId="0" borderId="133" xfId="0" applyFont="1" applyBorder="1" applyAlignment="1" applyProtection="1">
      <alignment horizontal="left" vertical="center" indent="3"/>
      <protection locked="0"/>
    </xf>
    <xf numFmtId="0" fontId="138" fillId="0" borderId="133" xfId="0" applyFont="1" applyBorder="1" applyAlignment="1" applyProtection="1">
      <alignment horizontal="left" vertical="center" indent="3"/>
      <protection locked="0"/>
    </xf>
    <xf numFmtId="0" fontId="3" fillId="0" borderId="133"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3" xfId="0" applyNumberFormat="1" applyFont="1" applyBorder="1" applyAlignment="1">
      <alignment horizontal="right" vertical="center"/>
    </xf>
    <xf numFmtId="167" fontId="22" fillId="0" borderId="55" xfId="0" applyNumberFormat="1" applyFont="1" applyBorder="1" applyAlignment="1">
      <alignment horizontal="center"/>
    </xf>
    <xf numFmtId="167" fontId="18" fillId="0" borderId="57" xfId="0" applyNumberFormat="1" applyFont="1" applyBorder="1" applyAlignment="1">
      <alignment horizontal="center"/>
    </xf>
    <xf numFmtId="0" fontId="120" fillId="0" borderId="133" xfId="0" applyFont="1" applyBorder="1"/>
    <xf numFmtId="49" fontId="122" fillId="0" borderId="133" xfId="5" applyNumberFormat="1" applyFont="1" applyBorder="1" applyAlignment="1" applyProtection="1">
      <alignment horizontal="right" vertical="center"/>
      <protection locked="0"/>
    </xf>
    <xf numFmtId="0" fontId="121" fillId="3" borderId="133" xfId="13" applyFont="1" applyFill="1" applyBorder="1" applyAlignment="1" applyProtection="1">
      <alignment horizontal="left" vertical="center" wrapText="1"/>
      <protection locked="0"/>
    </xf>
    <xf numFmtId="49" fontId="121" fillId="3" borderId="133" xfId="5" applyNumberFormat="1" applyFont="1" applyFill="1" applyBorder="1" applyAlignment="1" applyProtection="1">
      <alignment horizontal="right" vertical="center"/>
      <protection locked="0"/>
    </xf>
    <xf numFmtId="0" fontId="121" fillId="0" borderId="133" xfId="13" applyFont="1" applyBorder="1" applyAlignment="1" applyProtection="1">
      <alignment horizontal="left" vertical="center" wrapText="1"/>
      <protection locked="0"/>
    </xf>
    <xf numFmtId="49" fontId="121" fillId="0" borderId="133" xfId="5" applyNumberFormat="1" applyFont="1" applyBorder="1" applyAlignment="1" applyProtection="1">
      <alignment horizontal="right" vertical="center"/>
      <protection locked="0"/>
    </xf>
    <xf numFmtId="0" fontId="123" fillId="0" borderId="133" xfId="13" applyFont="1" applyBorder="1" applyAlignment="1" applyProtection="1">
      <alignment horizontal="left" vertical="center" wrapText="1"/>
      <protection locked="0"/>
    </xf>
    <xf numFmtId="0" fontId="120" fillId="0" borderId="133" xfId="0" applyFont="1" applyBorder="1" applyAlignment="1">
      <alignment horizontal="center" vertical="center" wrapText="1"/>
    </xf>
    <xf numFmtId="0" fontId="116" fillId="0" borderId="139" xfId="0" applyFont="1" applyBorder="1"/>
    <xf numFmtId="0" fontId="116" fillId="0" borderId="139" xfId="0" applyFont="1" applyBorder="1" applyAlignment="1">
      <alignment horizontal="left" indent="8"/>
    </xf>
    <xf numFmtId="0" fontId="116" fillId="0" borderId="139" xfId="0" applyFont="1" applyBorder="1" applyAlignment="1">
      <alignment wrapText="1"/>
    </xf>
    <xf numFmtId="0" fontId="119" fillId="0" borderId="139" xfId="0" applyFont="1" applyBorder="1"/>
    <xf numFmtId="49" fontId="122" fillId="0" borderId="139" xfId="5" applyNumberFormat="1" applyFont="1" applyBorder="1" applyAlignment="1" applyProtection="1">
      <alignment horizontal="right" vertical="center" wrapText="1"/>
      <protection locked="0"/>
    </xf>
    <xf numFmtId="49" fontId="121" fillId="3" borderId="139" xfId="5" applyNumberFormat="1" applyFont="1" applyFill="1" applyBorder="1" applyAlignment="1" applyProtection="1">
      <alignment horizontal="right" vertical="center" wrapText="1"/>
      <protection locked="0"/>
    </xf>
    <xf numFmtId="49" fontId="121" fillId="0" borderId="139" xfId="5" applyNumberFormat="1" applyFont="1" applyBorder="1" applyAlignment="1" applyProtection="1">
      <alignment horizontal="right" vertical="center" wrapText="1"/>
      <protection locked="0"/>
    </xf>
    <xf numFmtId="0" fontId="116" fillId="0" borderId="139"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139"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39" xfId="0" applyFont="1" applyBorder="1" applyAlignment="1">
      <alignment horizontal="left" vertical="center" wrapText="1"/>
    </xf>
    <xf numFmtId="0" fontId="119" fillId="0" borderId="139" xfId="0" applyFont="1" applyBorder="1" applyAlignment="1">
      <alignment horizontal="left" wrapText="1" indent="1"/>
    </xf>
    <xf numFmtId="0" fontId="119" fillId="0" borderId="139" xfId="0" applyFont="1" applyBorder="1" applyAlignment="1">
      <alignment horizontal="left" vertical="center" indent="1"/>
    </xf>
    <xf numFmtId="0" fontId="116" fillId="0" borderId="139" xfId="0" applyFont="1" applyBorder="1" applyAlignment="1">
      <alignment horizontal="left" wrapText="1" indent="1"/>
    </xf>
    <xf numFmtId="0" fontId="116" fillId="0" borderId="139" xfId="0" applyFont="1" applyBorder="1" applyAlignment="1">
      <alignment horizontal="left" indent="1"/>
    </xf>
    <xf numFmtId="0" fontId="116" fillId="0" borderId="139" xfId="0" applyFont="1" applyBorder="1" applyAlignment="1">
      <alignment horizontal="left" wrapText="1" indent="4"/>
    </xf>
    <xf numFmtId="0" fontId="116" fillId="0" borderId="139" xfId="0" applyFont="1" applyBorder="1" applyAlignment="1">
      <alignment horizontal="left" indent="3"/>
    </xf>
    <xf numFmtId="0" fontId="119" fillId="0" borderId="139" xfId="0" applyFont="1" applyBorder="1" applyAlignment="1">
      <alignment horizontal="left" indent="1"/>
    </xf>
    <xf numFmtId="0" fontId="120" fillId="0" borderId="139" xfId="0" applyFont="1" applyBorder="1" applyAlignment="1">
      <alignment horizontal="center" vertical="center" wrapText="1"/>
    </xf>
    <xf numFmtId="0" fontId="116" fillId="80" borderId="139" xfId="0" applyFont="1" applyFill="1" applyBorder="1"/>
    <xf numFmtId="0" fontId="119" fillId="0" borderId="7" xfId="0" applyFont="1" applyBorder="1"/>
    <xf numFmtId="0" fontId="116" fillId="0" borderId="139" xfId="0" applyFont="1" applyBorder="1" applyAlignment="1">
      <alignment horizontal="left" wrapText="1" indent="2"/>
    </xf>
    <xf numFmtId="0" fontId="116" fillId="0" borderId="139" xfId="0" applyFont="1" applyBorder="1" applyAlignment="1">
      <alignment horizontal="left" wrapText="1"/>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38" xfId="0" applyFont="1" applyBorder="1" applyAlignment="1">
      <alignment horizontal="center" vertical="center" wrapText="1"/>
    </xf>
    <xf numFmtId="0" fontId="116" fillId="0" borderId="141" xfId="0" applyFont="1" applyBorder="1" applyAlignment="1">
      <alignment horizontal="center" vertical="center" wrapText="1"/>
    </xf>
    <xf numFmtId="0" fontId="116" fillId="0" borderId="137" xfId="0" applyFont="1" applyBorder="1" applyAlignment="1">
      <alignment horizontal="center" vertical="center" wrapText="1"/>
    </xf>
    <xf numFmtId="49" fontId="116" fillId="0" borderId="145" xfId="0" applyNumberFormat="1" applyFont="1" applyBorder="1" applyAlignment="1">
      <alignment horizontal="left" wrapText="1" indent="1"/>
    </xf>
    <xf numFmtId="0" fontId="116" fillId="0" borderId="147" xfId="0" applyFont="1" applyBorder="1" applyAlignment="1">
      <alignment horizontal="left" wrapText="1" indent="1"/>
    </xf>
    <xf numFmtId="49" fontId="116" fillId="0" borderId="148" xfId="0" applyNumberFormat="1" applyFont="1" applyBorder="1" applyAlignment="1">
      <alignment horizontal="left" wrapText="1" indent="1"/>
    </xf>
    <xf numFmtId="0" fontId="116" fillId="0" borderId="149" xfId="0" applyFont="1" applyBorder="1" applyAlignment="1">
      <alignment horizontal="left" wrapText="1" indent="1"/>
    </xf>
    <xf numFmtId="49" fontId="116" fillId="0" borderId="149" xfId="0" applyNumberFormat="1" applyFont="1" applyBorder="1" applyAlignment="1">
      <alignment horizontal="left" wrapText="1" indent="3"/>
    </xf>
    <xf numFmtId="49" fontId="116" fillId="0" borderId="148" xfId="0" applyNumberFormat="1" applyFont="1" applyBorder="1" applyAlignment="1">
      <alignment horizontal="left" wrapText="1" indent="3"/>
    </xf>
    <xf numFmtId="49" fontId="116" fillId="0" borderId="149" xfId="0" applyNumberFormat="1" applyFont="1" applyBorder="1" applyAlignment="1">
      <alignment horizontal="left" wrapText="1" indent="2"/>
    </xf>
    <xf numFmtId="49" fontId="116" fillId="0" borderId="148" xfId="0" applyNumberFormat="1" applyFont="1" applyBorder="1" applyAlignment="1">
      <alignment horizontal="left" wrapText="1" indent="2"/>
    </xf>
    <xf numFmtId="49" fontId="116" fillId="0" borderId="148" xfId="0" applyNumberFormat="1" applyFont="1" applyBorder="1" applyAlignment="1">
      <alignment horizontal="left" vertical="top" wrapText="1" indent="2"/>
    </xf>
    <xf numFmtId="49" fontId="116" fillId="0" borderId="148" xfId="0" applyNumberFormat="1" applyFont="1" applyBorder="1" applyAlignment="1">
      <alignment horizontal="left" indent="1"/>
    </xf>
    <xf numFmtId="0" fontId="116" fillId="0" borderId="149" xfId="0" applyFont="1" applyBorder="1" applyAlignment="1">
      <alignment horizontal="left" indent="1"/>
    </xf>
    <xf numFmtId="49" fontId="116" fillId="0" borderId="149" xfId="0" applyNumberFormat="1" applyFont="1" applyBorder="1" applyAlignment="1">
      <alignment horizontal="left" indent="1"/>
    </xf>
    <xf numFmtId="49" fontId="116" fillId="0" borderId="149" xfId="0" applyNumberFormat="1" applyFont="1" applyBorder="1" applyAlignment="1">
      <alignment horizontal="left" indent="3"/>
    </xf>
    <xf numFmtId="49" fontId="116" fillId="0" borderId="148" xfId="0" applyNumberFormat="1" applyFont="1" applyBorder="1" applyAlignment="1">
      <alignment horizontal="left" indent="3"/>
    </xf>
    <xf numFmtId="0" fontId="116" fillId="0" borderId="149" xfId="0" applyFont="1" applyBorder="1" applyAlignment="1">
      <alignment horizontal="left" indent="2"/>
    </xf>
    <xf numFmtId="0" fontId="116" fillId="0" borderId="148" xfId="0" applyFont="1" applyBorder="1" applyAlignment="1">
      <alignment horizontal="left" indent="2"/>
    </xf>
    <xf numFmtId="0" fontId="116" fillId="0" borderId="148" xfId="0" applyFont="1" applyBorder="1" applyAlignment="1">
      <alignment horizontal="left" indent="1"/>
    </xf>
    <xf numFmtId="0" fontId="119" fillId="0" borderId="66" xfId="0" applyFont="1" applyBorder="1"/>
    <xf numFmtId="0" fontId="119" fillId="0" borderId="61" xfId="0" applyFont="1" applyBorder="1"/>
    <xf numFmtId="0" fontId="116" fillId="0" borderId="0" xfId="0" applyFont="1" applyAlignment="1">
      <alignment horizontal="left"/>
    </xf>
    <xf numFmtId="0" fontId="9" fillId="0" borderId="0" xfId="0" applyFont="1" applyAlignment="1">
      <alignment wrapText="1"/>
    </xf>
    <xf numFmtId="0" fontId="119" fillId="0" borderId="139"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1" xfId="0" applyFont="1" applyBorder="1" applyAlignment="1">
      <alignment horizontal="left" vertical="center" wrapText="1" indent="1" readingOrder="1"/>
    </xf>
    <xf numFmtId="0" fontId="121" fillId="0" borderId="139" xfId="0" applyFont="1" applyBorder="1" applyAlignment="1">
      <alignment horizontal="left" indent="3"/>
    </xf>
    <xf numFmtId="0" fontId="119" fillId="0" borderId="139" xfId="0" applyFont="1" applyBorder="1" applyAlignment="1">
      <alignment vertical="center" wrapText="1" readingOrder="1"/>
    </xf>
    <xf numFmtId="0" fontId="121" fillId="0" borderId="139" xfId="0" applyFont="1" applyBorder="1" applyAlignment="1">
      <alignment horizontal="left" indent="2"/>
    </xf>
    <xf numFmtId="0" fontId="116" fillId="0" borderId="132" xfId="0" applyFont="1" applyBorder="1" applyAlignment="1">
      <alignment vertical="center" wrapText="1" readingOrder="1"/>
    </xf>
    <xf numFmtId="0" fontId="121" fillId="0" borderId="140" xfId="0" applyFont="1" applyBorder="1" applyAlignment="1">
      <alignment horizontal="left" indent="2"/>
    </xf>
    <xf numFmtId="0" fontId="116" fillId="0" borderId="131" xfId="0" applyFont="1" applyBorder="1" applyAlignment="1">
      <alignment vertical="center" wrapText="1" readingOrder="1"/>
    </xf>
    <xf numFmtId="0" fontId="116" fillId="0" borderId="130" xfId="0" applyFont="1" applyBorder="1" applyAlignment="1">
      <alignment vertical="center" wrapText="1" readingOrder="1"/>
    </xf>
    <xf numFmtId="0" fontId="139" fillId="0" borderId="7" xfId="0" applyFont="1" applyBorder="1"/>
    <xf numFmtId="0" fontId="106" fillId="0" borderId="139" xfId="0" applyFont="1" applyBorder="1" applyAlignment="1">
      <alignment vertical="center" wrapText="1"/>
    </xf>
    <xf numFmtId="0" fontId="106" fillId="0" borderId="139" xfId="0" applyFont="1" applyBorder="1" applyAlignment="1">
      <alignment horizontal="left" vertical="center" wrapText="1"/>
    </xf>
    <xf numFmtId="0" fontId="106" fillId="0" borderId="139" xfId="0" applyFont="1" applyBorder="1" applyAlignment="1">
      <alignment horizontal="left" indent="2"/>
    </xf>
    <xf numFmtId="0" fontId="106" fillId="0" borderId="139" xfId="0" applyFont="1" applyBorder="1" applyAlignment="1">
      <alignment horizontal="left" vertical="center" indent="1"/>
    </xf>
    <xf numFmtId="0" fontId="106" fillId="0" borderId="139" xfId="0" applyFont="1" applyBorder="1" applyAlignment="1">
      <alignment horizontal="left" vertical="center" wrapText="1" indent="1"/>
    </xf>
    <xf numFmtId="0" fontId="106" fillId="0" borderId="139" xfId="0" applyFont="1" applyBorder="1" applyAlignment="1">
      <alignment horizontal="right" vertical="center"/>
    </xf>
    <xf numFmtId="49" fontId="106" fillId="0" borderId="139" xfId="0" applyNumberFormat="1" applyFont="1" applyBorder="1" applyAlignment="1">
      <alignment horizontal="right" vertical="center"/>
    </xf>
    <xf numFmtId="0" fontId="106" fillId="0" borderId="140" xfId="0" applyFont="1" applyBorder="1" applyAlignment="1">
      <alignment horizontal="left" vertical="top" wrapText="1"/>
    </xf>
    <xf numFmtId="49" fontId="106" fillId="0" borderId="139" xfId="0" applyNumberFormat="1" applyFont="1" applyBorder="1" applyAlignment="1">
      <alignment vertical="top" wrapText="1"/>
    </xf>
    <xf numFmtId="49" fontId="106" fillId="0" borderId="139" xfId="0" applyNumberFormat="1" applyFont="1" applyBorder="1" applyAlignment="1">
      <alignment horizontal="left" vertical="top" wrapText="1" indent="2"/>
    </xf>
    <xf numFmtId="49" fontId="106" fillId="0" borderId="139" xfId="0" applyNumberFormat="1" applyFont="1" applyBorder="1" applyAlignment="1">
      <alignment horizontal="left" vertical="center" wrapText="1" indent="3"/>
    </xf>
    <xf numFmtId="49" fontId="106" fillId="0" borderId="139" xfId="0" applyNumberFormat="1" applyFont="1" applyBorder="1" applyAlignment="1">
      <alignment horizontal="left" wrapText="1" indent="2"/>
    </xf>
    <xf numFmtId="49" fontId="106" fillId="0" borderId="139" xfId="0" applyNumberFormat="1" applyFont="1" applyBorder="1" applyAlignment="1">
      <alignment horizontal="left" vertical="top" wrapText="1"/>
    </xf>
    <xf numFmtId="49" fontId="106" fillId="0" borderId="139" xfId="0" applyNumberFormat="1" applyFont="1" applyBorder="1" applyAlignment="1">
      <alignment horizontal="left" wrapText="1" indent="3"/>
    </xf>
    <xf numFmtId="49" fontId="106" fillId="0" borderId="139" xfId="0" applyNumberFormat="1" applyFont="1" applyBorder="1" applyAlignment="1">
      <alignment vertical="center"/>
    </xf>
    <xf numFmtId="49" fontId="106" fillId="0" borderId="139" xfId="0" applyNumberFormat="1" applyFont="1" applyBorder="1" applyAlignment="1">
      <alignment horizontal="left" indent="3"/>
    </xf>
    <xf numFmtId="0" fontId="106" fillId="0" borderId="139" xfId="0" applyFont="1" applyBorder="1" applyAlignment="1">
      <alignment horizontal="left" indent="1"/>
    </xf>
    <xf numFmtId="0" fontId="106" fillId="0" borderId="139" xfId="0" applyFont="1" applyBorder="1" applyAlignment="1">
      <alignment horizontal="left" wrapText="1" indent="2"/>
    </xf>
    <xf numFmtId="0" fontId="106" fillId="0" borderId="139" xfId="0" applyFont="1" applyBorder="1" applyAlignment="1">
      <alignment horizontal="left" vertical="top" wrapText="1"/>
    </xf>
    <xf numFmtId="0" fontId="105" fillId="0" borderId="7" xfId="0" applyFont="1" applyBorder="1" applyAlignment="1">
      <alignment wrapText="1"/>
    </xf>
    <xf numFmtId="0" fontId="106" fillId="0" borderId="139" xfId="0" applyFont="1" applyBorder="1" applyAlignment="1">
      <alignment horizontal="left" vertical="top" wrapText="1" indent="2"/>
    </xf>
    <xf numFmtId="0" fontId="106" fillId="0" borderId="139" xfId="0" applyFont="1" applyBorder="1" applyAlignment="1">
      <alignment horizontal="left" wrapText="1"/>
    </xf>
    <xf numFmtId="0" fontId="106" fillId="0" borderId="139" xfId="12672" applyFont="1" applyBorder="1" applyAlignment="1">
      <alignment horizontal="left" vertical="center" wrapText="1" indent="2"/>
    </xf>
    <xf numFmtId="0" fontId="106" fillId="0" borderId="139" xfId="0" applyFont="1" applyBorder="1" applyAlignment="1">
      <alignment wrapText="1"/>
    </xf>
    <xf numFmtId="0" fontId="106" fillId="0" borderId="139" xfId="0" applyFont="1" applyBorder="1"/>
    <xf numFmtId="0" fontId="106" fillId="0" borderId="139" xfId="12672" applyFont="1" applyBorder="1" applyAlignment="1">
      <alignment horizontal="left" vertical="center" wrapText="1"/>
    </xf>
    <xf numFmtId="0" fontId="105" fillId="0" borderId="139" xfId="0" applyFont="1" applyBorder="1" applyAlignment="1">
      <alignment wrapText="1"/>
    </xf>
    <xf numFmtId="0" fontId="106" fillId="0" borderId="141" xfId="0" applyFont="1" applyBorder="1" applyAlignment="1">
      <alignment horizontal="left" vertical="center" wrapText="1"/>
    </xf>
    <xf numFmtId="0" fontId="106" fillId="3" borderId="139" xfId="5" applyFont="1" applyFill="1" applyBorder="1" applyAlignment="1" applyProtection="1">
      <alignment horizontal="right" vertical="center"/>
      <protection locked="0"/>
    </xf>
    <xf numFmtId="2" fontId="106" fillId="3" borderId="139" xfId="5" applyNumberFormat="1" applyFont="1" applyFill="1" applyBorder="1" applyAlignment="1" applyProtection="1">
      <alignment horizontal="right" vertical="center"/>
      <protection locked="0"/>
    </xf>
    <xf numFmtId="0" fontId="106" fillId="0" borderId="139" xfId="0" applyFont="1" applyBorder="1" applyAlignment="1">
      <alignment vertical="center"/>
    </xf>
    <xf numFmtId="0" fontId="106" fillId="0" borderId="141" xfId="13" applyFont="1" applyBorder="1" applyAlignment="1" applyProtection="1">
      <alignment horizontal="left" vertical="top" wrapText="1"/>
      <protection locked="0"/>
    </xf>
    <xf numFmtId="0" fontId="106" fillId="0" borderId="142" xfId="13" applyFont="1" applyBorder="1" applyAlignment="1" applyProtection="1">
      <alignment horizontal="left" vertical="top" wrapText="1"/>
      <protection locked="0"/>
    </xf>
    <xf numFmtId="0" fontId="106" fillId="0" borderId="140"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0" xfId="0" applyFont="1" applyBorder="1" applyAlignment="1">
      <alignment horizontal="left" indent="2"/>
    </xf>
    <xf numFmtId="0" fontId="106" fillId="0" borderId="132" xfId="0" applyFont="1" applyBorder="1" applyAlignment="1">
      <alignment horizontal="left" vertical="center" wrapText="1" readingOrder="1"/>
    </xf>
    <xf numFmtId="0" fontId="106" fillId="0" borderId="139" xfId="0" applyFont="1" applyBorder="1" applyAlignment="1">
      <alignment horizontal="left" vertical="center" wrapText="1" readingOrder="1"/>
    </xf>
    <xf numFmtId="167" fontId="19" fillId="85" borderId="56"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0" xfId="20" applyBorder="1"/>
    <xf numFmtId="193" fontId="4" fillId="0" borderId="149" xfId="0" applyNumberFormat="1" applyFont="1" applyBorder="1" applyAlignment="1" applyProtection="1">
      <alignment vertical="center" wrapText="1"/>
      <protection locked="0"/>
    </xf>
    <xf numFmtId="193" fontId="17" fillId="2" borderId="103" xfId="0" applyNumberFormat="1" applyFont="1" applyFill="1" applyBorder="1" applyAlignment="1" applyProtection="1">
      <alignment vertical="center"/>
      <protection locked="0"/>
    </xf>
    <xf numFmtId="193" fontId="17" fillId="2" borderId="140" xfId="0" applyNumberFormat="1" applyFont="1" applyFill="1" applyBorder="1" applyAlignment="1" applyProtection="1">
      <alignment vertical="center"/>
      <protection locked="0"/>
    </xf>
    <xf numFmtId="0" fontId="11" fillId="0" borderId="95" xfId="17" applyFill="1" applyBorder="1" applyAlignment="1" applyProtection="1">
      <alignment horizontal="left" vertical="top" wrapText="1"/>
    </xf>
    <xf numFmtId="0" fontId="7" fillId="83" borderId="139"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165" fontId="17" fillId="2" borderId="95" xfId="20961" applyNumberFormat="1" applyFont="1" applyFill="1" applyBorder="1" applyAlignment="1" applyProtection="1">
      <alignment vertical="center"/>
      <protection locked="0"/>
    </xf>
    <xf numFmtId="165" fontId="17" fillId="2" borderId="110" xfId="20961" applyNumberFormat="1" applyFont="1" applyFill="1" applyBorder="1" applyAlignment="1" applyProtection="1">
      <alignment vertical="center"/>
      <protection locked="0"/>
    </xf>
    <xf numFmtId="165" fontId="4" fillId="0" borderId="95" xfId="20961" applyNumberFormat="1" applyFont="1" applyBorder="1" applyAlignment="1" applyProtection="1">
      <alignment vertical="center" wrapText="1"/>
      <protection locked="0"/>
    </xf>
    <xf numFmtId="165" fontId="4" fillId="0" borderId="110" xfId="20961" applyNumberFormat="1" applyFont="1" applyBorder="1" applyAlignment="1" applyProtection="1">
      <alignment vertical="center" wrapText="1"/>
      <protection locked="0"/>
    </xf>
    <xf numFmtId="165" fontId="26" fillId="37" borderId="0" xfId="20" applyNumberFormat="1"/>
    <xf numFmtId="165" fontId="26" fillId="37" borderId="89" xfId="20" applyNumberFormat="1" applyBorder="1"/>
    <xf numFmtId="165" fontId="9" fillId="2" borderId="95" xfId="20961" applyNumberFormat="1" applyFont="1" applyFill="1" applyBorder="1" applyAlignment="1" applyProtection="1">
      <alignment vertical="center"/>
      <protection locked="0"/>
    </xf>
    <xf numFmtId="165" fontId="9" fillId="2" borderId="110"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17" fillId="2" borderId="24" xfId="20961" applyNumberFormat="1" applyFont="1" applyFill="1" applyBorder="1" applyAlignment="1" applyProtection="1">
      <alignment vertical="center"/>
      <protection locked="0"/>
    </xf>
    <xf numFmtId="0" fontId="131" fillId="3" borderId="139" xfId="21414" applyFont="1" applyFill="1" applyBorder="1" applyAlignment="1">
      <alignment horizontal="left" vertical="center" wrapText="1" indent="1"/>
    </xf>
    <xf numFmtId="0" fontId="130" fillId="0" borderId="139" xfId="0" applyFont="1" applyBorder="1" applyAlignment="1">
      <alignment horizontal="left" vertical="center" wrapText="1"/>
    </xf>
    <xf numFmtId="0" fontId="132" fillId="0" borderId="139" xfId="0" applyFont="1" applyBorder="1" applyAlignment="1">
      <alignment horizontal="left" vertical="center" wrapText="1"/>
    </xf>
    <xf numFmtId="0" fontId="133" fillId="3" borderId="139" xfId="0" applyFont="1" applyFill="1" applyBorder="1" applyAlignment="1">
      <alignment horizontal="left" vertical="center" wrapText="1" indent="1"/>
    </xf>
    <xf numFmtId="0" fontId="132" fillId="3" borderId="139" xfId="0" applyFont="1" applyFill="1" applyBorder="1" applyAlignment="1">
      <alignment horizontal="left" vertical="center" wrapText="1"/>
    </xf>
    <xf numFmtId="0" fontId="133" fillId="0" borderId="139" xfId="0" applyFont="1" applyBorder="1" applyAlignment="1">
      <alignment horizontal="left" vertical="center" wrapText="1" indent="1"/>
    </xf>
    <xf numFmtId="0" fontId="133" fillId="0" borderId="139" xfId="21414" applyFont="1" applyBorder="1" applyAlignment="1">
      <alignment horizontal="left" vertical="center" wrapText="1" indent="1"/>
    </xf>
    <xf numFmtId="0" fontId="132" fillId="0" borderId="139" xfId="21414" applyFont="1" applyBorder="1" applyAlignment="1">
      <alignment horizontal="left" vertical="center" wrapText="1"/>
    </xf>
    <xf numFmtId="0" fontId="134" fillId="0" borderId="139" xfId="21414" applyFont="1" applyBorder="1" applyAlignment="1">
      <alignment horizontal="center" vertical="center" wrapText="1"/>
    </xf>
    <xf numFmtId="0" fontId="131" fillId="3" borderId="139" xfId="0" applyFont="1" applyFill="1" applyBorder="1" applyAlignment="1">
      <alignment horizontal="left" vertical="center" wrapText="1" indent="1"/>
    </xf>
    <xf numFmtId="0" fontId="131" fillId="0" borderId="139" xfId="21414" applyFont="1" applyBorder="1" applyAlignment="1">
      <alignment horizontal="left" vertical="center" wrapText="1" indent="1"/>
    </xf>
    <xf numFmtId="0" fontId="131" fillId="0" borderId="139" xfId="0" applyFont="1" applyBorder="1" applyAlignment="1">
      <alignment horizontal="left" vertical="center" wrapText="1" indent="1"/>
    </xf>
    <xf numFmtId="0" fontId="132" fillId="3" borderId="139" xfId="21414" applyFont="1" applyFill="1" applyBorder="1" applyAlignment="1">
      <alignment horizontal="left" vertical="center" wrapText="1"/>
    </xf>
    <xf numFmtId="164" fontId="4" fillId="0" borderId="139" xfId="7" applyNumberFormat="1" applyFont="1" applyBorder="1" applyAlignment="1" applyProtection="1">
      <alignment vertical="center" wrapText="1"/>
      <protection locked="0"/>
    </xf>
    <xf numFmtId="164" fontId="4" fillId="0" borderId="148" xfId="7" applyNumberFormat="1" applyFont="1" applyBorder="1" applyAlignment="1" applyProtection="1">
      <alignment vertical="center" wrapText="1"/>
      <protection locked="0"/>
    </xf>
    <xf numFmtId="165" fontId="4" fillId="0" borderId="139" xfId="20961" applyNumberFormat="1" applyFont="1" applyBorder="1" applyAlignment="1" applyProtection="1">
      <alignment vertical="center" wrapText="1"/>
      <protection locked="0"/>
    </xf>
    <xf numFmtId="165" fontId="4" fillId="0" borderId="148" xfId="20961" applyNumberFormat="1" applyFont="1" applyBorder="1" applyAlignment="1" applyProtection="1">
      <alignment vertical="center" wrapText="1"/>
      <protection locked="0"/>
    </xf>
    <xf numFmtId="165" fontId="17" fillId="2" borderId="139" xfId="20961" applyNumberFormat="1" applyFont="1" applyFill="1" applyBorder="1" applyAlignment="1" applyProtection="1">
      <alignment vertical="center"/>
      <protection locked="0"/>
    </xf>
    <xf numFmtId="165" fontId="17" fillId="2" borderId="148" xfId="20961" applyNumberFormat="1" applyFont="1" applyFill="1" applyBorder="1" applyAlignment="1" applyProtection="1">
      <alignment vertical="center"/>
      <protection locked="0"/>
    </xf>
    <xf numFmtId="165" fontId="9" fillId="2" borderId="139" xfId="20961" applyNumberFormat="1" applyFont="1" applyFill="1" applyBorder="1" applyAlignment="1" applyProtection="1">
      <alignment vertical="center"/>
      <protection locked="0"/>
    </xf>
    <xf numFmtId="165" fontId="9" fillId="2" borderId="148" xfId="20961" applyNumberFormat="1" applyFont="1" applyFill="1" applyBorder="1" applyAlignment="1" applyProtection="1">
      <alignment vertical="center"/>
      <protection locked="0"/>
    </xf>
    <xf numFmtId="164" fontId="9" fillId="2" borderId="139" xfId="7" applyNumberFormat="1" applyFont="1" applyFill="1" applyBorder="1" applyAlignment="1" applyProtection="1">
      <alignment vertical="center"/>
      <protection locked="0"/>
    </xf>
    <xf numFmtId="164" fontId="9" fillId="2" borderId="148" xfId="7" applyNumberFormat="1" applyFont="1" applyFill="1" applyBorder="1" applyAlignment="1" applyProtection="1">
      <alignment vertical="center"/>
      <protection locked="0"/>
    </xf>
    <xf numFmtId="164" fontId="17" fillId="2" borderId="139" xfId="7" applyNumberFormat="1" applyFont="1" applyFill="1" applyBorder="1" applyAlignment="1" applyProtection="1">
      <alignment vertical="center"/>
      <protection locked="0"/>
    </xf>
    <xf numFmtId="164" fontId="17" fillId="2" borderId="148" xfId="7" applyNumberFormat="1" applyFont="1" applyFill="1" applyBorder="1" applyAlignment="1" applyProtection="1">
      <alignment vertical="center"/>
      <protection locked="0"/>
    </xf>
    <xf numFmtId="9" fontId="17" fillId="2" borderId="146" xfId="20961" applyFont="1" applyFill="1" applyBorder="1" applyAlignment="1" applyProtection="1">
      <alignment vertical="center"/>
      <protection locked="0"/>
    </xf>
    <xf numFmtId="9" fontId="17" fillId="2" borderId="145" xfId="20961" applyFont="1" applyFill="1" applyBorder="1" applyAlignment="1" applyProtection="1">
      <alignment vertical="center"/>
      <protection locked="0"/>
    </xf>
    <xf numFmtId="0" fontId="132" fillId="0" borderId="139" xfId="0" applyFont="1" applyBorder="1" applyAlignment="1">
      <alignment horizontal="justify" vertical="center" wrapText="1"/>
    </xf>
    <xf numFmtId="0" fontId="130" fillId="0" borderId="139" xfId="0" applyFont="1" applyBorder="1" applyAlignment="1">
      <alignment horizontal="justify" vertical="center" wrapText="1"/>
    </xf>
    <xf numFmtId="0" fontId="132" fillId="3" borderId="139" xfId="0" applyFont="1" applyFill="1" applyBorder="1" applyAlignment="1">
      <alignment horizontal="justify" vertical="center" wrapText="1"/>
    </xf>
    <xf numFmtId="0" fontId="132" fillId="0" borderId="139" xfId="21414" applyFont="1" applyBorder="1" applyAlignment="1">
      <alignment horizontal="justify" vertical="center" wrapText="1"/>
    </xf>
    <xf numFmtId="0" fontId="130" fillId="0" borderId="139" xfId="0" applyFont="1" applyBorder="1" applyAlignment="1">
      <alignment vertical="center" wrapText="1"/>
    </xf>
    <xf numFmtId="0" fontId="132" fillId="0" borderId="139" xfId="0" applyFont="1" applyBorder="1" applyAlignment="1">
      <alignment vertical="center" wrapText="1"/>
    </xf>
    <xf numFmtId="0" fontId="132" fillId="0" borderId="139" xfId="21414" applyFont="1" applyBorder="1" applyAlignment="1">
      <alignment vertical="center" wrapText="1"/>
    </xf>
    <xf numFmtId="0" fontId="0" fillId="0" borderId="149" xfId="0" applyBorder="1"/>
    <xf numFmtId="0" fontId="0" fillId="0" borderId="149" xfId="0" applyBorder="1" applyAlignment="1">
      <alignment horizontal="center" vertical="center"/>
    </xf>
    <xf numFmtId="0" fontId="130" fillId="3" borderId="139" xfId="21414" applyFont="1" applyFill="1" applyBorder="1" applyAlignment="1">
      <alignment horizontal="left" vertical="center" wrapText="1"/>
    </xf>
    <xf numFmtId="43" fontId="4" fillId="0" borderId="139" xfId="7" applyFont="1" applyFill="1" applyBorder="1" applyAlignment="1">
      <alignment vertical="center" wrapText="1"/>
    </xf>
    <xf numFmtId="43" fontId="4" fillId="0" borderId="148" xfId="7" applyFont="1" applyFill="1" applyBorder="1" applyAlignment="1">
      <alignment vertical="center" wrapText="1"/>
    </xf>
    <xf numFmtId="43" fontId="4" fillId="0" borderId="139" xfId="7" applyFont="1" applyBorder="1" applyAlignment="1">
      <alignment vertical="center"/>
    </xf>
    <xf numFmtId="43" fontId="4" fillId="0" borderId="148" xfId="7" applyFont="1" applyBorder="1" applyAlignment="1">
      <alignment vertical="center"/>
    </xf>
    <xf numFmtId="0" fontId="0" fillId="0" borderId="147" xfId="0" applyBorder="1"/>
    <xf numFmtId="167" fontId="6" fillId="36" borderId="146" xfId="0" applyNumberFormat="1" applyFont="1" applyFill="1" applyBorder="1" applyAlignment="1">
      <alignment horizontal="center" vertical="center"/>
    </xf>
    <xf numFmtId="167" fontId="6" fillId="36" borderId="145" xfId="0" applyNumberFormat="1" applyFont="1" applyFill="1" applyBorder="1" applyAlignment="1">
      <alignment horizontal="center" vertical="center"/>
    </xf>
    <xf numFmtId="0" fontId="9" fillId="0" borderId="139" xfId="0" applyFont="1" applyBorder="1" applyAlignment="1">
      <alignment horizontal="center" vertical="center" wrapText="1"/>
    </xf>
    <xf numFmtId="0" fontId="9" fillId="0" borderId="148" xfId="0" applyFont="1" applyBorder="1" applyAlignment="1">
      <alignment horizontal="center" vertical="center" wrapText="1"/>
    </xf>
    <xf numFmtId="0" fontId="3" fillId="0" borderId="139" xfId="0" applyFont="1" applyBorder="1" applyAlignment="1">
      <alignment horizontal="center" vertical="center"/>
    </xf>
    <xf numFmtId="0" fontId="0" fillId="0" borderId="149" xfId="0" applyBorder="1" applyAlignment="1">
      <alignment horizontal="center"/>
    </xf>
    <xf numFmtId="164" fontId="0" fillId="0" borderId="139" xfId="7" applyNumberFormat="1" applyFont="1" applyBorder="1"/>
    <xf numFmtId="164" fontId="0" fillId="36" borderId="139" xfId="7" applyNumberFormat="1" applyFont="1" applyFill="1" applyBorder="1"/>
    <xf numFmtId="164" fontId="0" fillId="36" borderId="148" xfId="7" applyNumberFormat="1" applyFont="1" applyFill="1" applyBorder="1"/>
    <xf numFmtId="164" fontId="0" fillId="0" borderId="139" xfId="7" applyNumberFormat="1" applyFont="1" applyBorder="1" applyAlignment="1">
      <alignment vertical="center"/>
    </xf>
    <xf numFmtId="164" fontId="0" fillId="36" borderId="139" xfId="7" applyNumberFormat="1" applyFont="1" applyFill="1" applyBorder="1" applyAlignment="1">
      <alignment vertical="center"/>
    </xf>
    <xf numFmtId="164" fontId="0" fillId="36" borderId="148" xfId="7" applyNumberFormat="1" applyFont="1" applyFill="1" applyBorder="1" applyAlignment="1">
      <alignment vertical="center"/>
    </xf>
    <xf numFmtId="0" fontId="135" fillId="0" borderId="139" xfId="0" applyFont="1" applyBorder="1" applyAlignment="1">
      <alignment horizontal="left"/>
    </xf>
    <xf numFmtId="0" fontId="0" fillId="0" borderId="147" xfId="0" applyBorder="1" applyAlignment="1">
      <alignment horizontal="center"/>
    </xf>
    <xf numFmtId="0" fontId="132" fillId="0" borderId="146" xfId="0" applyFont="1" applyBorder="1" applyAlignment="1">
      <alignment horizontal="left" vertical="center" wrapText="1"/>
    </xf>
    <xf numFmtId="164" fontId="0" fillId="0" borderId="146" xfId="7" applyNumberFormat="1" applyFont="1" applyBorder="1"/>
    <xf numFmtId="164" fontId="0" fillId="36" borderId="146" xfId="7" applyNumberFormat="1" applyFont="1" applyFill="1" applyBorder="1"/>
    <xf numFmtId="164" fontId="0" fillId="36" borderId="145" xfId="7" applyNumberFormat="1" applyFont="1" applyFill="1" applyBorder="1"/>
    <xf numFmtId="0" fontId="0" fillId="0" borderId="147" xfId="0" applyBorder="1" applyAlignment="1">
      <alignment horizontal="center" vertical="center"/>
    </xf>
    <xf numFmtId="0" fontId="132" fillId="0" borderId="146" xfId="21414" applyFont="1" applyBorder="1" applyAlignment="1">
      <alignment vertical="center" wrapText="1"/>
    </xf>
    <xf numFmtId="43" fontId="4" fillId="0" borderId="0" xfId="0" applyNumberFormat="1" applyFont="1"/>
    <xf numFmtId="164" fontId="4" fillId="0" borderId="110" xfId="7" applyNumberFormat="1" applyFont="1" applyBorder="1" applyAlignment="1">
      <alignment horizontal="right" vertical="center" wrapText="1"/>
    </xf>
    <xf numFmtId="164" fontId="109" fillId="0" borderId="110" xfId="7" applyNumberFormat="1" applyFont="1" applyBorder="1" applyAlignment="1">
      <alignment horizontal="right" vertical="center" wrapText="1"/>
    </xf>
    <xf numFmtId="164" fontId="7" fillId="0" borderId="24" xfId="7" applyNumberFormat="1" applyFont="1" applyFill="1" applyBorder="1" applyAlignment="1" applyProtection="1">
      <alignment horizontal="right" vertical="center"/>
    </xf>
    <xf numFmtId="167" fontId="23" fillId="0" borderId="155" xfId="0" applyNumberFormat="1" applyFont="1" applyBorder="1" applyAlignment="1">
      <alignment horizontal="center"/>
    </xf>
    <xf numFmtId="0" fontId="0" fillId="0" borderId="103" xfId="0" applyBorder="1" applyAlignment="1">
      <alignment horizontal="center"/>
    </xf>
    <xf numFmtId="167" fontId="23" fillId="0" borderId="148" xfId="0" applyNumberFormat="1" applyFont="1" applyBorder="1" applyAlignment="1">
      <alignment horizontal="center"/>
    </xf>
    <xf numFmtId="0" fontId="23" fillId="0" borderId="148" xfId="0" applyFont="1" applyBorder="1"/>
    <xf numFmtId="0" fontId="23" fillId="0" borderId="145" xfId="0" applyFont="1" applyBorder="1"/>
    <xf numFmtId="164" fontId="4" fillId="0" borderId="58" xfId="7" applyNumberFormat="1" applyFont="1" applyBorder="1" applyAlignment="1">
      <alignment horizontal="center" vertical="center" wrapText="1"/>
    </xf>
    <xf numFmtId="164" fontId="22" fillId="0" borderId="154" xfId="7" applyNumberFormat="1" applyFont="1" applyBorder="1" applyAlignment="1">
      <alignment horizontal="center" vertical="center"/>
    </xf>
    <xf numFmtId="164" fontId="23" fillId="0" borderId="12" xfId="7" applyNumberFormat="1" applyFont="1" applyBorder="1" applyAlignment="1">
      <alignment horizontal="center" vertical="center"/>
    </xf>
    <xf numFmtId="164" fontId="22" fillId="0" borderId="12" xfId="7" applyNumberFormat="1" applyFont="1" applyBorder="1" applyAlignment="1">
      <alignment horizontal="center" vertical="center"/>
    </xf>
    <xf numFmtId="164" fontId="19" fillId="0" borderId="12" xfId="7" applyNumberFormat="1" applyFont="1" applyBorder="1" applyAlignment="1">
      <alignment horizontal="center" vertical="center"/>
    </xf>
    <xf numFmtId="164" fontId="104" fillId="0" borderId="12" xfId="7" applyNumberFormat="1" applyFont="1" applyBorder="1" applyAlignment="1">
      <alignment horizontal="center" vertical="center"/>
    </xf>
    <xf numFmtId="164" fontId="23" fillId="0" borderId="13" xfId="7" applyNumberFormat="1" applyFont="1" applyBorder="1" applyAlignment="1">
      <alignment horizontal="center" vertical="center"/>
    </xf>
    <xf numFmtId="164" fontId="22" fillId="0" borderId="14" xfId="7" applyNumberFormat="1" applyFont="1" applyBorder="1" applyAlignment="1">
      <alignment horizontal="center" vertical="center"/>
    </xf>
    <xf numFmtId="164" fontId="22" fillId="0" borderId="15" xfId="7" applyNumberFormat="1" applyFont="1" applyBorder="1" applyAlignment="1">
      <alignment horizontal="center" vertical="center"/>
    </xf>
    <xf numFmtId="164" fontId="22" fillId="0" borderId="13" xfId="7" applyNumberFormat="1" applyFont="1" applyBorder="1" applyAlignment="1">
      <alignment horizontal="center" vertical="center"/>
    </xf>
    <xf numFmtId="164" fontId="23" fillId="0" borderId="139" xfId="7" applyNumberFormat="1" applyFont="1" applyBorder="1" applyAlignment="1">
      <alignment horizontal="center" vertical="center"/>
    </xf>
    <xf numFmtId="164" fontId="22" fillId="0" borderId="139" xfId="7" applyNumberFormat="1" applyFont="1" applyBorder="1" applyAlignment="1">
      <alignment horizontal="center" vertical="center"/>
    </xf>
    <xf numFmtId="164" fontId="22" fillId="0" borderId="146" xfId="7" applyNumberFormat="1" applyFont="1" applyBorder="1" applyAlignment="1">
      <alignment horizontal="center" vertical="center"/>
    </xf>
    <xf numFmtId="164" fontId="19" fillId="0" borderId="13" xfId="7" applyNumberFormat="1" applyFont="1" applyBorder="1" applyAlignment="1">
      <alignment horizontal="center" vertical="center"/>
    </xf>
    <xf numFmtId="164" fontId="23" fillId="0" borderId="0" xfId="7" applyNumberFormat="1" applyFont="1" applyAlignment="1">
      <alignment horizontal="center" vertical="center"/>
    </xf>
    <xf numFmtId="164" fontId="9" fillId="0" borderId="0" xfId="7" applyNumberFormat="1" applyFont="1" applyAlignment="1">
      <alignment horizontal="center" vertical="center"/>
    </xf>
    <xf numFmtId="164" fontId="4" fillId="0" borderId="3" xfId="7" applyNumberFormat="1" applyFont="1" applyBorder="1"/>
    <xf numFmtId="164" fontId="4" fillId="0" borderId="8" xfId="7" applyNumberFormat="1" applyFont="1" applyBorder="1"/>
    <xf numFmtId="164" fontId="4" fillId="0" borderId="20" xfId="7" applyNumberFormat="1" applyFont="1" applyBorder="1"/>
    <xf numFmtId="10" fontId="113" fillId="79" borderId="95" xfId="20961" applyNumberFormat="1" applyFont="1" applyFill="1" applyBorder="1" applyAlignment="1" applyProtection="1">
      <alignment horizontal="right" vertical="center"/>
    </xf>
    <xf numFmtId="43" fontId="0" fillId="0" borderId="0" xfId="0" applyNumberFormat="1"/>
    <xf numFmtId="10" fontId="4" fillId="0" borderId="0" xfId="20961" applyNumberFormat="1" applyFont="1" applyAlignment="1">
      <alignment horizontal="left" vertical="center"/>
    </xf>
    <xf numFmtId="10" fontId="109" fillId="0" borderId="0" xfId="20961" applyNumberFormat="1" applyFont="1" applyAlignment="1">
      <alignment horizontal="left" vertical="center"/>
    </xf>
    <xf numFmtId="10" fontId="4" fillId="0" borderId="0" xfId="20961" applyNumberFormat="1" applyFont="1" applyAlignment="1">
      <alignment horizontal="center" vertical="center"/>
    </xf>
    <xf numFmtId="43" fontId="9" fillId="0" borderId="133" xfId="7" applyFont="1" applyBorder="1" applyAlignment="1">
      <alignment horizontal="right"/>
    </xf>
    <xf numFmtId="164" fontId="9" fillId="0" borderId="133" xfId="7" applyNumberFormat="1" applyFont="1" applyBorder="1" applyAlignment="1">
      <alignment horizontal="right"/>
    </xf>
    <xf numFmtId="0" fontId="13" fillId="0" borderId="142" xfId="0" applyFont="1" applyBorder="1" applyAlignment="1">
      <alignment wrapText="1"/>
    </xf>
    <xf numFmtId="10" fontId="4" fillId="0" borderId="21" xfId="20961" applyNumberFormat="1" applyFont="1" applyBorder="1"/>
    <xf numFmtId="0" fontId="9" fillId="0" borderId="149" xfId="0" applyFont="1" applyBorder="1" applyAlignment="1">
      <alignment vertical="center"/>
    </xf>
    <xf numFmtId="10" fontId="4" fillId="0" borderId="148" xfId="20961" applyNumberFormat="1" applyFont="1" applyBorder="1"/>
    <xf numFmtId="0" fontId="13" fillId="0" borderId="138" xfId="0" applyFont="1" applyBorder="1" applyAlignment="1">
      <alignment wrapText="1"/>
    </xf>
    <xf numFmtId="10" fontId="4" fillId="0" borderId="104" xfId="20961" applyNumberFormat="1" applyFont="1" applyBorder="1"/>
    <xf numFmtId="10" fontId="4" fillId="0" borderId="145" xfId="20961" applyNumberFormat="1" applyFont="1" applyBorder="1"/>
    <xf numFmtId="165" fontId="4" fillId="0" borderId="95" xfId="20961" applyNumberFormat="1" applyFont="1" applyFill="1" applyBorder="1" applyAlignment="1" applyProtection="1">
      <alignment horizontal="right" vertical="center" wrapText="1"/>
      <protection locked="0"/>
    </xf>
    <xf numFmtId="164" fontId="116" fillId="0" borderId="139" xfId="7" applyNumberFormat="1" applyFont="1" applyBorder="1"/>
    <xf numFmtId="164" fontId="119" fillId="0" borderId="139" xfId="7" applyNumberFormat="1" applyFont="1" applyBorder="1"/>
    <xf numFmtId="43" fontId="117" fillId="0" borderId="0" xfId="7" applyFont="1"/>
    <xf numFmtId="164" fontId="117" fillId="0" borderId="133" xfId="7" applyNumberFormat="1" applyFont="1" applyBorder="1"/>
    <xf numFmtId="164" fontId="120" fillId="0" borderId="133" xfId="7" applyNumberFormat="1" applyFont="1" applyBorder="1"/>
    <xf numFmtId="164" fontId="4" fillId="0" borderId="96" xfId="7" applyNumberFormat="1" applyFont="1" applyBorder="1" applyAlignment="1">
      <alignment vertical="center"/>
    </xf>
    <xf numFmtId="164" fontId="4" fillId="0" borderId="139" xfId="7" applyNumberFormat="1" applyFont="1" applyFill="1" applyBorder="1" applyAlignment="1">
      <alignment vertical="center"/>
    </xf>
    <xf numFmtId="164" fontId="4" fillId="0" borderId="142" xfId="7" applyNumberFormat="1" applyFont="1" applyFill="1" applyBorder="1" applyAlignment="1">
      <alignment vertical="center"/>
    </xf>
    <xf numFmtId="164" fontId="4" fillId="0" borderId="146"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5" xfId="0" applyNumberFormat="1" applyFont="1" applyBorder="1" applyAlignment="1">
      <alignment vertical="center"/>
    </xf>
    <xf numFmtId="164" fontId="4" fillId="0" borderId="52" xfId="7" applyNumberFormat="1" applyFont="1" applyBorder="1" applyAlignment="1">
      <alignment vertical="center"/>
    </xf>
    <xf numFmtId="164" fontId="4" fillId="3" borderId="93" xfId="7" applyNumberFormat="1" applyFont="1" applyFill="1" applyBorder="1" applyAlignment="1">
      <alignment vertical="center"/>
    </xf>
    <xf numFmtId="164" fontId="4" fillId="0" borderId="25" xfId="7" applyNumberFormat="1" applyFont="1" applyBorder="1" applyAlignment="1">
      <alignment vertical="center"/>
    </xf>
    <xf numFmtId="43" fontId="4" fillId="0" borderId="26" xfId="7" applyFont="1" applyBorder="1" applyAlignment="1">
      <alignment vertical="center"/>
    </xf>
    <xf numFmtId="164" fontId="4" fillId="0" borderId="26" xfId="7" applyNumberFormat="1" applyFont="1" applyBorder="1" applyAlignment="1">
      <alignment vertical="center"/>
    </xf>
    <xf numFmtId="164" fontId="4" fillId="0" borderId="61" xfId="0" applyNumberFormat="1" applyFont="1" applyBorder="1" applyAlignment="1">
      <alignment vertical="center"/>
    </xf>
    <xf numFmtId="164" fontId="4" fillId="0" borderId="110" xfId="0" applyNumberFormat="1" applyFont="1" applyBorder="1" applyAlignment="1">
      <alignment vertical="center"/>
    </xf>
    <xf numFmtId="164" fontId="4" fillId="0" borderId="24" xfId="0" applyNumberFormat="1" applyFont="1" applyBorder="1" applyAlignment="1">
      <alignment vertical="center"/>
    </xf>
    <xf numFmtId="43" fontId="4" fillId="0" borderId="18" xfId="0" applyNumberFormat="1" applyFont="1" applyBorder="1" applyAlignment="1">
      <alignment vertical="center"/>
    </xf>
    <xf numFmtId="164" fontId="4" fillId="0" borderId="138" xfId="7" applyNumberFormat="1" applyFont="1" applyBorder="1" applyAlignment="1">
      <alignment vertical="center"/>
    </xf>
    <xf numFmtId="43" fontId="4" fillId="0" borderId="138" xfId="7" applyFont="1" applyBorder="1" applyAlignment="1">
      <alignment vertical="center"/>
    </xf>
    <xf numFmtId="43" fontId="4" fillId="0" borderId="104" xfId="7" applyFont="1" applyBorder="1" applyAlignment="1">
      <alignment vertical="center"/>
    </xf>
    <xf numFmtId="10" fontId="4" fillId="0" borderId="90" xfId="20961" applyNumberFormat="1" applyFont="1" applyBorder="1" applyAlignment="1">
      <alignment vertical="center"/>
    </xf>
    <xf numFmtId="165" fontId="4" fillId="0" borderId="90" xfId="20961" applyNumberFormat="1" applyFont="1" applyBorder="1" applyAlignment="1">
      <alignment vertical="center"/>
    </xf>
    <xf numFmtId="165" fontId="4" fillId="0" borderId="106" xfId="20961" applyNumberFormat="1" applyFont="1" applyBorder="1" applyAlignment="1">
      <alignment vertical="center"/>
    </xf>
    <xf numFmtId="165" fontId="9" fillId="2" borderId="23" xfId="20961" applyNumberFormat="1" applyFont="1" applyFill="1" applyBorder="1" applyAlignment="1" applyProtection="1">
      <alignment vertical="center"/>
      <protection locked="0"/>
    </xf>
    <xf numFmtId="194" fontId="119" fillId="36" borderId="139" xfId="21413" applyNumberFormat="1" applyFont="1" applyFill="1" applyBorder="1"/>
    <xf numFmtId="164" fontId="116" fillId="0" borderId="139" xfId="7" applyNumberFormat="1" applyFont="1" applyBorder="1" applyAlignment="1">
      <alignment horizontal="left" indent="1"/>
    </xf>
    <xf numFmtId="164" fontId="119" fillId="84" borderId="139" xfId="7" applyNumberFormat="1" applyFont="1" applyFill="1" applyBorder="1"/>
    <xf numFmtId="0" fontId="119" fillId="0" borderId="139" xfId="0" applyFont="1" applyBorder="1" applyAlignment="1">
      <alignment horizontal="center"/>
    </xf>
    <xf numFmtId="0" fontId="119" fillId="0" borderId="0" xfId="0" applyFont="1"/>
    <xf numFmtId="164" fontId="119" fillId="0" borderId="66" xfId="7" applyNumberFormat="1" applyFont="1" applyBorder="1"/>
    <xf numFmtId="164" fontId="116" fillId="0" borderId="148" xfId="7" applyNumberFormat="1" applyFont="1" applyBorder="1"/>
    <xf numFmtId="164" fontId="116" fillId="0" borderId="149" xfId="7" applyNumberFormat="1" applyFont="1" applyBorder="1" applyAlignment="1">
      <alignment horizontal="left" indent="1"/>
    </xf>
    <xf numFmtId="164" fontId="116" fillId="0" borderId="149" xfId="7" applyNumberFormat="1" applyFont="1" applyBorder="1" applyAlignment="1">
      <alignment horizontal="left" indent="2"/>
    </xf>
    <xf numFmtId="164" fontId="116" fillId="0" borderId="149" xfId="7" applyNumberFormat="1" applyFont="1" applyBorder="1" applyAlignment="1">
      <alignment horizontal="left" indent="3"/>
    </xf>
    <xf numFmtId="164" fontId="116" fillId="81" borderId="149" xfId="7" applyNumberFormat="1" applyFont="1" applyFill="1" applyBorder="1"/>
    <xf numFmtId="164" fontId="116" fillId="81" borderId="139" xfId="7" applyNumberFormat="1" applyFont="1" applyFill="1" applyBorder="1"/>
    <xf numFmtId="164" fontId="116" fillId="81" borderId="148" xfId="7" applyNumberFormat="1" applyFont="1" applyFill="1" applyBorder="1"/>
    <xf numFmtId="164" fontId="116" fillId="0" borderId="149" xfId="7" applyNumberFormat="1" applyFont="1" applyBorder="1" applyAlignment="1">
      <alignment horizontal="left" vertical="top" wrapText="1" indent="2"/>
    </xf>
    <xf numFmtId="164" fontId="116" fillId="0" borderId="149" xfId="7" applyNumberFormat="1" applyFont="1" applyBorder="1" applyAlignment="1">
      <alignment horizontal="left" wrapText="1" indent="3"/>
    </xf>
    <xf numFmtId="164" fontId="116" fillId="0" borderId="149" xfId="7" applyNumberFormat="1" applyFont="1" applyBorder="1" applyAlignment="1">
      <alignment horizontal="left" wrapText="1" indent="2"/>
    </xf>
    <xf numFmtId="164" fontId="116" fillId="0" borderId="149" xfId="7" applyNumberFormat="1" applyFont="1" applyBorder="1" applyAlignment="1">
      <alignment horizontal="left" wrapText="1" indent="1"/>
    </xf>
    <xf numFmtId="164" fontId="116" fillId="0" borderId="147" xfId="7" applyNumberFormat="1" applyFont="1" applyBorder="1" applyAlignment="1">
      <alignment horizontal="left" wrapText="1" indent="1"/>
    </xf>
    <xf numFmtId="164" fontId="116" fillId="0" borderId="146" xfId="7" applyNumberFormat="1" applyFont="1" applyBorder="1"/>
    <xf numFmtId="164" fontId="116" fillId="0" borderId="145" xfId="7" applyNumberFormat="1" applyFont="1" applyBorder="1"/>
    <xf numFmtId="164" fontId="116" fillId="0" borderId="139" xfId="7" applyNumberFormat="1" applyFont="1" applyBorder="1" applyAlignment="1">
      <alignment horizontal="left" vertical="center" wrapText="1"/>
    </xf>
    <xf numFmtId="164" fontId="116" fillId="0" borderId="139" xfId="7" applyNumberFormat="1" applyFont="1" applyBorder="1" applyAlignment="1">
      <alignment horizontal="center" vertical="center" wrapText="1"/>
    </xf>
    <xf numFmtId="164" fontId="116" fillId="0" borderId="139" xfId="7" applyNumberFormat="1" applyFont="1" applyBorder="1" applyAlignment="1">
      <alignment horizontal="center" vertical="center"/>
    </xf>
    <xf numFmtId="0" fontId="119" fillId="0" borderId="139" xfId="0" applyFont="1" applyBorder="1" applyAlignment="1">
      <alignment horizontal="left" vertical="center" wrapText="1"/>
    </xf>
    <xf numFmtId="164" fontId="119" fillId="0" borderId="139" xfId="7" applyNumberFormat="1" applyFont="1" applyFill="1" applyBorder="1" applyAlignment="1">
      <alignment horizontal="left" vertical="center" wrapText="1"/>
    </xf>
    <xf numFmtId="164" fontId="121" fillId="0" borderId="139" xfId="7" applyNumberFormat="1" applyFont="1" applyBorder="1"/>
    <xf numFmtId="164" fontId="121" fillId="0" borderId="140" xfId="7" applyNumberFormat="1" applyFont="1" applyBorder="1"/>
    <xf numFmtId="0" fontId="122" fillId="0" borderId="139" xfId="0" applyFont="1" applyBorder="1" applyAlignment="1">
      <alignment horizontal="left" indent="2"/>
    </xf>
    <xf numFmtId="164" fontId="122" fillId="0" borderId="139" xfId="7" applyNumberFormat="1" applyFont="1" applyBorder="1"/>
    <xf numFmtId="0" fontId="143" fillId="0" borderId="0" xfId="0" applyFont="1"/>
    <xf numFmtId="164" fontId="119" fillId="0" borderId="148" xfId="7" applyNumberFormat="1" applyFont="1" applyBorder="1"/>
    <xf numFmtId="165" fontId="4" fillId="0" borderId="149" xfId="20961" applyNumberFormat="1" applyFont="1" applyBorder="1" applyAlignment="1" applyProtection="1">
      <alignment vertical="center" wrapText="1"/>
      <protection locked="0"/>
    </xf>
    <xf numFmtId="165" fontId="17" fillId="2" borderId="147" xfId="20961" applyNumberFormat="1" applyFont="1" applyFill="1" applyBorder="1" applyAlignment="1" applyProtection="1">
      <alignment vertical="center"/>
      <protection locked="0"/>
    </xf>
    <xf numFmtId="164" fontId="116" fillId="0" borderId="0" xfId="0" applyNumberFormat="1" applyFont="1" applyAlignment="1">
      <alignment wrapText="1"/>
    </xf>
    <xf numFmtId="165" fontId="17" fillId="2" borderId="149" xfId="20961" applyNumberFormat="1" applyFont="1" applyFill="1" applyBorder="1" applyAlignment="1" applyProtection="1">
      <alignment vertical="center"/>
      <protection locked="0"/>
    </xf>
    <xf numFmtId="10" fontId="17" fillId="2" borderId="95" xfId="20961" applyNumberFormat="1" applyFont="1" applyFill="1" applyBorder="1" applyAlignment="1" applyProtection="1">
      <alignment vertical="center"/>
      <protection locked="0"/>
    </xf>
    <xf numFmtId="165" fontId="9" fillId="2" borderId="149" xfId="20961" applyNumberFormat="1" applyFont="1" applyFill="1" applyBorder="1" applyAlignment="1" applyProtection="1">
      <alignment vertical="center"/>
      <protection locked="0"/>
    </xf>
    <xf numFmtId="165" fontId="26" fillId="37" borderId="60" xfId="20" applyNumberFormat="1" applyBorder="1"/>
    <xf numFmtId="193" fontId="9" fillId="0" borderId="149" xfId="0" applyNumberFormat="1" applyFont="1" applyBorder="1" applyAlignment="1" applyProtection="1">
      <alignment vertical="center"/>
      <protection locked="0"/>
    </xf>
    <xf numFmtId="193" fontId="17" fillId="0" borderId="149" xfId="0" applyNumberFormat="1" applyFont="1" applyBorder="1" applyAlignment="1" applyProtection="1">
      <alignment vertical="center"/>
      <protection locked="0"/>
    </xf>
    <xf numFmtId="165" fontId="9" fillId="0" borderId="149" xfId="20961" applyNumberFormat="1" applyFont="1" applyBorder="1" applyAlignment="1" applyProtection="1">
      <alignment vertical="center"/>
      <protection locked="0"/>
    </xf>
    <xf numFmtId="164" fontId="120" fillId="0" borderId="139" xfId="7" applyNumberFormat="1" applyFont="1" applyBorder="1"/>
    <xf numFmtId="164" fontId="117" fillId="0" borderId="139" xfId="7" applyNumberFormat="1" applyFont="1" applyBorder="1"/>
    <xf numFmtId="164" fontId="117" fillId="0" borderId="139" xfId="7" applyNumberFormat="1" applyFont="1" applyFill="1" applyBorder="1"/>
    <xf numFmtId="4" fontId="117" fillId="0" borderId="0" xfId="0" applyNumberFormat="1" applyFont="1"/>
    <xf numFmtId="43" fontId="117" fillId="0" borderId="0" xfId="0" applyNumberFormat="1" applyFont="1"/>
    <xf numFmtId="164" fontId="116" fillId="83" borderId="139" xfId="7" applyNumberFormat="1" applyFont="1" applyFill="1" applyBorder="1"/>
    <xf numFmtId="43" fontId="116" fillId="0" borderId="0" xfId="7" applyFont="1"/>
    <xf numFmtId="43" fontId="116" fillId="0" borderId="0" xfId="0" applyNumberFormat="1" applyFont="1"/>
    <xf numFmtId="164" fontId="116" fillId="0" borderId="0" xfId="0" applyNumberFormat="1" applyFont="1"/>
    <xf numFmtId="195" fontId="117" fillId="0" borderId="0" xfId="7" applyNumberFormat="1" applyFont="1"/>
    <xf numFmtId="164" fontId="117" fillId="0" borderId="0" xfId="0" applyNumberFormat="1" applyFont="1"/>
    <xf numFmtId="43" fontId="121" fillId="0" borderId="139" xfId="7" applyFont="1" applyBorder="1"/>
    <xf numFmtId="43" fontId="121" fillId="0" borderId="140" xfId="7" applyFont="1" applyBorder="1"/>
    <xf numFmtId="43" fontId="122" fillId="0" borderId="139" xfId="7" applyFont="1" applyBorder="1"/>
    <xf numFmtId="164" fontId="121" fillId="0" borderId="139" xfId="7" applyNumberFormat="1" applyFont="1" applyFill="1" applyBorder="1"/>
    <xf numFmtId="43" fontId="121" fillId="0" borderId="139" xfId="7" applyFont="1" applyFill="1" applyBorder="1"/>
    <xf numFmtId="164" fontId="119" fillId="0" borderId="139" xfId="7" applyNumberFormat="1" applyFont="1" applyFill="1" applyBorder="1"/>
    <xf numFmtId="164" fontId="116" fillId="0" borderId="139" xfId="7" applyNumberFormat="1" applyFont="1" applyFill="1" applyBorder="1"/>
    <xf numFmtId="164" fontId="121" fillId="0" borderId="140" xfId="7" applyNumberFormat="1" applyFont="1" applyFill="1" applyBorder="1"/>
    <xf numFmtId="164" fontId="122" fillId="0" borderId="139" xfId="7" applyNumberFormat="1" applyFont="1" applyFill="1" applyBorder="1"/>
    <xf numFmtId="164" fontId="120" fillId="0" borderId="139" xfId="7" applyNumberFormat="1" applyFont="1" applyFill="1" applyBorder="1"/>
    <xf numFmtId="0" fontId="104" fillId="0" borderId="63" xfId="0" applyFont="1" applyBorder="1" applyAlignment="1">
      <alignment horizontal="left" vertical="center" wrapText="1"/>
    </xf>
    <xf numFmtId="0" fontId="104" fillId="0" borderId="62" xfId="0" applyFont="1" applyBorder="1" applyAlignment="1">
      <alignment horizontal="left" vertical="center" wrapText="1"/>
    </xf>
    <xf numFmtId="0" fontId="141" fillId="0" borderId="152" xfId="0" applyFont="1" applyBorder="1" applyAlignment="1">
      <alignment horizontal="center" vertical="center"/>
    </xf>
    <xf numFmtId="0" fontId="141" fillId="0" borderId="29" xfId="0" applyFont="1" applyBorder="1" applyAlignment="1">
      <alignment horizontal="center" vertical="center"/>
    </xf>
    <xf numFmtId="0" fontId="141" fillId="0" borderId="153" xfId="0" applyFont="1" applyBorder="1" applyAlignment="1">
      <alignment horizontal="center" vertical="center"/>
    </xf>
    <xf numFmtId="0" fontId="142" fillId="0" borderId="152" xfId="0" applyFont="1" applyBorder="1" applyAlignment="1">
      <alignment horizontal="center" wrapText="1"/>
    </xf>
    <xf numFmtId="0" fontId="142" fillId="0" borderId="29" xfId="0" applyFont="1" applyBorder="1" applyAlignment="1">
      <alignment horizontal="center" wrapText="1"/>
    </xf>
    <xf numFmtId="0" fontId="142" fillId="0" borderId="153" xfId="0" applyFont="1" applyBorder="1" applyAlignment="1">
      <alignment horizontal="center" wrapText="1"/>
    </xf>
    <xf numFmtId="164" fontId="0" fillId="0" borderId="142" xfId="7" applyNumberFormat="1" applyFont="1" applyBorder="1" applyAlignment="1">
      <alignment horizontal="center"/>
    </xf>
    <xf numFmtId="164" fontId="0" fillId="0" borderId="144" xfId="7" applyNumberFormat="1" applyFont="1" applyBorder="1" applyAlignment="1">
      <alignment horizontal="center"/>
    </xf>
    <xf numFmtId="164" fontId="0" fillId="0" borderId="21" xfId="7" applyNumberFormat="1" applyFont="1" applyBorder="1" applyAlignment="1">
      <alignment horizontal="center"/>
    </xf>
    <xf numFmtId="0" fontId="0" fillId="0" borderId="16" xfId="0" applyBorder="1" applyAlignment="1">
      <alignment horizontal="center" vertical="center"/>
    </xf>
    <xf numFmtId="0" fontId="0" fillId="0" borderId="149" xfId="0" applyBorder="1" applyAlignment="1">
      <alignment horizontal="center" vertical="center"/>
    </xf>
    <xf numFmtId="0" fontId="128" fillId="0" borderId="5"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142" xfId="0" applyBorder="1" applyAlignment="1">
      <alignment horizontal="center"/>
    </xf>
    <xf numFmtId="0" fontId="0" fillId="0" borderId="144" xfId="0" applyBorder="1" applyAlignment="1">
      <alignment horizontal="center"/>
    </xf>
    <xf numFmtId="0" fontId="0" fillId="0" borderId="21" xfId="0" applyBorder="1" applyAlignment="1">
      <alignment horizontal="center"/>
    </xf>
    <xf numFmtId="0" fontId="128" fillId="0" borderId="5"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133" xfId="0" applyBorder="1" applyAlignment="1">
      <alignment horizontal="center" vertical="center"/>
    </xf>
    <xf numFmtId="0" fontId="0" fillId="0" borderId="133"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42" xfId="0" applyFont="1" applyBorder="1" applyAlignment="1">
      <alignment horizontal="center"/>
    </xf>
    <xf numFmtId="0" fontId="4" fillId="0" borderId="21" xfId="0" applyFont="1" applyBorder="1" applyAlignment="1">
      <alignment horizontal="center"/>
    </xf>
    <xf numFmtId="0" fontId="6" fillId="36" borderId="114"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1"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01" fillId="3" borderId="64" xfId="13" applyFont="1" applyFill="1" applyBorder="1" applyAlignment="1" applyProtection="1">
      <alignment horizontal="center" vertical="center" wrapText="1"/>
      <protection locked="0"/>
    </xf>
    <xf numFmtId="0" fontId="101" fillId="3" borderId="6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7" xfId="1" applyNumberFormat="1" applyFont="1" applyFill="1" applyBorder="1" applyAlignment="1" applyProtection="1">
      <alignment horizontal="center" vertical="center" wrapText="1"/>
      <protection locked="0"/>
    </xf>
    <xf numFmtId="164" fontId="15" fillId="0" borderId="88" xfId="1"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2" xfId="0" applyFont="1" applyBorder="1" applyAlignment="1">
      <alignment horizontal="center"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0" xfId="0" applyFont="1" applyBorder="1" applyAlignment="1">
      <alignment horizontal="center" vertical="center" wrapText="1"/>
    </xf>
    <xf numFmtId="0" fontId="119" fillId="0" borderId="117" xfId="0" applyFont="1" applyBorder="1" applyAlignment="1">
      <alignment horizontal="left" vertical="center" wrapText="1"/>
    </xf>
    <xf numFmtId="0" fontId="119" fillId="0" borderId="118"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1"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4" xfId="0" applyFont="1" applyBorder="1" applyAlignment="1">
      <alignment horizontal="left" vertical="center" wrapText="1"/>
    </xf>
    <xf numFmtId="0" fontId="120" fillId="0" borderId="138" xfId="0" applyFont="1" applyBorder="1" applyAlignment="1">
      <alignment horizontal="center" vertical="center" wrapText="1"/>
    </xf>
    <xf numFmtId="0" fontId="120" fillId="0" borderId="137" xfId="0" applyFont="1" applyBorder="1" applyAlignment="1">
      <alignment horizontal="center" vertical="center" wrapText="1"/>
    </xf>
    <xf numFmtId="0" fontId="120" fillId="0" borderId="119" xfId="0" applyFont="1" applyBorder="1" applyAlignment="1">
      <alignment horizontal="center" vertical="center" wrapText="1"/>
    </xf>
    <xf numFmtId="0" fontId="120" fillId="0" borderId="52" xfId="0" applyFont="1" applyBorder="1" applyAlignment="1">
      <alignment horizontal="center" vertical="center" wrapText="1"/>
    </xf>
    <xf numFmtId="0" fontId="120" fillId="0" borderId="122"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141" xfId="0" applyFont="1" applyBorder="1" applyAlignment="1">
      <alignment horizontal="center" vertical="center" wrapText="1"/>
    </xf>
    <xf numFmtId="0" fontId="124" fillId="0" borderId="139" xfId="0" applyFont="1" applyBorder="1" applyAlignment="1">
      <alignment horizontal="center" vertical="center"/>
    </xf>
    <xf numFmtId="0" fontId="118" fillId="0" borderId="138" xfId="0" applyFont="1" applyBorder="1" applyAlignment="1">
      <alignment horizontal="center" vertical="center"/>
    </xf>
    <xf numFmtId="0" fontId="118" fillId="0" borderId="143" xfId="0" applyFont="1" applyBorder="1" applyAlignment="1">
      <alignment horizontal="center" vertical="center"/>
    </xf>
    <xf numFmtId="0" fontId="118" fillId="0" borderId="52" xfId="0" applyFont="1" applyBorder="1" applyAlignment="1">
      <alignment horizontal="center" vertical="center"/>
    </xf>
    <xf numFmtId="0" fontId="118" fillId="0" borderId="11" xfId="0" applyFont="1" applyBorder="1" applyAlignment="1">
      <alignment horizontal="center" vertical="center"/>
    </xf>
    <xf numFmtId="0" fontId="119" fillId="0" borderId="139" xfId="0" applyFont="1" applyBorder="1" applyAlignment="1">
      <alignment horizontal="center" vertical="center" wrapText="1"/>
    </xf>
    <xf numFmtId="0" fontId="119" fillId="0" borderId="138" xfId="0" applyFont="1" applyBorder="1" applyAlignment="1">
      <alignment horizontal="center" vertical="center" wrapText="1"/>
    </xf>
    <xf numFmtId="0" fontId="119" fillId="0" borderId="143" xfId="0" applyFont="1" applyBorder="1" applyAlignment="1">
      <alignment horizontal="center" vertical="center" wrapText="1"/>
    </xf>
    <xf numFmtId="0" fontId="119" fillId="0" borderId="125" xfId="0" applyFont="1" applyBorder="1" applyAlignment="1">
      <alignment horizontal="center" vertical="center" wrapText="1"/>
    </xf>
    <xf numFmtId="0" fontId="119" fillId="0" borderId="126"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44"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7" xfId="0" applyFont="1" applyBorder="1" applyAlignment="1">
      <alignment horizontal="center" vertical="center" wrapText="1"/>
    </xf>
    <xf numFmtId="0" fontId="116" fillId="0" borderId="138" xfId="0" applyFont="1" applyBorder="1" applyAlignment="1">
      <alignment horizontal="center" vertical="center" wrapText="1"/>
    </xf>
    <xf numFmtId="0" fontId="116" fillId="0" borderId="13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53"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102" xfId="0" applyFont="1" applyBorder="1" applyAlignment="1">
      <alignment horizontal="center" vertical="center" wrapText="1"/>
    </xf>
    <xf numFmtId="0" fontId="119" fillId="0" borderId="53" xfId="0" applyFont="1" applyBorder="1" applyAlignment="1">
      <alignment horizontal="left" vertical="top" wrapText="1"/>
    </xf>
    <xf numFmtId="0" fontId="119" fillId="0" borderId="102" xfId="0" applyFont="1" applyBorder="1" applyAlignment="1">
      <alignment horizontal="left" vertical="top" wrapText="1"/>
    </xf>
    <xf numFmtId="0" fontId="119" fillId="0" borderId="60" xfId="0" applyFont="1" applyBorder="1" applyAlignment="1">
      <alignment horizontal="left" vertical="top" wrapText="1"/>
    </xf>
    <xf numFmtId="0" fontId="119" fillId="0" borderId="89" xfId="0" applyFont="1" applyBorder="1" applyAlignment="1">
      <alignment horizontal="left" vertical="top" wrapText="1"/>
    </xf>
    <xf numFmtId="0" fontId="119" fillId="0" borderId="116" xfId="0" applyFont="1" applyBorder="1" applyAlignment="1">
      <alignment horizontal="left" vertical="top" wrapText="1"/>
    </xf>
    <xf numFmtId="0" fontId="119" fillId="0" borderId="150" xfId="0" applyFont="1" applyBorder="1" applyAlignment="1">
      <alignment horizontal="left" vertical="top" wrapText="1"/>
    </xf>
    <xf numFmtId="0" fontId="119" fillId="0" borderId="151" xfId="0" applyFont="1" applyBorder="1" applyAlignment="1">
      <alignment horizontal="center" vertical="center" wrapText="1"/>
    </xf>
    <xf numFmtId="0" fontId="119" fillId="0" borderId="66" xfId="0" applyFont="1" applyBorder="1" applyAlignment="1">
      <alignment horizontal="center" vertical="center" wrapText="1"/>
    </xf>
    <xf numFmtId="0" fontId="116" fillId="0" borderId="138" xfId="0" applyFont="1" applyBorder="1" applyAlignment="1">
      <alignment horizontal="center" vertical="top" wrapText="1"/>
    </xf>
    <xf numFmtId="0" fontId="116" fillId="0" borderId="137"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41" xfId="0" applyFont="1" applyBorder="1" applyAlignment="1">
      <alignment horizontal="center" vertical="top" wrapText="1"/>
    </xf>
    <xf numFmtId="0" fontId="105" fillId="0" borderId="128" xfId="0" applyFont="1" applyBorder="1" applyAlignment="1">
      <alignment horizontal="left" vertical="top" wrapText="1"/>
    </xf>
    <xf numFmtId="0" fontId="105" fillId="0" borderId="129" xfId="0" applyFont="1" applyBorder="1" applyAlignment="1">
      <alignment horizontal="left" vertical="top" wrapText="1"/>
    </xf>
    <xf numFmtId="0" fontId="122" fillId="0" borderId="139" xfId="0" applyFont="1" applyBorder="1" applyAlignment="1">
      <alignment horizontal="center" vertical="center"/>
    </xf>
    <xf numFmtId="0" fontId="121" fillId="0" borderId="139" xfId="0" applyFont="1" applyBorder="1" applyAlignment="1">
      <alignment horizontal="center" vertical="center" wrapText="1"/>
    </xf>
    <xf numFmtId="0" fontId="121" fillId="0" borderId="140" xfId="0" applyFont="1" applyBorder="1" applyAlignment="1">
      <alignment horizontal="center" vertical="center" wrapText="1"/>
    </xf>
    <xf numFmtId="0" fontId="105" fillId="76" borderId="142" xfId="0" applyFont="1" applyFill="1" applyBorder="1" applyAlignment="1">
      <alignment horizontal="center" vertical="center" wrapText="1"/>
    </xf>
    <xf numFmtId="0" fontId="105" fillId="76" borderId="141" xfId="0" applyFont="1" applyFill="1" applyBorder="1" applyAlignment="1">
      <alignment horizontal="center" vertical="center" wrapText="1"/>
    </xf>
    <xf numFmtId="0" fontId="106" fillId="0" borderId="142" xfId="0" applyFont="1" applyBorder="1" applyAlignment="1">
      <alignment horizontal="left" vertical="center" wrapText="1"/>
    </xf>
    <xf numFmtId="0" fontId="106" fillId="0" borderId="141" xfId="0" applyFont="1" applyBorder="1" applyAlignment="1">
      <alignment horizontal="left" vertical="center" wrapText="1"/>
    </xf>
    <xf numFmtId="0" fontId="106" fillId="0" borderId="142" xfId="13" applyFont="1" applyBorder="1" applyAlignment="1" applyProtection="1">
      <alignment horizontal="left" vertical="top" wrapText="1"/>
      <protection locked="0"/>
    </xf>
    <xf numFmtId="0" fontId="106" fillId="0" borderId="141" xfId="13" applyFont="1" applyBorder="1" applyAlignment="1" applyProtection="1">
      <alignment horizontal="left" vertical="top" wrapText="1"/>
      <protection locked="0"/>
    </xf>
    <xf numFmtId="0" fontId="106" fillId="0" borderId="142" xfId="0" applyFont="1" applyBorder="1" applyAlignment="1">
      <alignment horizontal="left" vertical="top" wrapText="1"/>
    </xf>
    <xf numFmtId="0" fontId="106" fillId="0" borderId="141" xfId="0" applyFont="1" applyBorder="1" applyAlignment="1">
      <alignment horizontal="left" vertical="top" wrapText="1"/>
    </xf>
    <xf numFmtId="49" fontId="106" fillId="0" borderId="0" xfId="0" applyNumberFormat="1" applyFont="1" applyAlignment="1">
      <alignment horizontal="center" vertical="center"/>
    </xf>
    <xf numFmtId="0" fontId="106" fillId="0" borderId="139" xfId="0" applyFont="1" applyBorder="1" applyAlignment="1">
      <alignment horizontal="left" vertical="top" wrapText="1"/>
    </xf>
    <xf numFmtId="0" fontId="106" fillId="0" borderId="139" xfId="0" applyFont="1" applyBorder="1" applyAlignment="1">
      <alignment horizontal="left" vertical="center" wrapText="1"/>
    </xf>
    <xf numFmtId="0" fontId="105" fillId="76" borderId="139" xfId="0" applyFont="1" applyFill="1" applyBorder="1" applyAlignment="1">
      <alignment horizontal="center" vertical="center" wrapText="1"/>
    </xf>
    <xf numFmtId="0" fontId="106" fillId="0" borderId="139" xfId="0" applyFont="1" applyBorder="1" applyAlignment="1">
      <alignment horizontal="center"/>
    </xf>
    <xf numFmtId="0" fontId="106" fillId="0" borderId="96" xfId="0" applyFont="1" applyBorder="1" applyAlignment="1">
      <alignment horizontal="left" vertical="center" wrapText="1"/>
    </xf>
    <xf numFmtId="0" fontId="106" fillId="0" borderId="94" xfId="0" applyFont="1" applyBorder="1" applyAlignment="1">
      <alignment horizontal="left" vertical="center" wrapText="1"/>
    </xf>
    <xf numFmtId="0" fontId="105" fillId="0" borderId="139" xfId="0" applyFont="1" applyBorder="1" applyAlignment="1">
      <alignment horizontal="center" vertical="center"/>
    </xf>
    <xf numFmtId="0" fontId="106" fillId="3" borderId="142" xfId="13" applyFont="1" applyFill="1" applyBorder="1" applyAlignment="1" applyProtection="1">
      <alignment horizontal="left" vertical="top" wrapText="1"/>
      <protection locked="0"/>
    </xf>
    <xf numFmtId="0" fontId="106" fillId="3" borderId="141" xfId="13" applyFont="1" applyFill="1" applyBorder="1" applyAlignment="1" applyProtection="1">
      <alignment horizontal="left" vertical="top" wrapText="1"/>
      <protection locked="0"/>
    </xf>
    <xf numFmtId="0" fontId="105" fillId="0" borderId="82" xfId="0" applyFont="1" applyBorder="1" applyAlignment="1">
      <alignment horizontal="center" vertical="center"/>
    </xf>
    <xf numFmtId="0" fontId="105" fillId="76" borderId="79"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0" xfId="0" applyFont="1" applyFill="1" applyBorder="1" applyAlignment="1">
      <alignment horizontal="center" vertical="center" wrapText="1"/>
    </xf>
    <xf numFmtId="0" fontId="106" fillId="77" borderId="96" xfId="0" applyFont="1" applyFill="1" applyBorder="1" applyAlignment="1">
      <alignment vertical="center" wrapText="1"/>
    </xf>
    <xf numFmtId="0" fontId="106" fillId="77" borderId="94" xfId="0" applyFont="1" applyFill="1" applyBorder="1" applyAlignment="1">
      <alignment vertical="center" wrapText="1"/>
    </xf>
    <xf numFmtId="0" fontId="106" fillId="0" borderId="96" xfId="0" applyFont="1" applyBorder="1" applyAlignment="1">
      <alignment vertical="center" wrapText="1"/>
    </xf>
    <xf numFmtId="0" fontId="106" fillId="0" borderId="94" xfId="0" applyFont="1" applyBorder="1" applyAlignment="1">
      <alignment vertical="center" wrapText="1"/>
    </xf>
    <xf numFmtId="0" fontId="105" fillId="76" borderId="84" xfId="0" applyFont="1" applyFill="1" applyBorder="1" applyAlignment="1">
      <alignment horizontal="center" vertical="center"/>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6" fillId="3" borderId="96" xfId="0" applyFont="1" applyFill="1" applyBorder="1" applyAlignment="1">
      <alignment horizontal="left" vertical="center" wrapText="1"/>
    </xf>
    <xf numFmtId="0" fontId="106" fillId="3" borderId="94" xfId="0" applyFont="1" applyFill="1" applyBorder="1" applyAlignment="1">
      <alignment horizontal="left" vertical="center" wrapText="1"/>
    </xf>
    <xf numFmtId="0" fontId="106" fillId="0" borderId="74" xfId="0" applyFont="1" applyBorder="1" applyAlignment="1">
      <alignment horizontal="left" vertical="center" wrapText="1"/>
    </xf>
    <xf numFmtId="0" fontId="106" fillId="0" borderId="75" xfId="0" applyFont="1" applyBorder="1" applyAlignment="1">
      <alignment horizontal="left" vertical="center" wrapText="1"/>
    </xf>
    <xf numFmtId="0" fontId="105" fillId="76" borderId="70" xfId="0" applyFont="1" applyFill="1" applyBorder="1" applyAlignment="1">
      <alignment horizontal="center"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6" fillId="0" borderId="52"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6" xfId="0" applyFont="1" applyFill="1" applyBorder="1" applyAlignment="1">
      <alignment vertical="center" wrapText="1"/>
    </xf>
    <xf numFmtId="0" fontId="106" fillId="82" borderId="94" xfId="0" applyFont="1" applyFill="1" applyBorder="1" applyAlignment="1">
      <alignment vertical="center" wrapText="1"/>
    </xf>
    <xf numFmtId="0" fontId="106" fillId="82" borderId="134" xfId="0" applyFont="1" applyFill="1" applyBorder="1" applyAlignment="1">
      <alignment horizontal="left" vertical="center" wrapText="1"/>
    </xf>
    <xf numFmtId="0" fontId="106" fillId="82" borderId="135" xfId="0" applyFont="1" applyFill="1" applyBorder="1" applyAlignment="1">
      <alignment horizontal="left" vertical="center" wrapText="1"/>
    </xf>
    <xf numFmtId="0" fontId="106" fillId="82" borderId="136" xfId="0" applyFont="1" applyFill="1" applyBorder="1" applyAlignment="1">
      <alignment horizontal="left" vertical="center" wrapText="1"/>
    </xf>
    <xf numFmtId="0" fontId="106" fillId="3" borderId="74"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82" borderId="77"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3" borderId="96" xfId="0" applyFont="1" applyFill="1" applyBorder="1" applyAlignment="1">
      <alignment vertical="center" wrapText="1"/>
    </xf>
    <xf numFmtId="0" fontId="106" fillId="3" borderId="94" xfId="0" applyFont="1" applyFill="1" applyBorder="1" applyAlignment="1">
      <alignment vertical="center" wrapText="1"/>
    </xf>
    <xf numFmtId="0" fontId="105" fillId="0" borderId="67" xfId="0" applyFont="1" applyBorder="1" applyAlignment="1">
      <alignment horizontal="center" vertical="center"/>
    </xf>
    <xf numFmtId="0" fontId="105" fillId="0" borderId="68" xfId="0" applyFont="1" applyBorder="1" applyAlignment="1">
      <alignment horizontal="center" vertical="center"/>
    </xf>
    <xf numFmtId="0" fontId="105" fillId="0" borderId="69" xfId="0" applyFont="1" applyBorder="1" applyAlignment="1">
      <alignment horizontal="center" vertical="center"/>
    </xf>
    <xf numFmtId="0" fontId="106" fillId="0" borderId="95" xfId="0" applyFont="1" applyBorder="1" applyAlignment="1">
      <alignment horizontal="left" vertical="center" wrapText="1"/>
    </xf>
    <xf numFmtId="0" fontId="126" fillId="3" borderId="96" xfId="0" applyFont="1" applyFill="1" applyBorder="1" applyAlignment="1">
      <alignment vertical="center" wrapText="1"/>
    </xf>
    <xf numFmtId="0" fontId="126" fillId="3" borderId="94" xfId="0" applyFont="1" applyFill="1" applyBorder="1" applyAlignment="1">
      <alignment vertical="center" wrapText="1"/>
    </xf>
    <xf numFmtId="0" fontId="106" fillId="0" borderId="96" xfId="0" applyFont="1" applyBorder="1" applyAlignment="1">
      <alignment horizontal="left"/>
    </xf>
    <xf numFmtId="0" fontId="106" fillId="0" borderId="94"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pane xSplit="1" ySplit="7" topLeftCell="B8" activePane="bottomRight" state="frozen"/>
      <selection pane="topRight"/>
      <selection pane="bottomLeft"/>
      <selection pane="bottomRight"/>
    </sheetView>
  </sheetViews>
  <sheetFormatPr defaultRowHeight="14.4"/>
  <cols>
    <col min="1" max="1" width="10.21875" style="1" customWidth="1"/>
    <col min="2" max="2" width="153" bestFit="1" customWidth="1"/>
    <col min="3" max="3" width="39.44140625" customWidth="1"/>
    <col min="7" max="7" width="25" customWidth="1"/>
  </cols>
  <sheetData>
    <row r="1" spans="1:3">
      <c r="A1" s="6"/>
      <c r="B1" s="116" t="s">
        <v>160</v>
      </c>
      <c r="C1" s="46"/>
    </row>
    <row r="2" spans="1:3" s="113" customFormat="1">
      <c r="A2" s="157">
        <v>1</v>
      </c>
      <c r="B2" s="114" t="s">
        <v>161</v>
      </c>
      <c r="C2" s="112" t="s">
        <v>961</v>
      </c>
    </row>
    <row r="3" spans="1:3" s="113" customFormat="1">
      <c r="A3" s="157">
        <v>2</v>
      </c>
      <c r="B3" s="115" t="s">
        <v>162</v>
      </c>
      <c r="C3" s="112" t="s">
        <v>962</v>
      </c>
    </row>
    <row r="4" spans="1:3" s="113" customFormat="1">
      <c r="A4" s="157">
        <v>3</v>
      </c>
      <c r="B4" s="115" t="s">
        <v>163</v>
      </c>
      <c r="C4" s="112" t="s">
        <v>963</v>
      </c>
    </row>
    <row r="5" spans="1:3" s="113" customFormat="1">
      <c r="A5" s="158">
        <v>4</v>
      </c>
      <c r="B5" s="118" t="s">
        <v>164</v>
      </c>
      <c r="C5" s="112" t="s">
        <v>964</v>
      </c>
    </row>
    <row r="6" spans="1:3" s="117" customFormat="1" ht="65.25" customHeight="1">
      <c r="A6" s="757" t="s">
        <v>322</v>
      </c>
      <c r="B6" s="758"/>
      <c r="C6" s="758"/>
    </row>
    <row r="7" spans="1:3">
      <c r="A7" s="263" t="s">
        <v>252</v>
      </c>
      <c r="B7" s="264" t="s">
        <v>165</v>
      </c>
    </row>
    <row r="8" spans="1:3">
      <c r="A8" s="265">
        <v>1</v>
      </c>
      <c r="B8" s="261" t="s">
        <v>140</v>
      </c>
    </row>
    <row r="9" spans="1:3">
      <c r="A9" s="265">
        <v>2</v>
      </c>
      <c r="B9" s="261" t="s">
        <v>166</v>
      </c>
    </row>
    <row r="10" spans="1:3">
      <c r="A10" s="265">
        <v>3</v>
      </c>
      <c r="B10" s="261" t="s">
        <v>167</v>
      </c>
    </row>
    <row r="11" spans="1:3">
      <c r="A11" s="265">
        <v>4</v>
      </c>
      <c r="B11" s="261" t="s">
        <v>168</v>
      </c>
    </row>
    <row r="12" spans="1:3">
      <c r="A12" s="265">
        <v>5</v>
      </c>
      <c r="B12" s="261" t="s">
        <v>108</v>
      </c>
    </row>
    <row r="13" spans="1:3">
      <c r="A13" s="265">
        <v>6</v>
      </c>
      <c r="B13" s="266" t="s">
        <v>92</v>
      </c>
    </row>
    <row r="14" spans="1:3">
      <c r="A14" s="265">
        <v>7</v>
      </c>
      <c r="B14" s="261" t="s">
        <v>169</v>
      </c>
    </row>
    <row r="15" spans="1:3">
      <c r="A15" s="265">
        <v>8</v>
      </c>
      <c r="B15" s="261" t="s">
        <v>172</v>
      </c>
    </row>
    <row r="16" spans="1:3">
      <c r="A16" s="265">
        <v>9</v>
      </c>
      <c r="B16" s="261" t="s">
        <v>86</v>
      </c>
    </row>
    <row r="17" spans="1:2">
      <c r="A17" s="267" t="s">
        <v>379</v>
      </c>
      <c r="B17" s="261" t="s">
        <v>359</v>
      </c>
    </row>
    <row r="18" spans="1:2">
      <c r="A18" s="265">
        <v>10</v>
      </c>
      <c r="B18" s="261" t="s">
        <v>173</v>
      </c>
    </row>
    <row r="19" spans="1:2">
      <c r="A19" s="265">
        <v>11</v>
      </c>
      <c r="B19" s="266" t="s">
        <v>156</v>
      </c>
    </row>
    <row r="20" spans="1:2">
      <c r="A20" s="265">
        <v>12</v>
      </c>
      <c r="B20" s="266" t="s">
        <v>153</v>
      </c>
    </row>
    <row r="21" spans="1:2">
      <c r="A21" s="265">
        <v>13</v>
      </c>
      <c r="B21" s="268" t="s">
        <v>298</v>
      </c>
    </row>
    <row r="22" spans="1:2">
      <c r="A22" s="265">
        <v>14</v>
      </c>
      <c r="B22" s="261" t="s">
        <v>352</v>
      </c>
    </row>
    <row r="23" spans="1:2">
      <c r="A23" s="265">
        <v>15</v>
      </c>
      <c r="B23" s="261" t="s">
        <v>75</v>
      </c>
    </row>
    <row r="24" spans="1:2">
      <c r="A24" s="265">
        <v>15.1</v>
      </c>
      <c r="B24" s="261" t="s">
        <v>388</v>
      </c>
    </row>
    <row r="25" spans="1:2">
      <c r="A25" s="265">
        <v>16</v>
      </c>
      <c r="B25" s="261" t="s">
        <v>454</v>
      </c>
    </row>
    <row r="26" spans="1:2">
      <c r="A26" s="265">
        <v>17</v>
      </c>
      <c r="B26" s="261" t="s">
        <v>678</v>
      </c>
    </row>
    <row r="27" spans="1:2">
      <c r="A27" s="265">
        <v>18</v>
      </c>
      <c r="B27" s="261" t="s">
        <v>940</v>
      </c>
    </row>
    <row r="28" spans="1:2">
      <c r="A28" s="265">
        <v>19</v>
      </c>
      <c r="B28" s="261" t="s">
        <v>941</v>
      </c>
    </row>
    <row r="29" spans="1:2">
      <c r="A29" s="265">
        <v>20</v>
      </c>
      <c r="B29" s="261" t="s">
        <v>942</v>
      </c>
    </row>
    <row r="30" spans="1:2">
      <c r="A30" s="265">
        <v>21</v>
      </c>
      <c r="B30" s="261" t="s">
        <v>547</v>
      </c>
    </row>
    <row r="31" spans="1:2">
      <c r="A31" s="265">
        <v>22</v>
      </c>
      <c r="B31" s="261" t="s">
        <v>943</v>
      </c>
    </row>
    <row r="32" spans="1:2" ht="26.4">
      <c r="A32" s="265">
        <v>23</v>
      </c>
      <c r="B32" s="549" t="s">
        <v>939</v>
      </c>
    </row>
    <row r="33" spans="1:2">
      <c r="A33" s="265">
        <v>24</v>
      </c>
      <c r="B33" s="261" t="s">
        <v>944</v>
      </c>
    </row>
    <row r="34" spans="1:2">
      <c r="A34" s="265">
        <v>25</v>
      </c>
      <c r="B34" s="261" t="s">
        <v>945</v>
      </c>
    </row>
    <row r="35" spans="1:2">
      <c r="A35" s="265">
        <v>26</v>
      </c>
      <c r="B35" s="261" t="s">
        <v>724</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scale="39"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pane="topRight"/>
      <selection pane="bottomLeft"/>
      <selection pane="bottomRight"/>
    </sheetView>
  </sheetViews>
  <sheetFormatPr defaultRowHeight="14.4"/>
  <cols>
    <col min="1" max="1" width="9.5546875" style="1" bestFit="1" customWidth="1"/>
    <col min="2" max="2" width="132.44140625" style="1" customWidth="1"/>
    <col min="3" max="3" width="18.44140625" style="1" customWidth="1"/>
  </cols>
  <sheetData>
    <row r="1" spans="1:6">
      <c r="A1" s="13" t="s">
        <v>109</v>
      </c>
      <c r="B1" s="12" t="str">
        <f>Info!C2</f>
        <v>სს " პაშა ბანკი საქართველო"</v>
      </c>
      <c r="D1" s="1"/>
      <c r="E1" s="1"/>
      <c r="F1" s="1"/>
    </row>
    <row r="2" spans="1:6" s="13" customFormat="1" ht="15.75" customHeight="1">
      <c r="A2" s="13" t="s">
        <v>110</v>
      </c>
      <c r="B2" s="339">
        <f>'1. key ratios'!B2</f>
        <v>45199</v>
      </c>
    </row>
    <row r="3" spans="1:6" s="13" customFormat="1" ht="15.75" customHeight="1"/>
    <row r="4" spans="1:6" ht="15" thickBot="1">
      <c r="A4" s="1" t="s">
        <v>258</v>
      </c>
      <c r="B4" s="23" t="s">
        <v>86</v>
      </c>
    </row>
    <row r="5" spans="1:6">
      <c r="A5" s="77" t="s">
        <v>26</v>
      </c>
      <c r="B5" s="78"/>
      <c r="C5" s="79" t="s">
        <v>27</v>
      </c>
    </row>
    <row r="6" spans="1:6">
      <c r="A6" s="80">
        <v>1</v>
      </c>
      <c r="B6" s="42" t="s">
        <v>28</v>
      </c>
      <c r="C6" s="167">
        <f>SUM(C7:C11)</f>
        <v>108366287.09</v>
      </c>
    </row>
    <row r="7" spans="1:6">
      <c r="A7" s="80">
        <v>2</v>
      </c>
      <c r="B7" s="39" t="s">
        <v>29</v>
      </c>
      <c r="C7" s="168">
        <v>136800000</v>
      </c>
    </row>
    <row r="8" spans="1:6">
      <c r="A8" s="80">
        <v>3</v>
      </c>
      <c r="B8" s="34" t="s">
        <v>30</v>
      </c>
      <c r="C8" s="168"/>
    </row>
    <row r="9" spans="1:6">
      <c r="A9" s="80">
        <v>4</v>
      </c>
      <c r="B9" s="34" t="s">
        <v>31</v>
      </c>
      <c r="C9" s="168"/>
    </row>
    <row r="10" spans="1:6">
      <c r="A10" s="80">
        <v>5</v>
      </c>
      <c r="B10" s="34" t="s">
        <v>32</v>
      </c>
      <c r="C10" s="168"/>
    </row>
    <row r="11" spans="1:6">
      <c r="A11" s="80">
        <v>6</v>
      </c>
      <c r="B11" s="40" t="s">
        <v>33</v>
      </c>
      <c r="C11" s="168">
        <v>-28433712.91</v>
      </c>
    </row>
    <row r="12" spans="1:6" s="2" customFormat="1">
      <c r="A12" s="80">
        <v>7</v>
      </c>
      <c r="B12" s="42" t="s">
        <v>34</v>
      </c>
      <c r="C12" s="169">
        <f>SUM(C13:C28)</f>
        <v>5291279.91</v>
      </c>
    </row>
    <row r="13" spans="1:6" s="2" customFormat="1">
      <c r="A13" s="80">
        <v>8</v>
      </c>
      <c r="B13" s="41" t="s">
        <v>35</v>
      </c>
      <c r="C13" s="170"/>
    </row>
    <row r="14" spans="1:6" s="2" customFormat="1" ht="27.6">
      <c r="A14" s="80">
        <v>9</v>
      </c>
      <c r="B14" s="35" t="s">
        <v>36</v>
      </c>
      <c r="C14" s="170"/>
    </row>
    <row r="15" spans="1:6" s="2" customFormat="1">
      <c r="A15" s="80">
        <v>10</v>
      </c>
      <c r="B15" s="36" t="s">
        <v>37</v>
      </c>
      <c r="C15" s="170">
        <v>5291279.91</v>
      </c>
    </row>
    <row r="16" spans="1:6" s="2" customFormat="1">
      <c r="A16" s="80">
        <v>11</v>
      </c>
      <c r="B16" s="37" t="s">
        <v>38</v>
      </c>
      <c r="C16" s="170"/>
    </row>
    <row r="17" spans="1:3" s="2" customFormat="1">
      <c r="A17" s="80">
        <v>12</v>
      </c>
      <c r="B17" s="36" t="s">
        <v>39</v>
      </c>
      <c r="C17" s="170"/>
    </row>
    <row r="18" spans="1:3" s="2" customFormat="1">
      <c r="A18" s="80">
        <v>13</v>
      </c>
      <c r="B18" s="36" t="s">
        <v>40</v>
      </c>
      <c r="C18" s="170"/>
    </row>
    <row r="19" spans="1:3" s="2" customFormat="1">
      <c r="A19" s="80">
        <v>14</v>
      </c>
      <c r="B19" s="36" t="s">
        <v>41</v>
      </c>
      <c r="C19" s="170"/>
    </row>
    <row r="20" spans="1:3" s="2" customFormat="1" ht="27.6">
      <c r="A20" s="80">
        <v>15</v>
      </c>
      <c r="B20" s="36" t="s">
        <v>42</v>
      </c>
      <c r="C20" s="170"/>
    </row>
    <row r="21" spans="1:3" s="2" customFormat="1" ht="27.6">
      <c r="A21" s="80">
        <v>16</v>
      </c>
      <c r="B21" s="35" t="s">
        <v>43</v>
      </c>
      <c r="C21" s="170"/>
    </row>
    <row r="22" spans="1:3" s="2" customFormat="1">
      <c r="A22" s="80">
        <v>17</v>
      </c>
      <c r="B22" s="81" t="s">
        <v>44</v>
      </c>
      <c r="C22" s="170"/>
    </row>
    <row r="23" spans="1:3" s="2" customFormat="1">
      <c r="A23" s="80">
        <v>18</v>
      </c>
      <c r="B23" s="550" t="s">
        <v>727</v>
      </c>
      <c r="C23" s="402"/>
    </row>
    <row r="24" spans="1:3" s="2" customFormat="1" ht="27.6">
      <c r="A24" s="80">
        <v>19</v>
      </c>
      <c r="B24" s="35" t="s">
        <v>45</v>
      </c>
      <c r="C24" s="170"/>
    </row>
    <row r="25" spans="1:3" s="2" customFormat="1" ht="27.6">
      <c r="A25" s="80">
        <v>20</v>
      </c>
      <c r="B25" s="35" t="s">
        <v>46</v>
      </c>
      <c r="C25" s="170"/>
    </row>
    <row r="26" spans="1:3" s="2" customFormat="1" ht="27.6">
      <c r="A26" s="80">
        <v>21</v>
      </c>
      <c r="B26" s="37" t="s">
        <v>47</v>
      </c>
      <c r="C26" s="170"/>
    </row>
    <row r="27" spans="1:3" s="2" customFormat="1">
      <c r="A27" s="80">
        <v>22</v>
      </c>
      <c r="B27" s="37" t="s">
        <v>48</v>
      </c>
      <c r="C27" s="170"/>
    </row>
    <row r="28" spans="1:3" s="2" customFormat="1" ht="27.6">
      <c r="A28" s="80">
        <v>23</v>
      </c>
      <c r="B28" s="37" t="s">
        <v>49</v>
      </c>
      <c r="C28" s="170"/>
    </row>
    <row r="29" spans="1:3" s="2" customFormat="1">
      <c r="A29" s="80">
        <v>24</v>
      </c>
      <c r="B29" s="43" t="s">
        <v>23</v>
      </c>
      <c r="C29" s="169">
        <f>C6-C12</f>
        <v>103075007.18000001</v>
      </c>
    </row>
    <row r="30" spans="1:3" s="2" customFormat="1">
      <c r="A30" s="82"/>
      <c r="B30" s="38"/>
      <c r="C30" s="170"/>
    </row>
    <row r="31" spans="1:3" s="2" customFormat="1">
      <c r="A31" s="82">
        <v>25</v>
      </c>
      <c r="B31" s="43" t="s">
        <v>50</v>
      </c>
      <c r="C31" s="169">
        <f>C32+C35</f>
        <v>0</v>
      </c>
    </row>
    <row r="32" spans="1:3" s="2" customFormat="1">
      <c r="A32" s="82">
        <v>26</v>
      </c>
      <c r="B32" s="34" t="s">
        <v>51</v>
      </c>
      <c r="C32" s="171">
        <f>C33+C34</f>
        <v>0</v>
      </c>
    </row>
    <row r="33" spans="1:3" s="2" customFormat="1">
      <c r="A33" s="82">
        <v>27</v>
      </c>
      <c r="B33" s="110" t="s">
        <v>52</v>
      </c>
      <c r="C33" s="170"/>
    </row>
    <row r="34" spans="1:3" s="2" customFormat="1">
      <c r="A34" s="82">
        <v>28</v>
      </c>
      <c r="B34" s="110" t="s">
        <v>53</v>
      </c>
      <c r="C34" s="170"/>
    </row>
    <row r="35" spans="1:3" s="2" customFormat="1">
      <c r="A35" s="82">
        <v>29</v>
      </c>
      <c r="B35" s="34" t="s">
        <v>54</v>
      </c>
      <c r="C35" s="170"/>
    </row>
    <row r="36" spans="1:3" s="2" customFormat="1">
      <c r="A36" s="82">
        <v>30</v>
      </c>
      <c r="B36" s="43" t="s">
        <v>55</v>
      </c>
      <c r="C36" s="169">
        <f>SUM(C37:C41)</f>
        <v>0</v>
      </c>
    </row>
    <row r="37" spans="1:3" s="2" customFormat="1">
      <c r="A37" s="82">
        <v>31</v>
      </c>
      <c r="B37" s="35" t="s">
        <v>56</v>
      </c>
      <c r="C37" s="170"/>
    </row>
    <row r="38" spans="1:3" s="2" customFormat="1">
      <c r="A38" s="82">
        <v>32</v>
      </c>
      <c r="B38" s="36" t="s">
        <v>57</v>
      </c>
      <c r="C38" s="170"/>
    </row>
    <row r="39" spans="1:3" s="2" customFormat="1" ht="27.6">
      <c r="A39" s="82">
        <v>33</v>
      </c>
      <c r="B39" s="35" t="s">
        <v>58</v>
      </c>
      <c r="C39" s="170"/>
    </row>
    <row r="40" spans="1:3" s="2" customFormat="1" ht="27.6">
      <c r="A40" s="82">
        <v>34</v>
      </c>
      <c r="B40" s="35" t="s">
        <v>46</v>
      </c>
      <c r="C40" s="170"/>
    </row>
    <row r="41" spans="1:3" s="2" customFormat="1" ht="27.6">
      <c r="A41" s="82">
        <v>35</v>
      </c>
      <c r="B41" s="37" t="s">
        <v>59</v>
      </c>
      <c r="C41" s="170"/>
    </row>
    <row r="42" spans="1:3" s="2" customFormat="1">
      <c r="A42" s="82">
        <v>36</v>
      </c>
      <c r="B42" s="43" t="s">
        <v>24</v>
      </c>
      <c r="C42" s="169">
        <f>C31-C36</f>
        <v>0</v>
      </c>
    </row>
    <row r="43" spans="1:3" s="2" customFormat="1">
      <c r="A43" s="82"/>
      <c r="B43" s="38"/>
      <c r="C43" s="170"/>
    </row>
    <row r="44" spans="1:3" s="2" customFormat="1">
      <c r="A44" s="82">
        <v>37</v>
      </c>
      <c r="B44" s="44" t="s">
        <v>60</v>
      </c>
      <c r="C44" s="169">
        <f>SUM(C45:C47)</f>
        <v>18752500.388</v>
      </c>
    </row>
    <row r="45" spans="1:3" s="2" customFormat="1">
      <c r="A45" s="82">
        <v>38</v>
      </c>
      <c r="B45" s="34" t="s">
        <v>61</v>
      </c>
      <c r="C45" s="170">
        <v>18752500.388</v>
      </c>
    </row>
    <row r="46" spans="1:3" s="2" customFormat="1">
      <c r="A46" s="82">
        <v>39</v>
      </c>
      <c r="B46" s="34" t="s">
        <v>62</v>
      </c>
      <c r="C46" s="170"/>
    </row>
    <row r="47" spans="1:3" s="2" customFormat="1">
      <c r="A47" s="82">
        <v>40</v>
      </c>
      <c r="B47" s="551" t="s">
        <v>726</v>
      </c>
      <c r="C47" s="170"/>
    </row>
    <row r="48" spans="1:3" s="2" customFormat="1">
      <c r="A48" s="82">
        <v>41</v>
      </c>
      <c r="B48" s="44" t="s">
        <v>63</v>
      </c>
      <c r="C48" s="169">
        <f>SUM(C49:C52)</f>
        <v>0</v>
      </c>
    </row>
    <row r="49" spans="1:3" s="2" customFormat="1">
      <c r="A49" s="82">
        <v>42</v>
      </c>
      <c r="B49" s="35" t="s">
        <v>64</v>
      </c>
      <c r="C49" s="170"/>
    </row>
    <row r="50" spans="1:3" s="2" customFormat="1">
      <c r="A50" s="82">
        <v>43</v>
      </c>
      <c r="B50" s="36" t="s">
        <v>65</v>
      </c>
      <c r="C50" s="170"/>
    </row>
    <row r="51" spans="1:3" s="2" customFormat="1" ht="27.6">
      <c r="A51" s="82">
        <v>44</v>
      </c>
      <c r="B51" s="35" t="s">
        <v>66</v>
      </c>
      <c r="C51" s="170"/>
    </row>
    <row r="52" spans="1:3" s="2" customFormat="1" ht="27.6">
      <c r="A52" s="82">
        <v>45</v>
      </c>
      <c r="B52" s="35" t="s">
        <v>46</v>
      </c>
      <c r="C52" s="170"/>
    </row>
    <row r="53" spans="1:3" s="2" customFormat="1" ht="15" thickBot="1">
      <c r="A53" s="82">
        <v>46</v>
      </c>
      <c r="B53" s="83" t="s">
        <v>25</v>
      </c>
      <c r="C53" s="172">
        <f>C44-C48</f>
        <v>18752500.388</v>
      </c>
    </row>
    <row r="56" spans="1:3">
      <c r="B56" s="1"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paperSize="9" scale="39" orientation="portrait" r:id="rId1"/>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3"/>
  <sheetViews>
    <sheetView zoomScaleNormal="100" workbookViewId="0"/>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6">
      <c r="A1" s="13" t="s">
        <v>109</v>
      </c>
      <c r="B1" s="12" t="str">
        <f>Info!C2</f>
        <v>სს " პაშა ბანკი საქართველო"</v>
      </c>
    </row>
    <row r="2" spans="1:6" s="13" customFormat="1" ht="15.75" customHeight="1">
      <c r="A2" s="13" t="s">
        <v>110</v>
      </c>
      <c r="B2" s="339">
        <f>'1. key ratios'!B2</f>
        <v>45199</v>
      </c>
    </row>
    <row r="3" spans="1:6" s="13" customFormat="1" ht="15.75" customHeight="1"/>
    <row r="4" spans="1:6" ht="14.4" thickBot="1">
      <c r="A4" s="1" t="s">
        <v>358</v>
      </c>
      <c r="B4" s="250" t="s">
        <v>359</v>
      </c>
    </row>
    <row r="5" spans="1:6" s="30" customFormat="1">
      <c r="A5" s="792" t="s">
        <v>360</v>
      </c>
      <c r="B5" s="793"/>
      <c r="C5" s="240" t="s">
        <v>361</v>
      </c>
      <c r="D5" s="241" t="s">
        <v>362</v>
      </c>
    </row>
    <row r="6" spans="1:6" s="251" customFormat="1">
      <c r="A6" s="242">
        <v>1</v>
      </c>
      <c r="B6" s="243" t="s">
        <v>363</v>
      </c>
      <c r="C6" s="243"/>
      <c r="D6" s="244"/>
    </row>
    <row r="7" spans="1:6" s="251" customFormat="1">
      <c r="A7" s="245" t="s">
        <v>364</v>
      </c>
      <c r="B7" s="246" t="s">
        <v>365</v>
      </c>
      <c r="C7" s="296">
        <v>4.4999999999999998E-2</v>
      </c>
      <c r="D7" s="626">
        <f>C7*'5. RWA'!$C$13</f>
        <v>23744415.208693389</v>
      </c>
      <c r="F7" s="655"/>
    </row>
    <row r="8" spans="1:6" s="251" customFormat="1">
      <c r="A8" s="245" t="s">
        <v>366</v>
      </c>
      <c r="B8" s="246" t="s">
        <v>367</v>
      </c>
      <c r="C8" s="297">
        <v>0.06</v>
      </c>
      <c r="D8" s="626">
        <f>C8*'5. RWA'!$C$13</f>
        <v>31659220.278257854</v>
      </c>
      <c r="F8" s="655"/>
    </row>
    <row r="9" spans="1:6" s="251" customFormat="1">
      <c r="A9" s="245" t="s">
        <v>368</v>
      </c>
      <c r="B9" s="246" t="s">
        <v>369</v>
      </c>
      <c r="C9" s="297">
        <v>0.08</v>
      </c>
      <c r="D9" s="626">
        <f>C9*'5. RWA'!$C$13</f>
        <v>42212293.704343803</v>
      </c>
      <c r="F9" s="655"/>
    </row>
    <row r="10" spans="1:6" s="251" customFormat="1">
      <c r="A10" s="242" t="s">
        <v>370</v>
      </c>
      <c r="B10" s="243" t="s">
        <v>371</v>
      </c>
      <c r="C10" s="298"/>
      <c r="D10" s="294"/>
      <c r="F10" s="655"/>
    </row>
    <row r="11" spans="1:6" s="252" customFormat="1">
      <c r="A11" s="247" t="s">
        <v>372</v>
      </c>
      <c r="B11" s="248" t="s">
        <v>434</v>
      </c>
      <c r="C11" s="299">
        <v>2.5000000000000001E-2</v>
      </c>
      <c r="D11" s="627">
        <f>C11*'5. RWA'!$C$13</f>
        <v>13191341.78260744</v>
      </c>
      <c r="F11" s="656"/>
    </row>
    <row r="12" spans="1:6" s="252" customFormat="1">
      <c r="A12" s="247" t="s">
        <v>373</v>
      </c>
      <c r="B12" s="248" t="s">
        <v>374</v>
      </c>
      <c r="C12" s="299">
        <v>0</v>
      </c>
      <c r="D12" s="627">
        <f>C12*'5. RWA'!$C$13</f>
        <v>0</v>
      </c>
      <c r="F12" s="656"/>
    </row>
    <row r="13" spans="1:6" s="252" customFormat="1">
      <c r="A13" s="247" t="s">
        <v>375</v>
      </c>
      <c r="B13" s="248" t="s">
        <v>376</v>
      </c>
      <c r="C13" s="299"/>
      <c r="D13" s="627">
        <f>C13*'5. RWA'!$C$13</f>
        <v>0</v>
      </c>
      <c r="F13" s="656"/>
    </row>
    <row r="14" spans="1:6" s="251" customFormat="1">
      <c r="A14" s="242" t="s">
        <v>377</v>
      </c>
      <c r="B14" s="243" t="s">
        <v>432</v>
      </c>
      <c r="C14" s="300"/>
      <c r="D14" s="294"/>
      <c r="F14" s="655"/>
    </row>
    <row r="15" spans="1:6" s="251" customFormat="1">
      <c r="A15" s="262" t="s">
        <v>380</v>
      </c>
      <c r="B15" s="248" t="s">
        <v>433</v>
      </c>
      <c r="C15" s="299">
        <v>5.6443080010131222E-2</v>
      </c>
      <c r="D15" s="627">
        <f>C15*'5. RWA'!$C$13</f>
        <v>29782398.387067948</v>
      </c>
      <c r="F15" s="655"/>
    </row>
    <row r="16" spans="1:6" s="251" customFormat="1">
      <c r="A16" s="262" t="s">
        <v>381</v>
      </c>
      <c r="B16" s="248" t="s">
        <v>383</v>
      </c>
      <c r="C16" s="299">
        <v>7.1852617079948708E-2</v>
      </c>
      <c r="D16" s="627">
        <f>C16*'5. RWA'!$C$13</f>
        <v>37913297.195056811</v>
      </c>
      <c r="F16" s="655"/>
    </row>
    <row r="17" spans="1:8" s="251" customFormat="1">
      <c r="A17" s="262" t="s">
        <v>382</v>
      </c>
      <c r="B17" s="248" t="s">
        <v>430</v>
      </c>
      <c r="C17" s="299">
        <v>9.2128323750761174E-2</v>
      </c>
      <c r="D17" s="627">
        <f>C17*'5. RWA'!$C$13</f>
        <v>48611848.258200049</v>
      </c>
      <c r="F17" s="655"/>
    </row>
    <row r="18" spans="1:8" s="30" customFormat="1">
      <c r="A18" s="794" t="s">
        <v>431</v>
      </c>
      <c r="B18" s="795"/>
      <c r="C18" s="301" t="s">
        <v>361</v>
      </c>
      <c r="D18" s="295" t="s">
        <v>362</v>
      </c>
      <c r="F18" s="657"/>
    </row>
    <row r="19" spans="1:8" s="251" customFormat="1">
      <c r="A19" s="249">
        <v>4</v>
      </c>
      <c r="B19" s="248" t="s">
        <v>23</v>
      </c>
      <c r="C19" s="299">
        <f>C7+C11+C12+C13+C15</f>
        <v>0.12644308001013121</v>
      </c>
      <c r="D19" s="626">
        <f>C19*'5. RWA'!$C$13</f>
        <v>66718155.378368773</v>
      </c>
      <c r="F19" s="655"/>
    </row>
    <row r="20" spans="1:8" s="251" customFormat="1">
      <c r="A20" s="249">
        <v>5</v>
      </c>
      <c r="B20" s="248" t="s">
        <v>87</v>
      </c>
      <c r="C20" s="299">
        <f>C8+C11+C12+C13+C16</f>
        <v>0.15685261707994869</v>
      </c>
      <c r="D20" s="626">
        <f>C20*'5. RWA'!$C$13</f>
        <v>82763859.255922094</v>
      </c>
      <c r="F20" s="655"/>
    </row>
    <row r="21" spans="1:8" s="251" customFormat="1" ht="14.4" thickBot="1">
      <c r="A21" s="253" t="s">
        <v>378</v>
      </c>
      <c r="B21" s="254" t="s">
        <v>86</v>
      </c>
      <c r="C21" s="302">
        <f>C9+C11+C12+C13+C17</f>
        <v>0.19712832375076117</v>
      </c>
      <c r="D21" s="628">
        <f>C21*'5. RWA'!$C$13</f>
        <v>104015483.7451513</v>
      </c>
      <c r="F21" s="655"/>
    </row>
    <row r="23" spans="1:8" ht="69">
      <c r="B23" s="17" t="s">
        <v>435</v>
      </c>
      <c r="H23" s="1" t="s">
        <v>5</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scale="3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58" activePane="bottomRight" state="frozen"/>
      <selection pane="topRight"/>
      <selection pane="bottomLeft"/>
      <selection pane="bottomRight"/>
    </sheetView>
  </sheetViews>
  <sheetFormatPr defaultRowHeight="14.4"/>
  <cols>
    <col min="1" max="1" width="10.77734375" style="31" customWidth="1"/>
    <col min="2" max="2" width="91.77734375" style="31" customWidth="1"/>
    <col min="3" max="3" width="53.21875" style="648" customWidth="1"/>
    <col min="4" max="4" width="32.21875" style="31" customWidth="1"/>
    <col min="5" max="5" width="9.44140625" customWidth="1"/>
  </cols>
  <sheetData>
    <row r="1" spans="1:6">
      <c r="A1" s="13" t="s">
        <v>109</v>
      </c>
      <c r="B1" s="14" t="str">
        <f>Info!C2</f>
        <v>სს " პაშა ბანკი საქართველო"</v>
      </c>
      <c r="E1" s="1"/>
      <c r="F1" s="1"/>
    </row>
    <row r="2" spans="1:6" s="13" customFormat="1" ht="15.75" customHeight="1">
      <c r="A2" s="13" t="s">
        <v>110</v>
      </c>
      <c r="B2" s="339">
        <f>'1. key ratios'!B2</f>
        <v>45199</v>
      </c>
      <c r="C2" s="649"/>
    </row>
    <row r="3" spans="1:6" s="13" customFormat="1" ht="15.75" customHeight="1">
      <c r="A3" s="20"/>
      <c r="C3" s="649"/>
    </row>
    <row r="4" spans="1:6" s="13" customFormat="1" ht="15.75" customHeight="1" thickBot="1">
      <c r="A4" s="13" t="s">
        <v>259</v>
      </c>
      <c r="B4" s="133" t="s">
        <v>173</v>
      </c>
      <c r="C4" s="649"/>
      <c r="D4" s="135" t="s">
        <v>88</v>
      </c>
    </row>
    <row r="5" spans="1:6" ht="27.6">
      <c r="A5" s="87" t="s">
        <v>26</v>
      </c>
      <c r="B5" s="88" t="s">
        <v>145</v>
      </c>
      <c r="C5" s="634" t="s">
        <v>859</v>
      </c>
      <c r="D5" s="134" t="s">
        <v>174</v>
      </c>
    </row>
    <row r="6" spans="1:6">
      <c r="A6" s="610">
        <v>1</v>
      </c>
      <c r="B6" s="599" t="s">
        <v>844</v>
      </c>
      <c r="C6" s="635">
        <f>SUM(C7:C9)</f>
        <v>93126892.067000002</v>
      </c>
      <c r="D6" s="629"/>
      <c r="E6" s="4"/>
    </row>
    <row r="7" spans="1:6">
      <c r="A7" s="610">
        <v>1.1000000000000001</v>
      </c>
      <c r="B7" s="573" t="s">
        <v>97</v>
      </c>
      <c r="C7" s="636">
        <v>2839608.4022000004</v>
      </c>
      <c r="D7" s="84"/>
      <c r="E7" s="4"/>
    </row>
    <row r="8" spans="1:6">
      <c r="A8" s="610">
        <v>1.2</v>
      </c>
      <c r="B8" s="573" t="s">
        <v>98</v>
      </c>
      <c r="C8" s="636">
        <v>48563402.621699996</v>
      </c>
      <c r="D8" s="84"/>
      <c r="E8" s="4"/>
    </row>
    <row r="9" spans="1:6">
      <c r="A9" s="610">
        <v>1.3</v>
      </c>
      <c r="B9" s="573" t="s">
        <v>99</v>
      </c>
      <c r="C9" s="636">
        <v>41723881.043099999</v>
      </c>
      <c r="D9" s="84"/>
      <c r="E9" s="4"/>
    </row>
    <row r="10" spans="1:6">
      <c r="A10" s="610">
        <v>2</v>
      </c>
      <c r="B10" s="575" t="s">
        <v>731</v>
      </c>
      <c r="C10" s="637">
        <f>C11</f>
        <v>814453.66999999993</v>
      </c>
      <c r="D10" s="84"/>
      <c r="E10" s="4"/>
    </row>
    <row r="11" spans="1:6">
      <c r="A11" s="610">
        <v>2.1</v>
      </c>
      <c r="B11" s="563" t="s">
        <v>732</v>
      </c>
      <c r="C11" s="638">
        <v>814453.66999999993</v>
      </c>
      <c r="D11" s="85"/>
      <c r="E11" s="5"/>
    </row>
    <row r="12" spans="1:6" ht="23.55" customHeight="1">
      <c r="A12" s="610">
        <v>3</v>
      </c>
      <c r="B12" s="564" t="s">
        <v>733</v>
      </c>
      <c r="C12" s="639"/>
      <c r="D12" s="85"/>
      <c r="E12" s="5"/>
    </row>
    <row r="13" spans="1:6" ht="22.95" customHeight="1">
      <c r="A13" s="610">
        <v>4</v>
      </c>
      <c r="B13" s="565" t="s">
        <v>734</v>
      </c>
      <c r="C13" s="639"/>
      <c r="D13" s="85"/>
      <c r="E13" s="5"/>
    </row>
    <row r="14" spans="1:6">
      <c r="A14" s="610">
        <v>5</v>
      </c>
      <c r="B14" s="565" t="s">
        <v>735</v>
      </c>
      <c r="C14" s="639">
        <f>SUM(C15:C17)</f>
        <v>0</v>
      </c>
      <c r="D14" s="85"/>
      <c r="E14" s="5"/>
    </row>
    <row r="15" spans="1:6">
      <c r="A15" s="610">
        <v>5.0999999999999996</v>
      </c>
      <c r="B15" s="566" t="s">
        <v>736</v>
      </c>
      <c r="C15" s="636"/>
      <c r="D15" s="85"/>
      <c r="E15" s="4"/>
    </row>
    <row r="16" spans="1:6">
      <c r="A16" s="610">
        <v>5.2</v>
      </c>
      <c r="B16" s="566" t="s">
        <v>570</v>
      </c>
      <c r="C16" s="636"/>
      <c r="D16" s="84"/>
      <c r="E16" s="4"/>
    </row>
    <row r="17" spans="1:5">
      <c r="A17" s="610">
        <v>5.3</v>
      </c>
      <c r="B17" s="566" t="s">
        <v>737</v>
      </c>
      <c r="C17" s="636"/>
      <c r="D17" s="84"/>
      <c r="E17" s="4"/>
    </row>
    <row r="18" spans="1:5">
      <c r="A18" s="610">
        <v>6</v>
      </c>
      <c r="B18" s="564" t="s">
        <v>738</v>
      </c>
      <c r="C18" s="637">
        <f>SUM(C19:C20)</f>
        <v>374316778.62969995</v>
      </c>
      <c r="D18" s="84"/>
      <c r="E18" s="4"/>
    </row>
    <row r="19" spans="1:5">
      <c r="A19" s="610">
        <v>6.1</v>
      </c>
      <c r="B19" s="566" t="s">
        <v>570</v>
      </c>
      <c r="C19" s="638">
        <v>60018438.668399997</v>
      </c>
      <c r="D19" s="84"/>
      <c r="E19" s="4"/>
    </row>
    <row r="20" spans="1:5">
      <c r="A20" s="610">
        <v>6.2</v>
      </c>
      <c r="B20" s="566" t="s">
        <v>737</v>
      </c>
      <c r="C20" s="638">
        <v>314298339.96129996</v>
      </c>
      <c r="D20" s="84"/>
      <c r="E20" s="4"/>
    </row>
    <row r="21" spans="1:5">
      <c r="A21" s="610">
        <v>7</v>
      </c>
      <c r="B21" s="567" t="s">
        <v>739</v>
      </c>
      <c r="C21" s="639"/>
      <c r="D21" s="84"/>
      <c r="E21" s="4"/>
    </row>
    <row r="22" spans="1:5">
      <c r="A22" s="610">
        <v>8</v>
      </c>
      <c r="B22" s="567" t="s">
        <v>740</v>
      </c>
      <c r="C22" s="637">
        <v>3516866.86</v>
      </c>
      <c r="D22" s="84"/>
      <c r="E22" s="4"/>
    </row>
    <row r="23" spans="1:5">
      <c r="A23" s="610">
        <v>9</v>
      </c>
      <c r="B23" s="565" t="s">
        <v>741</v>
      </c>
      <c r="C23" s="637">
        <f>SUM(C24:C25)</f>
        <v>5141641.96</v>
      </c>
      <c r="D23" s="422"/>
      <c r="E23" s="4"/>
    </row>
    <row r="24" spans="1:5">
      <c r="A24" s="610">
        <v>9.1</v>
      </c>
      <c r="B24" s="568" t="s">
        <v>742</v>
      </c>
      <c r="C24" s="640">
        <v>5141641.96</v>
      </c>
      <c r="D24" s="86"/>
      <c r="E24" s="4"/>
    </row>
    <row r="25" spans="1:5">
      <c r="A25" s="610">
        <v>9.1999999999999993</v>
      </c>
      <c r="B25" s="568" t="s">
        <v>743</v>
      </c>
      <c r="C25" s="641"/>
      <c r="D25" s="421"/>
      <c r="E25" s="3"/>
    </row>
    <row r="26" spans="1:5">
      <c r="A26" s="610">
        <v>10</v>
      </c>
      <c r="B26" s="565" t="s">
        <v>37</v>
      </c>
      <c r="C26" s="642">
        <f>SUM(C27:C28)</f>
        <v>5291279.91</v>
      </c>
      <c r="D26" s="543" t="s">
        <v>936</v>
      </c>
      <c r="E26" s="4"/>
    </row>
    <row r="27" spans="1:5">
      <c r="A27" s="610">
        <v>10.1</v>
      </c>
      <c r="B27" s="568" t="s">
        <v>744</v>
      </c>
      <c r="C27" s="636"/>
      <c r="D27" s="84"/>
      <c r="E27" s="4"/>
    </row>
    <row r="28" spans="1:5">
      <c r="A28" s="610">
        <v>10.199999999999999</v>
      </c>
      <c r="B28" s="568" t="s">
        <v>745</v>
      </c>
      <c r="C28" s="636">
        <v>5291279.91</v>
      </c>
      <c r="D28" s="84"/>
      <c r="E28" s="4"/>
    </row>
    <row r="29" spans="1:5">
      <c r="A29" s="610">
        <v>11</v>
      </c>
      <c r="B29" s="565" t="s">
        <v>746</v>
      </c>
      <c r="C29" s="637">
        <f>SUM(C30:C31)</f>
        <v>0</v>
      </c>
      <c r="D29" s="84"/>
      <c r="E29" s="4"/>
    </row>
    <row r="30" spans="1:5">
      <c r="A30" s="610">
        <v>11.1</v>
      </c>
      <c r="B30" s="568" t="s">
        <v>747</v>
      </c>
      <c r="C30" s="636"/>
      <c r="D30" s="84"/>
      <c r="E30" s="4"/>
    </row>
    <row r="31" spans="1:5">
      <c r="A31" s="610">
        <v>11.2</v>
      </c>
      <c r="B31" s="568" t="s">
        <v>748</v>
      </c>
      <c r="C31" s="636"/>
      <c r="D31" s="84"/>
      <c r="E31" s="4"/>
    </row>
    <row r="32" spans="1:5">
      <c r="A32" s="610">
        <v>13</v>
      </c>
      <c r="B32" s="565" t="s">
        <v>100</v>
      </c>
      <c r="C32" s="637">
        <v>2771663.8903999999</v>
      </c>
      <c r="D32" s="84"/>
      <c r="E32" s="4"/>
    </row>
    <row r="33" spans="1:5">
      <c r="A33" s="610">
        <v>13.1</v>
      </c>
      <c r="B33" s="569" t="s">
        <v>749</v>
      </c>
      <c r="C33" s="636"/>
      <c r="D33" s="84"/>
      <c r="E33" s="4"/>
    </row>
    <row r="34" spans="1:5">
      <c r="A34" s="610">
        <v>13.2</v>
      </c>
      <c r="B34" s="569" t="s">
        <v>750</v>
      </c>
      <c r="C34" s="640"/>
      <c r="D34" s="86"/>
      <c r="E34" s="4"/>
    </row>
    <row r="35" spans="1:5">
      <c r="A35" s="610">
        <v>14</v>
      </c>
      <c r="B35" s="570" t="s">
        <v>751</v>
      </c>
      <c r="C35" s="643">
        <f>SUM(C6,C10,C12,C13,C14,C18,C21,C22,C23,C26,C29,C32)</f>
        <v>484979576.98709995</v>
      </c>
      <c r="D35" s="84"/>
      <c r="E35" s="4"/>
    </row>
    <row r="36" spans="1:5">
      <c r="A36" s="610"/>
      <c r="B36" s="571" t="s">
        <v>105</v>
      </c>
      <c r="C36" s="647"/>
      <c r="D36" s="84"/>
      <c r="E36" s="4"/>
    </row>
    <row r="37" spans="1:5">
      <c r="A37" s="610">
        <v>15</v>
      </c>
      <c r="B37" s="567" t="s">
        <v>752</v>
      </c>
      <c r="C37" s="641">
        <f>C38</f>
        <v>624389.87</v>
      </c>
      <c r="D37" s="421"/>
      <c r="E37" s="3"/>
    </row>
    <row r="38" spans="1:5">
      <c r="A38" s="610">
        <v>15.1</v>
      </c>
      <c r="B38" s="563" t="s">
        <v>732</v>
      </c>
      <c r="C38" s="636">
        <v>624389.87</v>
      </c>
      <c r="D38" s="84"/>
      <c r="E38" s="4"/>
    </row>
    <row r="39" spans="1:5" ht="20.399999999999999">
      <c r="A39" s="610">
        <v>16</v>
      </c>
      <c r="B39" s="567" t="s">
        <v>753</v>
      </c>
      <c r="C39" s="637"/>
      <c r="D39" s="84"/>
      <c r="E39" s="4"/>
    </row>
    <row r="40" spans="1:5">
      <c r="A40" s="610">
        <v>17</v>
      </c>
      <c r="B40" s="567" t="s">
        <v>754</v>
      </c>
      <c r="C40" s="637">
        <f>SUM(C41:C44)</f>
        <v>341011078.32099998</v>
      </c>
      <c r="D40" s="84"/>
      <c r="E40" s="4"/>
    </row>
    <row r="41" spans="1:5">
      <c r="A41" s="610">
        <v>17.100000000000001</v>
      </c>
      <c r="B41" s="572" t="s">
        <v>755</v>
      </c>
      <c r="C41" s="636">
        <v>315744149.53390002</v>
      </c>
      <c r="D41" s="84"/>
      <c r="E41" s="4"/>
    </row>
    <row r="42" spans="1:5">
      <c r="A42" s="630">
        <v>17.2</v>
      </c>
      <c r="B42" s="573" t="s">
        <v>101</v>
      </c>
      <c r="C42" s="640">
        <v>22008573.902199998</v>
      </c>
      <c r="D42" s="86"/>
      <c r="E42" s="4"/>
    </row>
    <row r="43" spans="1:5">
      <c r="A43" s="610">
        <v>17.3</v>
      </c>
      <c r="B43" s="572" t="s">
        <v>756</v>
      </c>
      <c r="C43" s="644"/>
      <c r="D43" s="631"/>
      <c r="E43" s="4"/>
    </row>
    <row r="44" spans="1:5">
      <c r="A44" s="610">
        <v>17.399999999999999</v>
      </c>
      <c r="B44" s="572" t="s">
        <v>757</v>
      </c>
      <c r="C44" s="644">
        <v>3258354.8848999999</v>
      </c>
      <c r="D44" s="631"/>
      <c r="E44" s="4"/>
    </row>
    <row r="45" spans="1:5">
      <c r="A45" s="610">
        <v>18</v>
      </c>
      <c r="B45" s="565" t="s">
        <v>758</v>
      </c>
      <c r="C45" s="645">
        <v>887050.89860000007</v>
      </c>
      <c r="D45" s="631"/>
      <c r="E45" s="3"/>
    </row>
    <row r="46" spans="1:5">
      <c r="A46" s="610">
        <v>19</v>
      </c>
      <c r="B46" s="565" t="s">
        <v>759</v>
      </c>
      <c r="C46" s="645">
        <f>SUM(C47:C48)</f>
        <v>0</v>
      </c>
      <c r="D46" s="632"/>
    </row>
    <row r="47" spans="1:5">
      <c r="A47" s="610">
        <v>19.100000000000001</v>
      </c>
      <c r="B47" s="574" t="s">
        <v>760</v>
      </c>
      <c r="C47" s="644"/>
      <c r="D47" s="632"/>
    </row>
    <row r="48" spans="1:5">
      <c r="A48" s="610">
        <v>19.2</v>
      </c>
      <c r="B48" s="574" t="s">
        <v>761</v>
      </c>
      <c r="C48" s="644"/>
      <c r="D48" s="632"/>
    </row>
    <row r="49" spans="1:4">
      <c r="A49" s="610">
        <v>20</v>
      </c>
      <c r="B49" s="570" t="s">
        <v>102</v>
      </c>
      <c r="C49" s="645">
        <v>27729803.726</v>
      </c>
      <c r="D49" s="543" t="s">
        <v>965</v>
      </c>
    </row>
    <row r="50" spans="1:4">
      <c r="A50" s="610">
        <v>21</v>
      </c>
      <c r="B50" s="575" t="s">
        <v>90</v>
      </c>
      <c r="C50" s="645">
        <v>5206056.1345000006</v>
      </c>
      <c r="D50" s="632"/>
    </row>
    <row r="51" spans="1:4">
      <c r="A51" s="610">
        <v>21.1</v>
      </c>
      <c r="B51" s="573" t="s">
        <v>762</v>
      </c>
      <c r="C51" s="644"/>
      <c r="D51" s="632"/>
    </row>
    <row r="52" spans="1:4">
      <c r="A52" s="610">
        <v>22</v>
      </c>
      <c r="B52" s="570" t="s">
        <v>763</v>
      </c>
      <c r="C52" s="645">
        <f>SUM(C37,C39,C40,C45,C46,C49,C50)</f>
        <v>375458378.9501</v>
      </c>
      <c r="D52" s="632"/>
    </row>
    <row r="53" spans="1:4">
      <c r="A53" s="610"/>
      <c r="B53" s="571" t="s">
        <v>764</v>
      </c>
      <c r="C53" s="644"/>
      <c r="D53" s="632"/>
    </row>
    <row r="54" spans="1:4">
      <c r="A54" s="610">
        <v>23</v>
      </c>
      <c r="B54" s="570" t="s">
        <v>106</v>
      </c>
      <c r="C54" s="645">
        <v>136800000</v>
      </c>
      <c r="D54" s="543" t="s">
        <v>966</v>
      </c>
    </row>
    <row r="55" spans="1:4">
      <c r="A55" s="610">
        <v>24</v>
      </c>
      <c r="B55" s="570" t="s">
        <v>765</v>
      </c>
      <c r="C55" s="645"/>
      <c r="D55" s="632"/>
    </row>
    <row r="56" spans="1:4">
      <c r="A56" s="610">
        <v>25</v>
      </c>
      <c r="B56" s="570" t="s">
        <v>103</v>
      </c>
      <c r="C56" s="645"/>
      <c r="D56" s="632"/>
    </row>
    <row r="57" spans="1:4">
      <c r="A57" s="610">
        <v>26</v>
      </c>
      <c r="B57" s="565" t="s">
        <v>766</v>
      </c>
      <c r="C57" s="645"/>
      <c r="D57" s="632"/>
    </row>
    <row r="58" spans="1:4">
      <c r="A58" s="610">
        <v>27</v>
      </c>
      <c r="B58" s="565" t="s">
        <v>767</v>
      </c>
      <c r="C58" s="645">
        <f>SUM(C59:C60)</f>
        <v>1154910.5</v>
      </c>
      <c r="D58" s="632"/>
    </row>
    <row r="59" spans="1:4">
      <c r="A59" s="610">
        <v>27.1</v>
      </c>
      <c r="B59" s="574" t="s">
        <v>768</v>
      </c>
      <c r="C59" s="644">
        <v>1154910.5</v>
      </c>
      <c r="D59" s="632"/>
    </row>
    <row r="60" spans="1:4">
      <c r="A60" s="610">
        <v>27.2</v>
      </c>
      <c r="B60" s="572" t="s">
        <v>769</v>
      </c>
      <c r="C60" s="644"/>
      <c r="D60" s="632"/>
    </row>
    <row r="61" spans="1:4">
      <c r="A61" s="610">
        <v>28</v>
      </c>
      <c r="B61" s="575" t="s">
        <v>770</v>
      </c>
      <c r="C61" s="645"/>
      <c r="D61" s="632"/>
    </row>
    <row r="62" spans="1:4">
      <c r="A62" s="610">
        <v>29</v>
      </c>
      <c r="B62" s="565" t="s">
        <v>771</v>
      </c>
      <c r="C62" s="645">
        <f>SUM(C63:C65)</f>
        <v>0</v>
      </c>
      <c r="D62" s="632"/>
    </row>
    <row r="63" spans="1:4">
      <c r="A63" s="610">
        <v>29.1</v>
      </c>
      <c r="B63" s="566" t="s">
        <v>772</v>
      </c>
      <c r="C63" s="644"/>
      <c r="D63" s="632"/>
    </row>
    <row r="64" spans="1:4" ht="24" customHeight="1">
      <c r="A64" s="610">
        <v>29.2</v>
      </c>
      <c r="B64" s="574" t="s">
        <v>773</v>
      </c>
      <c r="C64" s="644"/>
      <c r="D64" s="632"/>
    </row>
    <row r="65" spans="1:4" ht="22.05" customHeight="1">
      <c r="A65" s="610">
        <v>29.3</v>
      </c>
      <c r="B65" s="568" t="s">
        <v>774</v>
      </c>
      <c r="C65" s="644"/>
      <c r="D65" s="632"/>
    </row>
    <row r="66" spans="1:4">
      <c r="A66" s="610">
        <v>30</v>
      </c>
      <c r="B66" s="565" t="s">
        <v>104</v>
      </c>
      <c r="C66" s="645">
        <v>-28433712.91</v>
      </c>
      <c r="D66" s="543" t="s">
        <v>967</v>
      </c>
    </row>
    <row r="67" spans="1:4">
      <c r="A67" s="610">
        <v>31</v>
      </c>
      <c r="B67" s="617" t="s">
        <v>775</v>
      </c>
      <c r="C67" s="645">
        <f>SUM(C54,C55,C56,C57,C58,C61,C62,C66)</f>
        <v>109521197.59</v>
      </c>
      <c r="D67" s="632"/>
    </row>
    <row r="68" spans="1:4" ht="15" thickBot="1">
      <c r="A68" s="618">
        <v>32</v>
      </c>
      <c r="B68" s="619" t="s">
        <v>776</v>
      </c>
      <c r="C68" s="646">
        <f>SUM(C52,C67)</f>
        <v>484979576.54009998</v>
      </c>
      <c r="D68" s="633"/>
    </row>
  </sheetData>
  <pageMargins left="0.7" right="0.7" top="0.75" bottom="0.75" header="0.3" footer="0.3"/>
  <pageSetup paperSize="9" scale="3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2" ySplit="7" topLeftCell="D8" activePane="bottomRight" state="frozen"/>
      <selection pane="topRight"/>
      <selection pane="bottomLeft"/>
      <selection pane="bottomRight"/>
    </sheetView>
  </sheetViews>
  <sheetFormatPr defaultColWidth="9.21875" defaultRowHeight="13.8"/>
  <cols>
    <col min="1" max="1" width="10.5546875" style="1" bestFit="1" customWidth="1"/>
    <col min="2" max="2" width="97" style="1" bestFit="1" customWidth="1"/>
    <col min="3" max="18" width="12.21875" style="1" customWidth="1"/>
    <col min="19" max="19" width="31.5546875" style="1" bestFit="1" customWidth="1"/>
    <col min="20" max="16384" width="9.21875" style="8"/>
  </cols>
  <sheetData>
    <row r="1" spans="1:19">
      <c r="A1" s="1" t="s">
        <v>109</v>
      </c>
      <c r="B1" s="1" t="str">
        <f>Info!C2</f>
        <v>სს " პაშა ბანკი საქართველო"</v>
      </c>
    </row>
    <row r="2" spans="1:19">
      <c r="A2" s="1" t="s">
        <v>110</v>
      </c>
      <c r="B2" s="339">
        <f>'1. key ratios'!B2</f>
        <v>45199</v>
      </c>
    </row>
    <row r="4" spans="1:19" ht="28.2" thickBot="1">
      <c r="A4" s="30" t="s">
        <v>260</v>
      </c>
      <c r="B4" s="196" t="s">
        <v>295</v>
      </c>
    </row>
    <row r="5" spans="1:19">
      <c r="A5" s="74"/>
      <c r="B5" s="76"/>
      <c r="C5" s="68" t="s">
        <v>0</v>
      </c>
      <c r="D5" s="68" t="s">
        <v>1</v>
      </c>
      <c r="E5" s="68" t="s">
        <v>2</v>
      </c>
      <c r="F5" s="68" t="s">
        <v>3</v>
      </c>
      <c r="G5" s="68" t="s">
        <v>4</v>
      </c>
      <c r="H5" s="68" t="s">
        <v>6</v>
      </c>
      <c r="I5" s="68" t="s">
        <v>146</v>
      </c>
      <c r="J5" s="68" t="s">
        <v>147</v>
      </c>
      <c r="K5" s="68" t="s">
        <v>148</v>
      </c>
      <c r="L5" s="68" t="s">
        <v>149</v>
      </c>
      <c r="M5" s="68" t="s">
        <v>150</v>
      </c>
      <c r="N5" s="68" t="s">
        <v>151</v>
      </c>
      <c r="O5" s="68" t="s">
        <v>282</v>
      </c>
      <c r="P5" s="68" t="s">
        <v>283</v>
      </c>
      <c r="Q5" s="68" t="s">
        <v>284</v>
      </c>
      <c r="R5" s="189" t="s">
        <v>285</v>
      </c>
      <c r="S5" s="69" t="s">
        <v>286</v>
      </c>
    </row>
    <row r="6" spans="1:19" ht="46.5" customHeight="1">
      <c r="A6" s="89"/>
      <c r="B6" s="800" t="s">
        <v>287</v>
      </c>
      <c r="C6" s="798">
        <v>0</v>
      </c>
      <c r="D6" s="799"/>
      <c r="E6" s="798">
        <v>0.2</v>
      </c>
      <c r="F6" s="799"/>
      <c r="G6" s="798">
        <v>0.35</v>
      </c>
      <c r="H6" s="799"/>
      <c r="I6" s="798">
        <v>0.5</v>
      </c>
      <c r="J6" s="799"/>
      <c r="K6" s="798">
        <v>0.75</v>
      </c>
      <c r="L6" s="799"/>
      <c r="M6" s="798">
        <v>1</v>
      </c>
      <c r="N6" s="799"/>
      <c r="O6" s="798">
        <v>1.5</v>
      </c>
      <c r="P6" s="799"/>
      <c r="Q6" s="798">
        <v>2.5</v>
      </c>
      <c r="R6" s="799"/>
      <c r="S6" s="796" t="s">
        <v>157</v>
      </c>
    </row>
    <row r="7" spans="1:19">
      <c r="A7" s="89"/>
      <c r="B7" s="801"/>
      <c r="C7" s="195" t="s">
        <v>280</v>
      </c>
      <c r="D7" s="195" t="s">
        <v>281</v>
      </c>
      <c r="E7" s="195" t="s">
        <v>280</v>
      </c>
      <c r="F7" s="195" t="s">
        <v>281</v>
      </c>
      <c r="G7" s="195" t="s">
        <v>280</v>
      </c>
      <c r="H7" s="195" t="s">
        <v>281</v>
      </c>
      <c r="I7" s="195" t="s">
        <v>280</v>
      </c>
      <c r="J7" s="195" t="s">
        <v>281</v>
      </c>
      <c r="K7" s="195" t="s">
        <v>280</v>
      </c>
      <c r="L7" s="195" t="s">
        <v>281</v>
      </c>
      <c r="M7" s="195" t="s">
        <v>280</v>
      </c>
      <c r="N7" s="195" t="s">
        <v>281</v>
      </c>
      <c r="O7" s="195" t="s">
        <v>280</v>
      </c>
      <c r="P7" s="195" t="s">
        <v>281</v>
      </c>
      <c r="Q7" s="195" t="s">
        <v>280</v>
      </c>
      <c r="R7" s="195" t="s">
        <v>281</v>
      </c>
      <c r="S7" s="797"/>
    </row>
    <row r="8" spans="1:19">
      <c r="A8" s="72">
        <v>1</v>
      </c>
      <c r="B8" s="109" t="s">
        <v>135</v>
      </c>
      <c r="C8" s="650">
        <v>7416339.6200000001</v>
      </c>
      <c r="D8" s="650"/>
      <c r="E8" s="650">
        <v>0</v>
      </c>
      <c r="F8" s="651"/>
      <c r="G8" s="650">
        <v>0</v>
      </c>
      <c r="H8" s="650"/>
      <c r="I8" s="650">
        <v>0</v>
      </c>
      <c r="J8" s="650"/>
      <c r="K8" s="650">
        <v>0</v>
      </c>
      <c r="L8" s="650"/>
      <c r="M8" s="650">
        <v>46493463.001699999</v>
      </c>
      <c r="N8" s="650"/>
      <c r="O8" s="650">
        <v>0</v>
      </c>
      <c r="P8" s="650"/>
      <c r="Q8" s="650">
        <v>0</v>
      </c>
      <c r="R8" s="651"/>
      <c r="S8" s="652">
        <f>$C$6*SUM(C8:D8)+$E$6*SUM(E8:F8)+$G$6*SUM(G8:H8)+$I$6*SUM(I8:J8)+$K$6*SUM(K8:L8)+$M$6*SUM(M8:N8)+$O$6*SUM(O8:P8)+$Q$6*SUM(Q8:R8)</f>
        <v>46493463.001699999</v>
      </c>
    </row>
    <row r="9" spans="1:19">
      <c r="A9" s="72">
        <v>2</v>
      </c>
      <c r="B9" s="109" t="s">
        <v>136</v>
      </c>
      <c r="C9" s="650">
        <v>0</v>
      </c>
      <c r="D9" s="650"/>
      <c r="E9" s="650">
        <v>0</v>
      </c>
      <c r="F9" s="650"/>
      <c r="G9" s="650">
        <v>0</v>
      </c>
      <c r="H9" s="650"/>
      <c r="I9" s="650">
        <v>0</v>
      </c>
      <c r="J9" s="650"/>
      <c r="K9" s="650">
        <v>0</v>
      </c>
      <c r="L9" s="650"/>
      <c r="M9" s="650">
        <v>0</v>
      </c>
      <c r="N9" s="650"/>
      <c r="O9" s="650">
        <v>0</v>
      </c>
      <c r="P9" s="650"/>
      <c r="Q9" s="650">
        <v>0</v>
      </c>
      <c r="R9" s="651"/>
      <c r="S9" s="652">
        <f t="shared" ref="S9:S21" si="0">$C$6*SUM(C9:D9)+$E$6*SUM(E9:F9)+$G$6*SUM(G9:H9)+$I$6*SUM(I9:J9)+$K$6*SUM(K9:L9)+$M$6*SUM(M9:N9)+$O$6*SUM(O9:P9)+$Q$6*SUM(Q9:R9)</f>
        <v>0</v>
      </c>
    </row>
    <row r="10" spans="1:19">
      <c r="A10" s="72">
        <v>3</v>
      </c>
      <c r="B10" s="109" t="s">
        <v>137</v>
      </c>
      <c r="C10" s="650">
        <v>0</v>
      </c>
      <c r="D10" s="650"/>
      <c r="E10" s="650">
        <v>0</v>
      </c>
      <c r="F10" s="650"/>
      <c r="G10" s="650">
        <v>0</v>
      </c>
      <c r="H10" s="650"/>
      <c r="I10" s="650">
        <v>0</v>
      </c>
      <c r="J10" s="650"/>
      <c r="K10" s="650">
        <v>0</v>
      </c>
      <c r="L10" s="650"/>
      <c r="M10" s="650">
        <v>0</v>
      </c>
      <c r="N10" s="650"/>
      <c r="O10" s="650">
        <v>0</v>
      </c>
      <c r="P10" s="650"/>
      <c r="Q10" s="650">
        <v>0</v>
      </c>
      <c r="R10" s="651"/>
      <c r="S10" s="652">
        <f t="shared" si="0"/>
        <v>0</v>
      </c>
    </row>
    <row r="11" spans="1:19">
      <c r="A11" s="72">
        <v>4</v>
      </c>
      <c r="B11" s="109" t="s">
        <v>138</v>
      </c>
      <c r="C11" s="650">
        <v>0</v>
      </c>
      <c r="D11" s="650"/>
      <c r="E11" s="650">
        <v>0</v>
      </c>
      <c r="F11" s="650"/>
      <c r="G11" s="650">
        <v>0</v>
      </c>
      <c r="H11" s="650"/>
      <c r="I11" s="650">
        <v>0</v>
      </c>
      <c r="J11" s="650"/>
      <c r="K11" s="650">
        <v>0</v>
      </c>
      <c r="L11" s="650"/>
      <c r="M11" s="650">
        <v>0</v>
      </c>
      <c r="N11" s="650"/>
      <c r="O11" s="650">
        <v>0</v>
      </c>
      <c r="P11" s="650"/>
      <c r="Q11" s="650">
        <v>0</v>
      </c>
      <c r="R11" s="651"/>
      <c r="S11" s="652">
        <f t="shared" si="0"/>
        <v>0</v>
      </c>
    </row>
    <row r="12" spans="1:19">
      <c r="A12" s="72">
        <v>5</v>
      </c>
      <c r="B12" s="109" t="s">
        <v>950</v>
      </c>
      <c r="C12" s="650">
        <v>0</v>
      </c>
      <c r="D12" s="650"/>
      <c r="E12" s="650">
        <v>0</v>
      </c>
      <c r="F12" s="650"/>
      <c r="G12" s="650">
        <v>0</v>
      </c>
      <c r="H12" s="650"/>
      <c r="I12" s="650">
        <v>0</v>
      </c>
      <c r="J12" s="650"/>
      <c r="K12" s="650">
        <v>0</v>
      </c>
      <c r="L12" s="650"/>
      <c r="M12" s="650">
        <v>0</v>
      </c>
      <c r="N12" s="650"/>
      <c r="O12" s="650">
        <v>0</v>
      </c>
      <c r="P12" s="650"/>
      <c r="Q12" s="650">
        <v>0</v>
      </c>
      <c r="R12" s="651"/>
      <c r="S12" s="652">
        <f t="shared" si="0"/>
        <v>0</v>
      </c>
    </row>
    <row r="13" spans="1:19">
      <c r="A13" s="72">
        <v>6</v>
      </c>
      <c r="B13" s="109" t="s">
        <v>139</v>
      </c>
      <c r="C13" s="650">
        <v>0</v>
      </c>
      <c r="D13" s="650"/>
      <c r="E13" s="650">
        <v>30836934.151000001</v>
      </c>
      <c r="F13" s="650"/>
      <c r="G13" s="650">
        <v>0</v>
      </c>
      <c r="H13" s="650"/>
      <c r="I13" s="650">
        <v>11451907.612400001</v>
      </c>
      <c r="J13" s="650"/>
      <c r="K13" s="650">
        <v>0</v>
      </c>
      <c r="L13" s="650"/>
      <c r="M13" s="650">
        <v>98200</v>
      </c>
      <c r="N13" s="650">
        <v>335000</v>
      </c>
      <c r="O13" s="650">
        <v>0</v>
      </c>
      <c r="P13" s="650"/>
      <c r="Q13" s="650">
        <v>0</v>
      </c>
      <c r="R13" s="651"/>
      <c r="S13" s="652">
        <f t="shared" si="0"/>
        <v>12326540.636400001</v>
      </c>
    </row>
    <row r="14" spans="1:19">
      <c r="A14" s="72">
        <v>7</v>
      </c>
      <c r="B14" s="109" t="s">
        <v>72</v>
      </c>
      <c r="C14" s="650">
        <v>0</v>
      </c>
      <c r="D14" s="650"/>
      <c r="E14" s="650">
        <v>0</v>
      </c>
      <c r="F14" s="650"/>
      <c r="G14" s="650">
        <v>0</v>
      </c>
      <c r="H14" s="650"/>
      <c r="I14" s="650">
        <v>0</v>
      </c>
      <c r="J14" s="650"/>
      <c r="K14" s="650">
        <v>0</v>
      </c>
      <c r="L14" s="650"/>
      <c r="M14" s="650">
        <v>275957881.44139999</v>
      </c>
      <c r="N14" s="650">
        <v>6534112.99871</v>
      </c>
      <c r="O14" s="650">
        <v>0</v>
      </c>
      <c r="P14" s="650"/>
      <c r="Q14" s="650">
        <v>0</v>
      </c>
      <c r="R14" s="651"/>
      <c r="S14" s="652">
        <f t="shared" si="0"/>
        <v>282491994.44010997</v>
      </c>
    </row>
    <row r="15" spans="1:19">
      <c r="A15" s="72">
        <v>8</v>
      </c>
      <c r="B15" s="109" t="s">
        <v>73</v>
      </c>
      <c r="C15" s="650">
        <v>0</v>
      </c>
      <c r="D15" s="650"/>
      <c r="E15" s="650">
        <v>0</v>
      </c>
      <c r="F15" s="650"/>
      <c r="G15" s="650">
        <v>0</v>
      </c>
      <c r="H15" s="650"/>
      <c r="I15" s="650">
        <v>0</v>
      </c>
      <c r="J15" s="650"/>
      <c r="K15" s="650">
        <v>49748486.081500001</v>
      </c>
      <c r="L15" s="650"/>
      <c r="M15" s="650">
        <v>13368.270699999999</v>
      </c>
      <c r="N15" s="650">
        <v>47655563.958499998</v>
      </c>
      <c r="O15" s="650">
        <v>0</v>
      </c>
      <c r="P15" s="650"/>
      <c r="Q15" s="650">
        <v>0</v>
      </c>
      <c r="R15" s="651"/>
      <c r="S15" s="652">
        <f t="shared" si="0"/>
        <v>84980296.790325001</v>
      </c>
    </row>
    <row r="16" spans="1:19">
      <c r="A16" s="72">
        <v>9</v>
      </c>
      <c r="B16" s="109" t="s">
        <v>951</v>
      </c>
      <c r="C16" s="650">
        <v>0</v>
      </c>
      <c r="D16" s="650"/>
      <c r="E16" s="650">
        <v>0</v>
      </c>
      <c r="F16" s="650"/>
      <c r="G16" s="650">
        <v>0</v>
      </c>
      <c r="H16" s="650"/>
      <c r="I16" s="650">
        <v>0</v>
      </c>
      <c r="J16" s="650"/>
      <c r="K16" s="650">
        <v>0</v>
      </c>
      <c r="L16" s="650"/>
      <c r="M16" s="650">
        <v>0</v>
      </c>
      <c r="N16" s="650"/>
      <c r="O16" s="650">
        <v>0</v>
      </c>
      <c r="P16" s="650"/>
      <c r="Q16" s="650">
        <v>0</v>
      </c>
      <c r="R16" s="651"/>
      <c r="S16" s="652">
        <f t="shared" si="0"/>
        <v>0</v>
      </c>
    </row>
    <row r="17" spans="1:19">
      <c r="A17" s="72">
        <v>10</v>
      </c>
      <c r="B17" s="109" t="s">
        <v>68</v>
      </c>
      <c r="C17" s="650">
        <v>0</v>
      </c>
      <c r="D17" s="650"/>
      <c r="E17" s="650">
        <v>0</v>
      </c>
      <c r="F17" s="650"/>
      <c r="G17" s="650">
        <v>0</v>
      </c>
      <c r="H17" s="650"/>
      <c r="I17" s="650">
        <v>0</v>
      </c>
      <c r="J17" s="650"/>
      <c r="K17" s="650">
        <v>2716671.4232999999</v>
      </c>
      <c r="L17" s="650"/>
      <c r="M17" s="650">
        <v>40673023.731799997</v>
      </c>
      <c r="N17" s="650"/>
      <c r="O17" s="650">
        <v>0</v>
      </c>
      <c r="P17" s="650"/>
      <c r="Q17" s="650">
        <v>0</v>
      </c>
      <c r="R17" s="651"/>
      <c r="S17" s="652">
        <f t="shared" si="0"/>
        <v>42710527.299274996</v>
      </c>
    </row>
    <row r="18" spans="1:19">
      <c r="A18" s="72">
        <v>11</v>
      </c>
      <c r="B18" s="109" t="s">
        <v>69</v>
      </c>
      <c r="C18" s="650">
        <v>0</v>
      </c>
      <c r="D18" s="650"/>
      <c r="E18" s="650">
        <v>0</v>
      </c>
      <c r="F18" s="650"/>
      <c r="G18" s="650">
        <v>0</v>
      </c>
      <c r="H18" s="650"/>
      <c r="I18" s="650">
        <v>0</v>
      </c>
      <c r="J18" s="650"/>
      <c r="K18" s="650">
        <v>0</v>
      </c>
      <c r="L18" s="650"/>
      <c r="M18" s="650">
        <v>0</v>
      </c>
      <c r="N18" s="650"/>
      <c r="O18" s="650">
        <v>0</v>
      </c>
      <c r="P18" s="650"/>
      <c r="Q18" s="650">
        <v>0</v>
      </c>
      <c r="R18" s="651"/>
      <c r="S18" s="652">
        <f t="shared" si="0"/>
        <v>0</v>
      </c>
    </row>
    <row r="19" spans="1:19">
      <c r="A19" s="72">
        <v>12</v>
      </c>
      <c r="B19" s="109" t="s">
        <v>70</v>
      </c>
      <c r="C19" s="650">
        <v>0</v>
      </c>
      <c r="D19" s="650"/>
      <c r="E19" s="650">
        <v>0</v>
      </c>
      <c r="F19" s="650"/>
      <c r="G19" s="650">
        <v>0</v>
      </c>
      <c r="H19" s="650"/>
      <c r="I19" s="650">
        <v>0</v>
      </c>
      <c r="J19" s="650"/>
      <c r="K19" s="650">
        <v>0</v>
      </c>
      <c r="L19" s="650"/>
      <c r="M19" s="650">
        <v>0</v>
      </c>
      <c r="N19" s="650"/>
      <c r="O19" s="650">
        <v>0</v>
      </c>
      <c r="P19" s="650"/>
      <c r="Q19" s="650">
        <v>0</v>
      </c>
      <c r="R19" s="651"/>
      <c r="S19" s="652">
        <f t="shared" si="0"/>
        <v>0</v>
      </c>
    </row>
    <row r="20" spans="1:19">
      <c r="A20" s="72">
        <v>13</v>
      </c>
      <c r="B20" s="109" t="s">
        <v>71</v>
      </c>
      <c r="C20" s="650">
        <v>0</v>
      </c>
      <c r="D20" s="650"/>
      <c r="E20" s="650">
        <v>0</v>
      </c>
      <c r="F20" s="650"/>
      <c r="G20" s="650">
        <v>0</v>
      </c>
      <c r="H20" s="650"/>
      <c r="I20" s="650">
        <v>0</v>
      </c>
      <c r="J20" s="650"/>
      <c r="K20" s="650">
        <v>0</v>
      </c>
      <c r="L20" s="650"/>
      <c r="M20" s="650">
        <v>0</v>
      </c>
      <c r="N20" s="650"/>
      <c r="O20" s="650">
        <v>0</v>
      </c>
      <c r="P20" s="650"/>
      <c r="Q20" s="650">
        <v>0</v>
      </c>
      <c r="R20" s="651"/>
      <c r="S20" s="652">
        <f t="shared" si="0"/>
        <v>0</v>
      </c>
    </row>
    <row r="21" spans="1:19">
      <c r="A21" s="72">
        <v>14</v>
      </c>
      <c r="B21" s="109" t="s">
        <v>155</v>
      </c>
      <c r="C21" s="650">
        <v>2839608.4021999999</v>
      </c>
      <c r="D21" s="650"/>
      <c r="E21" s="650">
        <v>0</v>
      </c>
      <c r="F21" s="650"/>
      <c r="G21" s="650">
        <v>0</v>
      </c>
      <c r="H21" s="650"/>
      <c r="I21" s="650">
        <v>0</v>
      </c>
      <c r="J21" s="650"/>
      <c r="K21" s="650">
        <v>0</v>
      </c>
      <c r="L21" s="650"/>
      <c r="M21" s="650">
        <v>11442413.341399999</v>
      </c>
      <c r="N21" s="650"/>
      <c r="O21" s="650">
        <v>0</v>
      </c>
      <c r="P21" s="650"/>
      <c r="Q21" s="650">
        <v>0</v>
      </c>
      <c r="R21" s="651"/>
      <c r="S21" s="652">
        <f t="shared" si="0"/>
        <v>11442413.341399999</v>
      </c>
    </row>
    <row r="22" spans="1:19" ht="14.4" thickBot="1">
      <c r="A22" s="55"/>
      <c r="B22" s="93" t="s">
        <v>67</v>
      </c>
      <c r="C22" s="174">
        <f>SUM(C8:C21)</f>
        <v>10255948.0222</v>
      </c>
      <c r="D22" s="174">
        <f t="shared" ref="D22:S22" si="1">SUM(D8:D21)</f>
        <v>0</v>
      </c>
      <c r="E22" s="174">
        <f t="shared" si="1"/>
        <v>30836934.151000001</v>
      </c>
      <c r="F22" s="174">
        <f t="shared" si="1"/>
        <v>0</v>
      </c>
      <c r="G22" s="174">
        <f t="shared" si="1"/>
        <v>0</v>
      </c>
      <c r="H22" s="174">
        <f t="shared" si="1"/>
        <v>0</v>
      </c>
      <c r="I22" s="174">
        <f t="shared" si="1"/>
        <v>11451907.612400001</v>
      </c>
      <c r="J22" s="174">
        <f t="shared" si="1"/>
        <v>0</v>
      </c>
      <c r="K22" s="174">
        <f t="shared" si="1"/>
        <v>52465157.504799999</v>
      </c>
      <c r="L22" s="174">
        <f t="shared" si="1"/>
        <v>0</v>
      </c>
      <c r="M22" s="174">
        <f t="shared" si="1"/>
        <v>374678349.787</v>
      </c>
      <c r="N22" s="174">
        <f t="shared" si="1"/>
        <v>54524676.957209997</v>
      </c>
      <c r="O22" s="174">
        <f t="shared" si="1"/>
        <v>0</v>
      </c>
      <c r="P22" s="174">
        <f t="shared" si="1"/>
        <v>0</v>
      </c>
      <c r="Q22" s="174">
        <f t="shared" si="1"/>
        <v>0</v>
      </c>
      <c r="R22" s="174">
        <f t="shared" si="1"/>
        <v>0</v>
      </c>
      <c r="S22" s="199">
        <f t="shared" si="1"/>
        <v>480445235.50920999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L7" activePane="bottomRight" state="frozen"/>
      <selection pane="topRight"/>
      <selection pane="bottomLeft"/>
      <selection pane="bottomRight"/>
    </sheetView>
  </sheetViews>
  <sheetFormatPr defaultColWidth="9.21875" defaultRowHeight="13.8"/>
  <cols>
    <col min="1" max="1" width="10.5546875" style="1" bestFit="1" customWidth="1"/>
    <col min="2" max="2" width="97" style="1" bestFit="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109</v>
      </c>
      <c r="B1" s="1" t="str">
        <f>Info!C2</f>
        <v>სს " პაშა ბანკი საქართველო"</v>
      </c>
    </row>
    <row r="2" spans="1:22">
      <c r="A2" s="1" t="s">
        <v>110</v>
      </c>
      <c r="B2" s="339">
        <f>'1. key ratios'!B2</f>
        <v>45199</v>
      </c>
    </row>
    <row r="4" spans="1:22" ht="28.2" thickBot="1">
      <c r="A4" s="1" t="s">
        <v>261</v>
      </c>
      <c r="B4" s="196" t="s">
        <v>296</v>
      </c>
      <c r="V4" s="135" t="s">
        <v>88</v>
      </c>
    </row>
    <row r="5" spans="1:22">
      <c r="A5" s="53"/>
      <c r="B5" s="54"/>
      <c r="C5" s="802" t="s">
        <v>117</v>
      </c>
      <c r="D5" s="803"/>
      <c r="E5" s="803"/>
      <c r="F5" s="803"/>
      <c r="G5" s="803"/>
      <c r="H5" s="803"/>
      <c r="I5" s="803"/>
      <c r="J5" s="803"/>
      <c r="K5" s="803"/>
      <c r="L5" s="804"/>
      <c r="M5" s="802" t="s">
        <v>118</v>
      </c>
      <c r="N5" s="803"/>
      <c r="O5" s="803"/>
      <c r="P5" s="803"/>
      <c r="Q5" s="803"/>
      <c r="R5" s="803"/>
      <c r="S5" s="804"/>
      <c r="T5" s="807" t="s">
        <v>294</v>
      </c>
      <c r="U5" s="807" t="s">
        <v>293</v>
      </c>
      <c r="V5" s="805" t="s">
        <v>119</v>
      </c>
    </row>
    <row r="6" spans="1:22" s="30" customFormat="1" ht="138">
      <c r="A6" s="70"/>
      <c r="B6" s="111"/>
      <c r="C6" s="51" t="s">
        <v>120</v>
      </c>
      <c r="D6" s="50" t="s">
        <v>121</v>
      </c>
      <c r="E6" s="48" t="s">
        <v>122</v>
      </c>
      <c r="F6" s="48" t="s">
        <v>288</v>
      </c>
      <c r="G6" s="50" t="s">
        <v>123</v>
      </c>
      <c r="H6" s="50" t="s">
        <v>124</v>
      </c>
      <c r="I6" s="50" t="s">
        <v>125</v>
      </c>
      <c r="J6" s="50" t="s">
        <v>154</v>
      </c>
      <c r="K6" s="50" t="s">
        <v>126</v>
      </c>
      <c r="L6" s="52" t="s">
        <v>127</v>
      </c>
      <c r="M6" s="51" t="s">
        <v>128</v>
      </c>
      <c r="N6" s="50" t="s">
        <v>129</v>
      </c>
      <c r="O6" s="50" t="s">
        <v>130</v>
      </c>
      <c r="P6" s="50" t="s">
        <v>131</v>
      </c>
      <c r="Q6" s="50" t="s">
        <v>132</v>
      </c>
      <c r="R6" s="50" t="s">
        <v>133</v>
      </c>
      <c r="S6" s="52" t="s">
        <v>134</v>
      </c>
      <c r="T6" s="808"/>
      <c r="U6" s="808"/>
      <c r="V6" s="806"/>
    </row>
    <row r="7" spans="1:22">
      <c r="A7" s="92">
        <v>1</v>
      </c>
      <c r="B7" s="109" t="s">
        <v>135</v>
      </c>
      <c r="C7" s="175"/>
      <c r="D7" s="173"/>
      <c r="E7" s="173"/>
      <c r="F7" s="173"/>
      <c r="G7" s="173"/>
      <c r="H7" s="173"/>
      <c r="I7" s="173"/>
      <c r="J7" s="173"/>
      <c r="K7" s="173"/>
      <c r="L7" s="176"/>
      <c r="M7" s="175"/>
      <c r="N7" s="173"/>
      <c r="O7" s="173"/>
      <c r="P7" s="173"/>
      <c r="Q7" s="173"/>
      <c r="R7" s="173"/>
      <c r="S7" s="176"/>
      <c r="T7" s="193"/>
      <c r="U7" s="192"/>
      <c r="V7" s="177">
        <f>SUM(C7:S7)</f>
        <v>0</v>
      </c>
    </row>
    <row r="8" spans="1:22">
      <c r="A8" s="92">
        <v>2</v>
      </c>
      <c r="B8" s="109" t="s">
        <v>136</v>
      </c>
      <c r="C8" s="175"/>
      <c r="D8" s="173"/>
      <c r="E8" s="173"/>
      <c r="F8" s="173"/>
      <c r="G8" s="173"/>
      <c r="H8" s="173"/>
      <c r="I8" s="173"/>
      <c r="J8" s="173"/>
      <c r="K8" s="173"/>
      <c r="L8" s="176"/>
      <c r="M8" s="175"/>
      <c r="N8" s="173"/>
      <c r="O8" s="173"/>
      <c r="P8" s="173"/>
      <c r="Q8" s="173"/>
      <c r="R8" s="173"/>
      <c r="S8" s="176"/>
      <c r="T8" s="192"/>
      <c r="U8" s="192"/>
      <c r="V8" s="177">
        <f t="shared" ref="V8:V20" si="0">SUM(C8:S8)</f>
        <v>0</v>
      </c>
    </row>
    <row r="9" spans="1:22">
      <c r="A9" s="92">
        <v>3</v>
      </c>
      <c r="B9" s="109" t="s">
        <v>137</v>
      </c>
      <c r="C9" s="175"/>
      <c r="D9" s="173"/>
      <c r="E9" s="173"/>
      <c r="F9" s="173"/>
      <c r="G9" s="173"/>
      <c r="H9" s="173"/>
      <c r="I9" s="173"/>
      <c r="J9" s="173"/>
      <c r="K9" s="173"/>
      <c r="L9" s="176"/>
      <c r="M9" s="175"/>
      <c r="N9" s="173"/>
      <c r="O9" s="173"/>
      <c r="P9" s="173"/>
      <c r="Q9" s="173"/>
      <c r="R9" s="173"/>
      <c r="S9" s="176"/>
      <c r="T9" s="192"/>
      <c r="U9" s="192"/>
      <c r="V9" s="177">
        <f>SUM(C9:S9)</f>
        <v>0</v>
      </c>
    </row>
    <row r="10" spans="1:22">
      <c r="A10" s="92">
        <v>4</v>
      </c>
      <c r="B10" s="109" t="s">
        <v>138</v>
      </c>
      <c r="C10" s="175"/>
      <c r="D10" s="173"/>
      <c r="E10" s="173"/>
      <c r="F10" s="173"/>
      <c r="G10" s="173"/>
      <c r="H10" s="173"/>
      <c r="I10" s="173"/>
      <c r="J10" s="173"/>
      <c r="K10" s="173"/>
      <c r="L10" s="176"/>
      <c r="M10" s="175"/>
      <c r="N10" s="173"/>
      <c r="O10" s="173"/>
      <c r="P10" s="173"/>
      <c r="Q10" s="173"/>
      <c r="R10" s="173"/>
      <c r="S10" s="176"/>
      <c r="T10" s="192"/>
      <c r="U10" s="192"/>
      <c r="V10" s="177">
        <f t="shared" si="0"/>
        <v>0</v>
      </c>
    </row>
    <row r="11" spans="1:22">
      <c r="A11" s="92">
        <v>5</v>
      </c>
      <c r="B11" s="109" t="s">
        <v>950</v>
      </c>
      <c r="C11" s="175"/>
      <c r="D11" s="173"/>
      <c r="E11" s="173"/>
      <c r="F11" s="173"/>
      <c r="G11" s="173"/>
      <c r="H11" s="173"/>
      <c r="I11" s="173"/>
      <c r="J11" s="173"/>
      <c r="K11" s="173"/>
      <c r="L11" s="176"/>
      <c r="M11" s="175"/>
      <c r="N11" s="173"/>
      <c r="O11" s="173"/>
      <c r="P11" s="173"/>
      <c r="Q11" s="173"/>
      <c r="R11" s="173"/>
      <c r="S11" s="176"/>
      <c r="T11" s="192"/>
      <c r="U11" s="192"/>
      <c r="V11" s="177">
        <f t="shared" si="0"/>
        <v>0</v>
      </c>
    </row>
    <row r="12" spans="1:22">
      <c r="A12" s="92">
        <v>6</v>
      </c>
      <c r="B12" s="109" t="s">
        <v>139</v>
      </c>
      <c r="C12" s="175"/>
      <c r="D12" s="173"/>
      <c r="E12" s="173"/>
      <c r="F12" s="173"/>
      <c r="G12" s="173"/>
      <c r="H12" s="173"/>
      <c r="I12" s="173"/>
      <c r="J12" s="173"/>
      <c r="K12" s="173"/>
      <c r="L12" s="176"/>
      <c r="M12" s="175"/>
      <c r="N12" s="173"/>
      <c r="O12" s="173"/>
      <c r="P12" s="173"/>
      <c r="Q12" s="173"/>
      <c r="R12" s="173"/>
      <c r="S12" s="176"/>
      <c r="T12" s="192"/>
      <c r="U12" s="192"/>
      <c r="V12" s="177">
        <f t="shared" si="0"/>
        <v>0</v>
      </c>
    </row>
    <row r="13" spans="1:22">
      <c r="A13" s="92">
        <v>7</v>
      </c>
      <c r="B13" s="109" t="s">
        <v>72</v>
      </c>
      <c r="C13" s="175"/>
      <c r="D13" s="173">
        <v>3290343.7961999997</v>
      </c>
      <c r="E13" s="173"/>
      <c r="F13" s="173"/>
      <c r="G13" s="173"/>
      <c r="H13" s="173"/>
      <c r="I13" s="173"/>
      <c r="J13" s="173"/>
      <c r="K13" s="173"/>
      <c r="L13" s="176"/>
      <c r="M13" s="175"/>
      <c r="N13" s="173"/>
      <c r="O13" s="173"/>
      <c r="P13" s="173"/>
      <c r="Q13" s="173"/>
      <c r="R13" s="173"/>
      <c r="S13" s="176"/>
      <c r="T13" s="192">
        <v>1054028.1780999999</v>
      </c>
      <c r="U13" s="192">
        <v>2236315.6181000001</v>
      </c>
      <c r="V13" s="177">
        <f t="shared" si="0"/>
        <v>3290343.7961999997</v>
      </c>
    </row>
    <row r="14" spans="1:22">
      <c r="A14" s="92">
        <v>8</v>
      </c>
      <c r="B14" s="109" t="s">
        <v>73</v>
      </c>
      <c r="C14" s="175"/>
      <c r="D14" s="173">
        <v>96000.204500000007</v>
      </c>
      <c r="E14" s="173"/>
      <c r="F14" s="173"/>
      <c r="G14" s="173"/>
      <c r="H14" s="173"/>
      <c r="I14" s="173"/>
      <c r="J14" s="173"/>
      <c r="K14" s="173"/>
      <c r="L14" s="176"/>
      <c r="M14" s="175"/>
      <c r="N14" s="173"/>
      <c r="O14" s="173"/>
      <c r="P14" s="173"/>
      <c r="Q14" s="173"/>
      <c r="R14" s="173"/>
      <c r="S14" s="176"/>
      <c r="T14" s="192">
        <v>96000.204500000007</v>
      </c>
      <c r="U14" s="192">
        <v>0</v>
      </c>
      <c r="V14" s="177">
        <f t="shared" si="0"/>
        <v>96000.204500000007</v>
      </c>
    </row>
    <row r="15" spans="1:22">
      <c r="A15" s="92">
        <v>9</v>
      </c>
      <c r="B15" s="109" t="s">
        <v>951</v>
      </c>
      <c r="C15" s="175"/>
      <c r="D15" s="173"/>
      <c r="E15" s="173"/>
      <c r="F15" s="173"/>
      <c r="G15" s="173"/>
      <c r="H15" s="173"/>
      <c r="I15" s="173"/>
      <c r="J15" s="173"/>
      <c r="K15" s="173"/>
      <c r="L15" s="176"/>
      <c r="M15" s="175"/>
      <c r="N15" s="173"/>
      <c r="O15" s="173"/>
      <c r="P15" s="173"/>
      <c r="Q15" s="173"/>
      <c r="R15" s="173"/>
      <c r="S15" s="176"/>
      <c r="T15" s="192"/>
      <c r="U15" s="192"/>
      <c r="V15" s="177">
        <f t="shared" si="0"/>
        <v>0</v>
      </c>
    </row>
    <row r="16" spans="1:22">
      <c r="A16" s="92">
        <v>10</v>
      </c>
      <c r="B16" s="109" t="s">
        <v>68</v>
      </c>
      <c r="C16" s="175"/>
      <c r="D16" s="173">
        <v>0</v>
      </c>
      <c r="E16" s="173"/>
      <c r="F16" s="173"/>
      <c r="G16" s="173"/>
      <c r="H16" s="173"/>
      <c r="I16" s="173"/>
      <c r="J16" s="173"/>
      <c r="K16" s="173"/>
      <c r="L16" s="176"/>
      <c r="M16" s="175"/>
      <c r="N16" s="173"/>
      <c r="O16" s="173"/>
      <c r="P16" s="173"/>
      <c r="Q16" s="173"/>
      <c r="R16" s="173"/>
      <c r="S16" s="176"/>
      <c r="T16" s="192">
        <v>0</v>
      </c>
      <c r="U16" s="192"/>
      <c r="V16" s="177">
        <f t="shared" si="0"/>
        <v>0</v>
      </c>
    </row>
    <row r="17" spans="1:22">
      <c r="A17" s="92">
        <v>11</v>
      </c>
      <c r="B17" s="109" t="s">
        <v>69</v>
      </c>
      <c r="C17" s="175"/>
      <c r="D17" s="173"/>
      <c r="E17" s="173"/>
      <c r="F17" s="173"/>
      <c r="G17" s="173"/>
      <c r="H17" s="173"/>
      <c r="I17" s="173"/>
      <c r="J17" s="173"/>
      <c r="K17" s="173"/>
      <c r="L17" s="176"/>
      <c r="M17" s="175"/>
      <c r="N17" s="173"/>
      <c r="O17" s="173"/>
      <c r="P17" s="173"/>
      <c r="Q17" s="173"/>
      <c r="R17" s="173"/>
      <c r="S17" s="176"/>
      <c r="T17" s="192"/>
      <c r="U17" s="192"/>
      <c r="V17" s="177">
        <f t="shared" si="0"/>
        <v>0</v>
      </c>
    </row>
    <row r="18" spans="1:22">
      <c r="A18" s="92">
        <v>12</v>
      </c>
      <c r="B18" s="109" t="s">
        <v>70</v>
      </c>
      <c r="C18" s="175"/>
      <c r="D18" s="173"/>
      <c r="E18" s="173"/>
      <c r="F18" s="173"/>
      <c r="G18" s="173"/>
      <c r="H18" s="173"/>
      <c r="I18" s="173"/>
      <c r="J18" s="173"/>
      <c r="K18" s="173"/>
      <c r="L18" s="176"/>
      <c r="M18" s="175"/>
      <c r="N18" s="173"/>
      <c r="O18" s="173"/>
      <c r="P18" s="173"/>
      <c r="Q18" s="173"/>
      <c r="R18" s="173"/>
      <c r="S18" s="176"/>
      <c r="T18" s="192"/>
      <c r="U18" s="192"/>
      <c r="V18" s="177">
        <f t="shared" si="0"/>
        <v>0</v>
      </c>
    </row>
    <row r="19" spans="1:22">
      <c r="A19" s="92">
        <v>13</v>
      </c>
      <c r="B19" s="109" t="s">
        <v>71</v>
      </c>
      <c r="C19" s="175"/>
      <c r="D19" s="173"/>
      <c r="E19" s="173"/>
      <c r="F19" s="173"/>
      <c r="G19" s="173"/>
      <c r="H19" s="173"/>
      <c r="I19" s="173"/>
      <c r="J19" s="173"/>
      <c r="K19" s="173"/>
      <c r="L19" s="176"/>
      <c r="M19" s="175"/>
      <c r="N19" s="173"/>
      <c r="O19" s="173"/>
      <c r="P19" s="173"/>
      <c r="Q19" s="173"/>
      <c r="R19" s="173"/>
      <c r="S19" s="176"/>
      <c r="T19" s="192"/>
      <c r="U19" s="192"/>
      <c r="V19" s="177">
        <f t="shared" si="0"/>
        <v>0</v>
      </c>
    </row>
    <row r="20" spans="1:22">
      <c r="A20" s="92">
        <v>14</v>
      </c>
      <c r="B20" s="109" t="s">
        <v>155</v>
      </c>
      <c r="C20" s="175"/>
      <c r="D20" s="173"/>
      <c r="E20" s="173"/>
      <c r="F20" s="173"/>
      <c r="G20" s="173"/>
      <c r="H20" s="173"/>
      <c r="I20" s="173"/>
      <c r="J20" s="173"/>
      <c r="K20" s="173"/>
      <c r="L20" s="176"/>
      <c r="M20" s="175"/>
      <c r="N20" s="173"/>
      <c r="O20" s="173"/>
      <c r="P20" s="173"/>
      <c r="Q20" s="173"/>
      <c r="R20" s="173"/>
      <c r="S20" s="176"/>
      <c r="T20" s="192"/>
      <c r="U20" s="192"/>
      <c r="V20" s="177">
        <f t="shared" si="0"/>
        <v>0</v>
      </c>
    </row>
    <row r="21" spans="1:22" ht="14.4" thickBot="1">
      <c r="A21" s="55"/>
      <c r="B21" s="56" t="s">
        <v>67</v>
      </c>
      <c r="C21" s="178">
        <f>SUM(C7:C20)</f>
        <v>0</v>
      </c>
      <c r="D21" s="174">
        <f t="shared" ref="D21:V21" si="1">SUM(D7:D20)</f>
        <v>3386344.0006999997</v>
      </c>
      <c r="E21" s="174">
        <f t="shared" si="1"/>
        <v>0</v>
      </c>
      <c r="F21" s="174">
        <f t="shared" si="1"/>
        <v>0</v>
      </c>
      <c r="G21" s="174">
        <f t="shared" si="1"/>
        <v>0</v>
      </c>
      <c r="H21" s="174">
        <f t="shared" si="1"/>
        <v>0</v>
      </c>
      <c r="I21" s="174">
        <f t="shared" si="1"/>
        <v>0</v>
      </c>
      <c r="J21" s="174">
        <f t="shared" si="1"/>
        <v>0</v>
      </c>
      <c r="K21" s="174">
        <f t="shared" si="1"/>
        <v>0</v>
      </c>
      <c r="L21" s="179">
        <f t="shared" si="1"/>
        <v>0</v>
      </c>
      <c r="M21" s="178">
        <f t="shared" si="1"/>
        <v>0</v>
      </c>
      <c r="N21" s="174">
        <f t="shared" si="1"/>
        <v>0</v>
      </c>
      <c r="O21" s="174">
        <f t="shared" si="1"/>
        <v>0</v>
      </c>
      <c r="P21" s="174">
        <f t="shared" si="1"/>
        <v>0</v>
      </c>
      <c r="Q21" s="174">
        <f t="shared" si="1"/>
        <v>0</v>
      </c>
      <c r="R21" s="174">
        <f t="shared" si="1"/>
        <v>0</v>
      </c>
      <c r="S21" s="179">
        <f t="shared" si="1"/>
        <v>0</v>
      </c>
      <c r="T21" s="179">
        <f>SUM(T7:T20)</f>
        <v>1150028.3825999999</v>
      </c>
      <c r="U21" s="179">
        <f t="shared" si="1"/>
        <v>2236315.6181000001</v>
      </c>
      <c r="V21" s="180">
        <f t="shared" si="1"/>
        <v>3386344.0006999997</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pane xSplit="1" ySplit="7" topLeftCell="B8" activePane="bottomRight" state="frozen"/>
      <selection pane="topRight"/>
      <selection pane="bottomLeft"/>
      <selection pane="bottomRight"/>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109</v>
      </c>
      <c r="B1" s="1" t="str">
        <f>Info!C2</f>
        <v>სს " პაშა ბანკი საქართველო"</v>
      </c>
    </row>
    <row r="2" spans="1:9">
      <c r="A2" s="1" t="s">
        <v>110</v>
      </c>
      <c r="B2" s="339">
        <f>'1. key ratios'!B2</f>
        <v>45199</v>
      </c>
    </row>
    <row r="4" spans="1:9" ht="14.4" thickBot="1">
      <c r="A4" s="1" t="s">
        <v>262</v>
      </c>
      <c r="B4" s="23" t="s">
        <v>297</v>
      </c>
    </row>
    <row r="5" spans="1:9">
      <c r="A5" s="53"/>
      <c r="B5" s="90"/>
      <c r="C5" s="94" t="s">
        <v>0</v>
      </c>
      <c r="D5" s="94" t="s">
        <v>1</v>
      </c>
      <c r="E5" s="94" t="s">
        <v>2</v>
      </c>
      <c r="F5" s="94" t="s">
        <v>3</v>
      </c>
      <c r="G5" s="191" t="s">
        <v>4</v>
      </c>
      <c r="H5" s="95" t="s">
        <v>6</v>
      </c>
      <c r="I5" s="18"/>
    </row>
    <row r="6" spans="1:9" ht="15" customHeight="1">
      <c r="A6" s="89"/>
      <c r="B6" s="16"/>
      <c r="C6" s="800" t="s">
        <v>289</v>
      </c>
      <c r="D6" s="811" t="s">
        <v>310</v>
      </c>
      <c r="E6" s="812"/>
      <c r="F6" s="800" t="s">
        <v>316</v>
      </c>
      <c r="G6" s="800" t="s">
        <v>317</v>
      </c>
      <c r="H6" s="809" t="s">
        <v>291</v>
      </c>
      <c r="I6" s="18"/>
    </row>
    <row r="7" spans="1:9" ht="69">
      <c r="A7" s="89"/>
      <c r="B7" s="16"/>
      <c r="C7" s="801"/>
      <c r="D7" s="194" t="s">
        <v>292</v>
      </c>
      <c r="E7" s="194" t="s">
        <v>290</v>
      </c>
      <c r="F7" s="801"/>
      <c r="G7" s="801"/>
      <c r="H7" s="810"/>
      <c r="I7" s="18"/>
    </row>
    <row r="8" spans="1:9">
      <c r="A8" s="45">
        <v>1</v>
      </c>
      <c r="B8" s="109" t="s">
        <v>135</v>
      </c>
      <c r="C8" s="173">
        <v>53909802.621699996</v>
      </c>
      <c r="D8" s="173"/>
      <c r="E8" s="173"/>
      <c r="F8" s="173">
        <v>46493463.001699999</v>
      </c>
      <c r="G8" s="190">
        <v>46493463.001699999</v>
      </c>
      <c r="H8" s="197">
        <f>G8/(C8+E8)</f>
        <v>0.86243059222378338</v>
      </c>
    </row>
    <row r="9" spans="1:9" ht="15" customHeight="1">
      <c r="A9" s="45">
        <v>2</v>
      </c>
      <c r="B9" s="109" t="s">
        <v>136</v>
      </c>
      <c r="C9" s="173">
        <v>0</v>
      </c>
      <c r="D9" s="173"/>
      <c r="E9" s="173"/>
      <c r="F9" s="173">
        <v>0</v>
      </c>
      <c r="G9" s="190">
        <v>0</v>
      </c>
      <c r="H9" s="197" t="e">
        <f t="shared" ref="H9:H21" si="0">G9/(C9+E9)</f>
        <v>#DIV/0!</v>
      </c>
    </row>
    <row r="10" spans="1:9">
      <c r="A10" s="45">
        <v>3</v>
      </c>
      <c r="B10" s="109" t="s">
        <v>137</v>
      </c>
      <c r="C10" s="173">
        <v>0</v>
      </c>
      <c r="D10" s="173"/>
      <c r="E10" s="173"/>
      <c r="F10" s="173">
        <v>0</v>
      </c>
      <c r="G10" s="190">
        <v>0</v>
      </c>
      <c r="H10" s="197" t="e">
        <f t="shared" si="0"/>
        <v>#DIV/0!</v>
      </c>
    </row>
    <row r="11" spans="1:9">
      <c r="A11" s="45">
        <v>4</v>
      </c>
      <c r="B11" s="109" t="s">
        <v>138</v>
      </c>
      <c r="C11" s="173">
        <v>0</v>
      </c>
      <c r="D11" s="173"/>
      <c r="E11" s="173"/>
      <c r="F11" s="173">
        <v>0</v>
      </c>
      <c r="G11" s="190">
        <v>0</v>
      </c>
      <c r="H11" s="197" t="e">
        <f t="shared" si="0"/>
        <v>#DIV/0!</v>
      </c>
    </row>
    <row r="12" spans="1:9">
      <c r="A12" s="45">
        <v>5</v>
      </c>
      <c r="B12" s="109" t="s">
        <v>950</v>
      </c>
      <c r="C12" s="173">
        <v>0</v>
      </c>
      <c r="D12" s="173"/>
      <c r="E12" s="173"/>
      <c r="F12" s="173">
        <v>0</v>
      </c>
      <c r="G12" s="190">
        <v>0</v>
      </c>
      <c r="H12" s="197" t="e">
        <f t="shared" si="0"/>
        <v>#DIV/0!</v>
      </c>
    </row>
    <row r="13" spans="1:9">
      <c r="A13" s="45">
        <v>6</v>
      </c>
      <c r="B13" s="109" t="s">
        <v>139</v>
      </c>
      <c r="C13" s="173">
        <v>42387041.763400003</v>
      </c>
      <c r="D13" s="173">
        <v>670000</v>
      </c>
      <c r="E13" s="173">
        <v>335000</v>
      </c>
      <c r="F13" s="173">
        <v>12326540.636400001</v>
      </c>
      <c r="G13" s="190">
        <v>12326540.636400001</v>
      </c>
      <c r="H13" s="197">
        <f t="shared" si="0"/>
        <v>0.28852882792133205</v>
      </c>
    </row>
    <row r="14" spans="1:9">
      <c r="A14" s="45">
        <v>7</v>
      </c>
      <c r="B14" s="109" t="s">
        <v>72</v>
      </c>
      <c r="C14" s="173">
        <v>275957881.44139999</v>
      </c>
      <c r="D14" s="173">
        <v>64927734.279100001</v>
      </c>
      <c r="E14" s="173">
        <v>6534112.99871</v>
      </c>
      <c r="F14" s="173">
        <v>282491994.44010997</v>
      </c>
      <c r="G14" s="190">
        <v>279201650.64390999</v>
      </c>
      <c r="H14" s="197">
        <f>G14/(C14+E14)</f>
        <v>0.98835243525140837</v>
      </c>
    </row>
    <row r="15" spans="1:9">
      <c r="A15" s="45">
        <v>8</v>
      </c>
      <c r="B15" s="109" t="s">
        <v>73</v>
      </c>
      <c r="C15" s="173">
        <v>49761854.352200001</v>
      </c>
      <c r="D15" s="173">
        <v>91893369.629600003</v>
      </c>
      <c r="E15" s="173">
        <v>47655563.958499998</v>
      </c>
      <c r="F15" s="173">
        <v>84980296.790325001</v>
      </c>
      <c r="G15" s="190">
        <v>84884296.585824996</v>
      </c>
      <c r="H15" s="197">
        <f t="shared" si="0"/>
        <v>0.87134619309144212</v>
      </c>
    </row>
    <row r="16" spans="1:9">
      <c r="A16" s="45">
        <v>9</v>
      </c>
      <c r="B16" s="109" t="s">
        <v>951</v>
      </c>
      <c r="C16" s="173">
        <v>0</v>
      </c>
      <c r="D16" s="173">
        <v>0</v>
      </c>
      <c r="E16" s="173">
        <v>0</v>
      </c>
      <c r="F16" s="173">
        <v>0</v>
      </c>
      <c r="G16" s="190">
        <v>0</v>
      </c>
      <c r="H16" s="197" t="e">
        <f t="shared" si="0"/>
        <v>#DIV/0!</v>
      </c>
    </row>
    <row r="17" spans="1:8">
      <c r="A17" s="45">
        <v>10</v>
      </c>
      <c r="B17" s="109" t="s">
        <v>68</v>
      </c>
      <c r="C17" s="173">
        <v>43389695.155099995</v>
      </c>
      <c r="D17" s="173"/>
      <c r="E17" s="173"/>
      <c r="F17" s="173">
        <v>42710527.299274996</v>
      </c>
      <c r="G17" s="190">
        <v>42710527.299274996</v>
      </c>
      <c r="H17" s="197">
        <f t="shared" si="0"/>
        <v>0.98434725449447713</v>
      </c>
    </row>
    <row r="18" spans="1:8">
      <c r="A18" s="45">
        <v>11</v>
      </c>
      <c r="B18" s="109" t="s">
        <v>69</v>
      </c>
      <c r="C18" s="173">
        <v>0</v>
      </c>
      <c r="D18" s="173"/>
      <c r="E18" s="173"/>
      <c r="F18" s="173">
        <v>0</v>
      </c>
      <c r="G18" s="190">
        <v>0</v>
      </c>
      <c r="H18" s="197" t="e">
        <f t="shared" si="0"/>
        <v>#DIV/0!</v>
      </c>
    </row>
    <row r="19" spans="1:8">
      <c r="A19" s="45">
        <v>12</v>
      </c>
      <c r="B19" s="109" t="s">
        <v>70</v>
      </c>
      <c r="C19" s="173">
        <v>0</v>
      </c>
      <c r="D19" s="173"/>
      <c r="E19" s="173"/>
      <c r="F19" s="173">
        <v>0</v>
      </c>
      <c r="G19" s="190">
        <v>0</v>
      </c>
      <c r="H19" s="197" t="e">
        <f t="shared" si="0"/>
        <v>#DIV/0!</v>
      </c>
    </row>
    <row r="20" spans="1:8">
      <c r="A20" s="45">
        <v>13</v>
      </c>
      <c r="B20" s="109" t="s">
        <v>71</v>
      </c>
      <c r="C20" s="173">
        <v>0</v>
      </c>
      <c r="D20" s="173"/>
      <c r="E20" s="173"/>
      <c r="F20" s="173">
        <v>0</v>
      </c>
      <c r="G20" s="190">
        <v>0</v>
      </c>
      <c r="H20" s="197" t="e">
        <f t="shared" si="0"/>
        <v>#DIV/0!</v>
      </c>
    </row>
    <row r="21" spans="1:8">
      <c r="A21" s="45">
        <v>14</v>
      </c>
      <c r="B21" s="109" t="s">
        <v>155</v>
      </c>
      <c r="C21" s="173">
        <v>14282021.7436</v>
      </c>
      <c r="D21" s="173"/>
      <c r="E21" s="173"/>
      <c r="F21" s="173">
        <v>11442413.341399999</v>
      </c>
      <c r="G21" s="190">
        <v>11442413.341399999</v>
      </c>
      <c r="H21" s="197">
        <f t="shared" si="0"/>
        <v>0.80117602023169632</v>
      </c>
    </row>
    <row r="22" spans="1:8" ht="14.4" thickBot="1">
      <c r="A22" s="91"/>
      <c r="B22" s="96" t="s">
        <v>67</v>
      </c>
      <c r="C22" s="174">
        <f>SUM(C8:C21)</f>
        <v>479688297.07739997</v>
      </c>
      <c r="D22" s="174">
        <f>SUM(D8:D21)</f>
        <v>157491103.90869999</v>
      </c>
      <c r="E22" s="174">
        <f>SUM(E8:E21)</f>
        <v>54524676.957209997</v>
      </c>
      <c r="F22" s="174">
        <f>SUM(F8:F21)</f>
        <v>480445235.50920999</v>
      </c>
      <c r="G22" s="174">
        <f>SUM(G8:G21)</f>
        <v>477058891.50850993</v>
      </c>
      <c r="H22" s="198">
        <f>G22/(C22+E22)</f>
        <v>0.89301255247612688</v>
      </c>
    </row>
    <row r="28" spans="1:8" ht="10.5" customHeight="1"/>
  </sheetData>
  <mergeCells count="5">
    <mergeCell ref="C6:C7"/>
    <mergeCell ref="F6:F7"/>
    <mergeCell ref="G6:G7"/>
    <mergeCell ref="H6:H7"/>
    <mergeCell ref="D6:E6"/>
  </mergeCells>
  <pageMargins left="0.7" right="0.7" top="0.75" bottom="0.75" header="0.3" footer="0.3"/>
  <pageSetup paperSize="9" scale="3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pane="topRight"/>
      <selection pane="bottomLeft"/>
      <selection pane="bottomRight"/>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109</v>
      </c>
      <c r="B1" s="1" t="str">
        <f>Info!C2</f>
        <v>სს " პაშა ბანკი საქართველო"</v>
      </c>
    </row>
    <row r="2" spans="1:11">
      <c r="A2" s="1" t="s">
        <v>110</v>
      </c>
      <c r="B2" s="339">
        <f>'1. key ratios'!B2</f>
        <v>45199</v>
      </c>
    </row>
    <row r="4" spans="1:11" ht="14.4" thickBot="1">
      <c r="A4" s="1" t="s">
        <v>353</v>
      </c>
      <c r="B4" s="23" t="s">
        <v>352</v>
      </c>
    </row>
    <row r="5" spans="1:11" ht="30" customHeight="1">
      <c r="A5" s="816"/>
      <c r="B5" s="817"/>
      <c r="C5" s="814" t="s">
        <v>385</v>
      </c>
      <c r="D5" s="814"/>
      <c r="E5" s="814"/>
      <c r="F5" s="814" t="s">
        <v>386</v>
      </c>
      <c r="G5" s="814"/>
      <c r="H5" s="814"/>
      <c r="I5" s="814" t="s">
        <v>387</v>
      </c>
      <c r="J5" s="814"/>
      <c r="K5" s="815"/>
    </row>
    <row r="6" spans="1:11">
      <c r="A6" s="222"/>
      <c r="B6" s="223"/>
      <c r="C6" s="224" t="s">
        <v>27</v>
      </c>
      <c r="D6" s="224" t="s">
        <v>91</v>
      </c>
      <c r="E6" s="224" t="s">
        <v>67</v>
      </c>
      <c r="F6" s="224" t="s">
        <v>27</v>
      </c>
      <c r="G6" s="224" t="s">
        <v>91</v>
      </c>
      <c r="H6" s="224" t="s">
        <v>67</v>
      </c>
      <c r="I6" s="224" t="s">
        <v>27</v>
      </c>
      <c r="J6" s="224" t="s">
        <v>91</v>
      </c>
      <c r="K6" s="226" t="s">
        <v>67</v>
      </c>
    </row>
    <row r="7" spans="1:11">
      <c r="A7" s="227" t="s">
        <v>323</v>
      </c>
      <c r="B7" s="221"/>
      <c r="C7" s="221"/>
      <c r="D7" s="221"/>
      <c r="E7" s="221"/>
      <c r="F7" s="221"/>
      <c r="G7" s="221"/>
      <c r="H7" s="221"/>
      <c r="I7" s="221"/>
      <c r="J7" s="221"/>
      <c r="K7" s="228"/>
    </row>
    <row r="8" spans="1:11">
      <c r="A8" s="220">
        <v>1</v>
      </c>
      <c r="B8" s="204" t="s">
        <v>323</v>
      </c>
      <c r="C8" s="202"/>
      <c r="D8" s="202"/>
      <c r="E8" s="202"/>
      <c r="F8" s="679">
        <v>66202074.618433326</v>
      </c>
      <c r="G8" s="679">
        <v>80163764.314366654</v>
      </c>
      <c r="H8" s="673">
        <f>SUM(F8:G8)</f>
        <v>146365838.93279999</v>
      </c>
      <c r="I8" s="679">
        <v>45564559.263333343</v>
      </c>
      <c r="J8" s="679">
        <v>48337564.706200004</v>
      </c>
      <c r="K8" s="684">
        <f>SUM(I8:J8)</f>
        <v>93902123.969533354</v>
      </c>
    </row>
    <row r="9" spans="1:11">
      <c r="A9" s="227" t="s">
        <v>324</v>
      </c>
      <c r="B9" s="221"/>
      <c r="C9" s="221"/>
      <c r="D9" s="221"/>
      <c r="E9" s="221"/>
      <c r="F9" s="680"/>
      <c r="G9" s="680"/>
      <c r="H9" s="680"/>
      <c r="I9" s="680"/>
      <c r="J9" s="680"/>
      <c r="K9" s="228"/>
    </row>
    <row r="10" spans="1:11">
      <c r="A10" s="229">
        <v>2</v>
      </c>
      <c r="B10" s="205" t="s">
        <v>325</v>
      </c>
      <c r="C10" s="355">
        <v>12753220.158666665</v>
      </c>
      <c r="D10" s="673">
        <v>34587260.393333331</v>
      </c>
      <c r="E10" s="673">
        <f>SUM(C10:D10)</f>
        <v>47340480.551999994</v>
      </c>
      <c r="F10" s="673">
        <v>1572782.4892333334</v>
      </c>
      <c r="G10" s="673">
        <v>8783340.7276686653</v>
      </c>
      <c r="H10" s="673">
        <f t="shared" ref="H10:H15" si="0">SUM(F10:G10)</f>
        <v>10356123.216901999</v>
      </c>
      <c r="I10" s="673">
        <v>422334.18283333333</v>
      </c>
      <c r="J10" s="673">
        <v>2218108.1366550005</v>
      </c>
      <c r="K10" s="685">
        <f>SUM(I10:J10)</f>
        <v>2640442.319488334</v>
      </c>
    </row>
    <row r="11" spans="1:11">
      <c r="A11" s="229">
        <v>3</v>
      </c>
      <c r="B11" s="205" t="s">
        <v>326</v>
      </c>
      <c r="C11" s="355">
        <v>71398450.027999997</v>
      </c>
      <c r="D11" s="673">
        <v>249357113.35930005</v>
      </c>
      <c r="E11" s="673">
        <f>SUM(C11:D11)</f>
        <v>320755563.38730001</v>
      </c>
      <c r="F11" s="673">
        <v>22073087.690416664</v>
      </c>
      <c r="G11" s="673">
        <v>31767853.996982511</v>
      </c>
      <c r="H11" s="673">
        <f t="shared" si="0"/>
        <v>53840941.687399179</v>
      </c>
      <c r="I11" s="673">
        <v>19412534.056733329</v>
      </c>
      <c r="J11" s="673">
        <v>26449869.171273332</v>
      </c>
      <c r="K11" s="685">
        <f>SUM(I11:J11)</f>
        <v>45862403.228006661</v>
      </c>
    </row>
    <row r="12" spans="1:11">
      <c r="A12" s="229">
        <v>4</v>
      </c>
      <c r="B12" s="205" t="s">
        <v>327</v>
      </c>
      <c r="C12" s="355"/>
      <c r="D12" s="673"/>
      <c r="E12" s="673"/>
      <c r="F12" s="673">
        <v>0</v>
      </c>
      <c r="G12" s="673">
        <v>0</v>
      </c>
      <c r="H12" s="673">
        <f t="shared" si="0"/>
        <v>0</v>
      </c>
      <c r="I12" s="673">
        <v>0</v>
      </c>
      <c r="J12" s="673">
        <v>0</v>
      </c>
      <c r="K12" s="230"/>
    </row>
    <row r="13" spans="1:11">
      <c r="A13" s="229">
        <v>5</v>
      </c>
      <c r="B13" s="205" t="s">
        <v>328</v>
      </c>
      <c r="C13" s="355">
        <v>109460889.44333334</v>
      </c>
      <c r="D13" s="673">
        <v>41514628.392099999</v>
      </c>
      <c r="E13" s="673">
        <f>SUM(C13:D13)</f>
        <v>150975517.83543333</v>
      </c>
      <c r="F13" s="673">
        <v>19289009.11245</v>
      </c>
      <c r="G13" s="673">
        <v>6095259.4437266672</v>
      </c>
      <c r="H13" s="673">
        <f t="shared" si="0"/>
        <v>25384268.556176666</v>
      </c>
      <c r="I13" s="673">
        <v>6273374.8666666672</v>
      </c>
      <c r="J13" s="673">
        <v>2844945.7826550002</v>
      </c>
      <c r="K13" s="685">
        <f>SUM(I13:J13)</f>
        <v>9118320.6493216679</v>
      </c>
    </row>
    <row r="14" spans="1:11">
      <c r="A14" s="229">
        <v>6</v>
      </c>
      <c r="B14" s="205" t="s">
        <v>343</v>
      </c>
      <c r="C14" s="355"/>
      <c r="D14" s="673"/>
      <c r="E14" s="673"/>
      <c r="F14" s="673">
        <v>0</v>
      </c>
      <c r="G14" s="673">
        <v>0</v>
      </c>
      <c r="H14" s="673">
        <f t="shared" si="0"/>
        <v>0</v>
      </c>
      <c r="I14" s="673">
        <v>0</v>
      </c>
      <c r="J14" s="673">
        <v>0</v>
      </c>
      <c r="K14" s="230"/>
    </row>
    <row r="15" spans="1:11">
      <c r="A15" s="229">
        <v>7</v>
      </c>
      <c r="B15" s="205" t="s">
        <v>330</v>
      </c>
      <c r="C15" s="355">
        <v>5381669.5099999988</v>
      </c>
      <c r="D15" s="673">
        <v>9699077.7043666672</v>
      </c>
      <c r="E15" s="673">
        <f>SUM(C15:D15)</f>
        <v>15080747.214366667</v>
      </c>
      <c r="F15" s="673">
        <v>1967623.0766666664</v>
      </c>
      <c r="G15" s="673">
        <v>1787580.4002333337</v>
      </c>
      <c r="H15" s="673">
        <f t="shared" si="0"/>
        <v>3755203.4769000001</v>
      </c>
      <c r="I15" s="673">
        <v>1967623.0766666664</v>
      </c>
      <c r="J15" s="673">
        <v>1787580.4002333337</v>
      </c>
      <c r="K15" s="685">
        <f>SUM(I15:J15)</f>
        <v>3755203.4769000001</v>
      </c>
    </row>
    <row r="16" spans="1:11">
      <c r="A16" s="229">
        <v>8</v>
      </c>
      <c r="B16" s="207" t="s">
        <v>331</v>
      </c>
      <c r="C16" s="674">
        <f t="shared" ref="C16:J16" si="1">SUM(C10:C15)</f>
        <v>198994229.13999999</v>
      </c>
      <c r="D16" s="675">
        <f t="shared" si="1"/>
        <v>335158079.84910005</v>
      </c>
      <c r="E16" s="675">
        <f t="shared" si="1"/>
        <v>534152308.98909998</v>
      </c>
      <c r="F16" s="674">
        <f t="shared" si="1"/>
        <v>44902502.368766665</v>
      </c>
      <c r="G16" s="675">
        <f t="shared" si="1"/>
        <v>48434034.568611175</v>
      </c>
      <c r="H16" s="675">
        <f t="shared" si="1"/>
        <v>93336536.93737784</v>
      </c>
      <c r="I16" s="674">
        <f t="shared" si="1"/>
        <v>28075866.182899997</v>
      </c>
      <c r="J16" s="675">
        <f t="shared" si="1"/>
        <v>33300503.490816664</v>
      </c>
      <c r="K16" s="685">
        <f>SUM(K10:K15)</f>
        <v>61376369.673716664</v>
      </c>
    </row>
    <row r="17" spans="1:11">
      <c r="A17" s="227" t="s">
        <v>332</v>
      </c>
      <c r="B17" s="221"/>
      <c r="C17" s="221"/>
      <c r="D17" s="221"/>
      <c r="E17" s="221"/>
      <c r="F17" s="680"/>
      <c r="G17" s="680"/>
      <c r="H17" s="680"/>
      <c r="I17" s="221"/>
      <c r="J17" s="221"/>
      <c r="K17" s="228"/>
    </row>
    <row r="18" spans="1:11">
      <c r="A18" s="229">
        <v>9</v>
      </c>
      <c r="B18" s="205" t="s">
        <v>333</v>
      </c>
      <c r="C18" s="205"/>
      <c r="D18" s="206"/>
      <c r="E18" s="206"/>
      <c r="F18" s="673"/>
      <c r="G18" s="673"/>
      <c r="H18" s="673"/>
      <c r="I18" s="206"/>
      <c r="J18" s="206"/>
      <c r="K18" s="230"/>
    </row>
    <row r="19" spans="1:11">
      <c r="A19" s="229">
        <v>10</v>
      </c>
      <c r="B19" s="205" t="s">
        <v>334</v>
      </c>
      <c r="C19" s="674">
        <v>144436747.65163335</v>
      </c>
      <c r="D19" s="674">
        <v>187630122.74193335</v>
      </c>
      <c r="E19" s="673">
        <v>332066870.39356673</v>
      </c>
      <c r="F19" s="675">
        <v>16855441.601266667</v>
      </c>
      <c r="G19" s="675">
        <v>3632499.4388666674</v>
      </c>
      <c r="H19" s="673">
        <v>20487941.040133335</v>
      </c>
      <c r="I19" s="673">
        <v>37921563.206366666</v>
      </c>
      <c r="J19" s="673">
        <v>39276834.753033333</v>
      </c>
      <c r="K19" s="685">
        <v>77198397.959399998</v>
      </c>
    </row>
    <row r="20" spans="1:11">
      <c r="A20" s="229">
        <v>11</v>
      </c>
      <c r="B20" s="205" t="s">
        <v>335</v>
      </c>
      <c r="C20" s="674">
        <v>15814546.900899999</v>
      </c>
      <c r="D20" s="674">
        <v>10234936.1251</v>
      </c>
      <c r="E20" s="673">
        <v>26049483.026000001</v>
      </c>
      <c r="F20" s="675">
        <v>35358.566666666666</v>
      </c>
      <c r="G20" s="675">
        <v>436758.65090000007</v>
      </c>
      <c r="H20" s="673">
        <v>472117.21756666672</v>
      </c>
      <c r="I20" s="673">
        <v>35358.566666666666</v>
      </c>
      <c r="J20" s="673">
        <v>436758.65090000007</v>
      </c>
      <c r="K20" s="685">
        <v>472117.21756666672</v>
      </c>
    </row>
    <row r="21" spans="1:11" ht="14.4" thickBot="1">
      <c r="A21" s="143">
        <v>12</v>
      </c>
      <c r="B21" s="231" t="s">
        <v>336</v>
      </c>
      <c r="C21" s="676">
        <f t="shared" ref="C21:D21" si="2">SUM(C18:C20)</f>
        <v>160251294.55253336</v>
      </c>
      <c r="D21" s="677">
        <f t="shared" si="2"/>
        <v>197865058.86703333</v>
      </c>
      <c r="E21" s="677">
        <f>SUM(C21:D21)</f>
        <v>358116353.41956669</v>
      </c>
      <c r="F21" s="676">
        <f t="shared" ref="F21:G21" si="3">SUM(F18:F20)</f>
        <v>16890800.167933334</v>
      </c>
      <c r="G21" s="677">
        <f t="shared" si="3"/>
        <v>4069258.0897666677</v>
      </c>
      <c r="H21" s="681">
        <f>SUM(F21:G21)</f>
        <v>20960058.2577</v>
      </c>
      <c r="I21" s="678">
        <f>SUM(I19:I20)</f>
        <v>37956921.773033336</v>
      </c>
      <c r="J21" s="678">
        <f>SUM(J19:J20)</f>
        <v>39713593.403933331</v>
      </c>
      <c r="K21" s="686">
        <f>SUM(K19:K20)</f>
        <v>77670515.176966667</v>
      </c>
    </row>
    <row r="22" spans="1:11" ht="38.25" customHeight="1" thickBot="1">
      <c r="A22" s="218"/>
      <c r="B22" s="219"/>
      <c r="C22" s="219"/>
      <c r="D22" s="219"/>
      <c r="E22" s="219"/>
      <c r="F22" s="813" t="s">
        <v>337</v>
      </c>
      <c r="G22" s="814"/>
      <c r="H22" s="814"/>
      <c r="I22" s="813" t="s">
        <v>338</v>
      </c>
      <c r="J22" s="814"/>
      <c r="K22" s="815"/>
    </row>
    <row r="23" spans="1:11">
      <c r="A23" s="211">
        <v>13</v>
      </c>
      <c r="B23" s="208" t="s">
        <v>323</v>
      </c>
      <c r="C23" s="217"/>
      <c r="D23" s="217"/>
      <c r="E23" s="217"/>
      <c r="F23" s="683">
        <f>F8</f>
        <v>66202074.618433326</v>
      </c>
      <c r="G23" s="683">
        <f>G8</f>
        <v>80163764.314366654</v>
      </c>
      <c r="H23" s="683">
        <f>F23+G23</f>
        <v>146365838.93279999</v>
      </c>
      <c r="I23" s="682">
        <f>I8</f>
        <v>45564559.263333343</v>
      </c>
      <c r="J23" s="682">
        <f>J8</f>
        <v>48337564.706200004</v>
      </c>
      <c r="K23" s="687">
        <f>K8</f>
        <v>93902123.969533354</v>
      </c>
    </row>
    <row r="24" spans="1:11" ht="14.4" thickBot="1">
      <c r="A24" s="212">
        <v>14</v>
      </c>
      <c r="B24" s="209" t="s">
        <v>339</v>
      </c>
      <c r="C24" s="232"/>
      <c r="D24" s="215"/>
      <c r="E24" s="216"/>
      <c r="F24" s="688">
        <f t="shared" ref="F24:G24" si="4">MAX(F16-F21,F16*0.25)</f>
        <v>28011702.200833332</v>
      </c>
      <c r="G24" s="688">
        <f t="shared" si="4"/>
        <v>44364776.478844509</v>
      </c>
      <c r="H24" s="679">
        <f>F24+G24</f>
        <v>72376478.679677844</v>
      </c>
      <c r="I24" s="689">
        <f t="shared" ref="I24:K24" si="5">MAX(I16-I21,I16*0.25)</f>
        <v>7018966.5457249992</v>
      </c>
      <c r="J24" s="689">
        <f t="shared" si="5"/>
        <v>8325125.872704166</v>
      </c>
      <c r="K24" s="690">
        <f t="shared" si="5"/>
        <v>15344092.418429166</v>
      </c>
    </row>
    <row r="25" spans="1:11" ht="14.4" thickBot="1">
      <c r="A25" s="213">
        <v>15</v>
      </c>
      <c r="B25" s="210" t="s">
        <v>340</v>
      </c>
      <c r="C25" s="214"/>
      <c r="D25" s="214"/>
      <c r="E25" s="214"/>
      <c r="F25" s="691">
        <f t="shared" ref="F25:K25" si="6">F23/F24</f>
        <v>2.3633720701365966</v>
      </c>
      <c r="G25" s="691">
        <f t="shared" si="6"/>
        <v>1.8069236605439229</v>
      </c>
      <c r="H25" s="691">
        <f t="shared" si="6"/>
        <v>2.0222846096254914</v>
      </c>
      <c r="I25" s="692">
        <f t="shared" si="6"/>
        <v>6.4916336281849185</v>
      </c>
      <c r="J25" s="692">
        <f t="shared" si="6"/>
        <v>5.8062262895850969</v>
      </c>
      <c r="K25" s="693">
        <f t="shared" si="6"/>
        <v>6.1197574551070435</v>
      </c>
    </row>
    <row r="28" spans="1:11" ht="41.4">
      <c r="B28" s="17" t="s">
        <v>384</v>
      </c>
    </row>
  </sheetData>
  <mergeCells count="6">
    <mergeCell ref="F22:H22"/>
    <mergeCell ref="I22:K22"/>
    <mergeCell ref="A5:B5"/>
    <mergeCell ref="C5:E5"/>
    <mergeCell ref="F5:H5"/>
    <mergeCell ref="I5:K5"/>
  </mergeCells>
  <pageMargins left="0.7" right="0.7" top="0.75" bottom="0.75" header="0.3" footer="0.3"/>
  <pageSetup paperSize="9" scale="3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pane="topRight"/>
      <selection pane="bottomLeft"/>
      <selection pane="bottomRight"/>
    </sheetView>
  </sheetViews>
  <sheetFormatPr defaultColWidth="9.21875" defaultRowHeight="13.8"/>
  <cols>
    <col min="1" max="1" width="10.5546875" style="31" bestFit="1" customWidth="1"/>
    <col min="2" max="2" width="95" style="31" customWidth="1"/>
    <col min="3" max="3" width="12.5546875" style="31" bestFit="1" customWidth="1"/>
    <col min="4" max="4" width="10" style="31" bestFit="1" customWidth="1"/>
    <col min="5" max="5" width="18.21875" style="31" bestFit="1" customWidth="1"/>
    <col min="6" max="13" width="10.77734375" style="31" customWidth="1"/>
    <col min="14" max="14" width="31" style="31" bestFit="1" customWidth="1"/>
    <col min="15" max="16384" width="9.21875" style="8"/>
  </cols>
  <sheetData>
    <row r="1" spans="1:14">
      <c r="A1" s="1" t="s">
        <v>109</v>
      </c>
      <c r="B1" s="31" t="str">
        <f>Info!C2</f>
        <v>სს " პაშა ბანკი საქართველო"</v>
      </c>
    </row>
    <row r="2" spans="1:14" ht="14.25" customHeight="1">
      <c r="A2" s="31" t="s">
        <v>110</v>
      </c>
      <c r="B2" s="339">
        <f>'1. key ratios'!B2</f>
        <v>45199</v>
      </c>
    </row>
    <row r="3" spans="1:14" ht="14.25" customHeight="1"/>
    <row r="4" spans="1:14" ht="14.4" thickBot="1">
      <c r="A4" s="1" t="s">
        <v>263</v>
      </c>
      <c r="B4" s="47" t="s">
        <v>75</v>
      </c>
    </row>
    <row r="5" spans="1:14" s="19" customFormat="1">
      <c r="A5" s="105"/>
      <c r="B5" s="106"/>
      <c r="C5" s="107" t="s">
        <v>0</v>
      </c>
      <c r="D5" s="107" t="s">
        <v>1</v>
      </c>
      <c r="E5" s="107" t="s">
        <v>2</v>
      </c>
      <c r="F5" s="107" t="s">
        <v>3</v>
      </c>
      <c r="G5" s="107" t="s">
        <v>4</v>
      </c>
      <c r="H5" s="107" t="s">
        <v>6</v>
      </c>
      <c r="I5" s="107" t="s">
        <v>146</v>
      </c>
      <c r="J5" s="107" t="s">
        <v>147</v>
      </c>
      <c r="K5" s="107" t="s">
        <v>148</v>
      </c>
      <c r="L5" s="107" t="s">
        <v>149</v>
      </c>
      <c r="M5" s="107" t="s">
        <v>150</v>
      </c>
      <c r="N5" s="108" t="s">
        <v>151</v>
      </c>
    </row>
    <row r="6" spans="1:14" ht="41.4">
      <c r="A6" s="97"/>
      <c r="B6" s="57"/>
      <c r="C6" s="58" t="s">
        <v>85</v>
      </c>
      <c r="D6" s="59" t="s">
        <v>74</v>
      </c>
      <c r="E6" s="60" t="s">
        <v>84</v>
      </c>
      <c r="F6" s="61">
        <v>0</v>
      </c>
      <c r="G6" s="61">
        <v>0.2</v>
      </c>
      <c r="H6" s="61">
        <v>0.35</v>
      </c>
      <c r="I6" s="61">
        <v>0.5</v>
      </c>
      <c r="J6" s="61">
        <v>0.75</v>
      </c>
      <c r="K6" s="61">
        <v>1</v>
      </c>
      <c r="L6" s="61">
        <v>1.5</v>
      </c>
      <c r="M6" s="61">
        <v>2.5</v>
      </c>
      <c r="N6" s="98" t="s">
        <v>75</v>
      </c>
    </row>
    <row r="7" spans="1:14">
      <c r="A7" s="99">
        <v>1</v>
      </c>
      <c r="B7" s="62" t="s">
        <v>76</v>
      </c>
      <c r="C7" s="181">
        <f>SUM(C8:C13)</f>
        <v>70913468.021500006</v>
      </c>
      <c r="D7" s="57"/>
      <c r="E7" s="184">
        <f t="shared" ref="E7:M7" si="0">SUM(E8:E13)</f>
        <v>1418269.3604300001</v>
      </c>
      <c r="F7" s="181">
        <f>SUM(F8:F13)</f>
        <v>0</v>
      </c>
      <c r="G7" s="181">
        <f t="shared" si="0"/>
        <v>0</v>
      </c>
      <c r="H7" s="181">
        <f t="shared" si="0"/>
        <v>0</v>
      </c>
      <c r="I7" s="181">
        <f t="shared" si="0"/>
        <v>0</v>
      </c>
      <c r="J7" s="181">
        <f t="shared" si="0"/>
        <v>0</v>
      </c>
      <c r="K7" s="181">
        <f t="shared" si="0"/>
        <v>1418269.3603999999</v>
      </c>
      <c r="L7" s="181">
        <f t="shared" si="0"/>
        <v>0</v>
      </c>
      <c r="M7" s="181">
        <f t="shared" si="0"/>
        <v>0</v>
      </c>
      <c r="N7" s="100">
        <f>SUM(N8:N13)</f>
        <v>1418269.3603999999</v>
      </c>
    </row>
    <row r="8" spans="1:14">
      <c r="A8" s="99">
        <v>1.1000000000000001</v>
      </c>
      <c r="B8" s="63" t="s">
        <v>77</v>
      </c>
      <c r="C8" s="182">
        <v>70913468.021500006</v>
      </c>
      <c r="D8" s="64">
        <v>0.02</v>
      </c>
      <c r="E8" s="184">
        <f>C8*D8</f>
        <v>1418269.3604300001</v>
      </c>
      <c r="F8" s="182"/>
      <c r="G8" s="182"/>
      <c r="H8" s="182"/>
      <c r="I8" s="182"/>
      <c r="J8" s="182"/>
      <c r="K8" s="182">
        <v>1418269.3603999999</v>
      </c>
      <c r="L8" s="182"/>
      <c r="M8" s="182"/>
      <c r="N8" s="100">
        <f>SUMPRODUCT($F$6:$M$6,F8:M8)</f>
        <v>1418269.3603999999</v>
      </c>
    </row>
    <row r="9" spans="1:14">
      <c r="A9" s="99">
        <v>1.2</v>
      </c>
      <c r="B9" s="63" t="s">
        <v>78</v>
      </c>
      <c r="C9" s="182">
        <v>0</v>
      </c>
      <c r="D9" s="64">
        <v>0.05</v>
      </c>
      <c r="E9" s="184">
        <f>C9*D9</f>
        <v>0</v>
      </c>
      <c r="F9" s="182"/>
      <c r="G9" s="182"/>
      <c r="H9" s="182"/>
      <c r="I9" s="182"/>
      <c r="J9" s="182"/>
      <c r="K9" s="182"/>
      <c r="L9" s="182"/>
      <c r="M9" s="182"/>
      <c r="N9" s="100">
        <f t="shared" ref="N9:N12" si="1">SUMPRODUCT($F$6:$M$6,F9:M9)</f>
        <v>0</v>
      </c>
    </row>
    <row r="10" spans="1:14">
      <c r="A10" s="99">
        <v>1.3</v>
      </c>
      <c r="B10" s="63" t="s">
        <v>79</v>
      </c>
      <c r="C10" s="182">
        <v>0</v>
      </c>
      <c r="D10" s="64">
        <v>0.08</v>
      </c>
      <c r="E10" s="184">
        <f>C10*D10</f>
        <v>0</v>
      </c>
      <c r="F10" s="182"/>
      <c r="G10" s="182"/>
      <c r="H10" s="182"/>
      <c r="I10" s="182"/>
      <c r="J10" s="182"/>
      <c r="K10" s="182"/>
      <c r="L10" s="182"/>
      <c r="M10" s="182"/>
      <c r="N10" s="100">
        <f>SUMPRODUCT($F$6:$M$6,F10:M10)</f>
        <v>0</v>
      </c>
    </row>
    <row r="11" spans="1:14">
      <c r="A11" s="99">
        <v>1.4</v>
      </c>
      <c r="B11" s="63" t="s">
        <v>80</v>
      </c>
      <c r="C11" s="182">
        <v>0</v>
      </c>
      <c r="D11" s="64">
        <v>0.11</v>
      </c>
      <c r="E11" s="184">
        <f>C11*D11</f>
        <v>0</v>
      </c>
      <c r="F11" s="182"/>
      <c r="G11" s="182"/>
      <c r="H11" s="182"/>
      <c r="I11" s="182"/>
      <c r="J11" s="182"/>
      <c r="K11" s="182"/>
      <c r="L11" s="182"/>
      <c r="M11" s="182"/>
      <c r="N11" s="100">
        <f t="shared" si="1"/>
        <v>0</v>
      </c>
    </row>
    <row r="12" spans="1:14">
      <c r="A12" s="99">
        <v>1.5</v>
      </c>
      <c r="B12" s="63" t="s">
        <v>81</v>
      </c>
      <c r="C12" s="182">
        <v>0</v>
      </c>
      <c r="D12" s="64">
        <v>0.14000000000000001</v>
      </c>
      <c r="E12" s="184">
        <f>C12*D12</f>
        <v>0</v>
      </c>
      <c r="F12" s="182"/>
      <c r="G12" s="182"/>
      <c r="H12" s="182"/>
      <c r="I12" s="182"/>
      <c r="J12" s="182"/>
      <c r="K12" s="182"/>
      <c r="L12" s="182"/>
      <c r="M12" s="182"/>
      <c r="N12" s="100">
        <f t="shared" si="1"/>
        <v>0</v>
      </c>
    </row>
    <row r="13" spans="1:14">
      <c r="A13" s="99">
        <v>1.6</v>
      </c>
      <c r="B13" s="65" t="s">
        <v>82</v>
      </c>
      <c r="C13" s="182">
        <v>0</v>
      </c>
      <c r="D13" s="66"/>
      <c r="E13" s="182"/>
      <c r="F13" s="182"/>
      <c r="G13" s="182"/>
      <c r="H13" s="182"/>
      <c r="I13" s="182"/>
      <c r="J13" s="182"/>
      <c r="K13" s="182"/>
      <c r="L13" s="182"/>
      <c r="M13" s="182"/>
      <c r="N13" s="100">
        <f>SUMPRODUCT($F$6:$M$6,F13:M13)</f>
        <v>0</v>
      </c>
    </row>
    <row r="14" spans="1:14">
      <c r="A14" s="99">
        <v>2</v>
      </c>
      <c r="B14" s="67" t="s">
        <v>83</v>
      </c>
      <c r="C14" s="181">
        <f>SUM(C15:C20)</f>
        <v>0</v>
      </c>
      <c r="D14" s="57"/>
      <c r="E14" s="184">
        <f t="shared" ref="E14:M14" si="2">SUM(E15:E20)</f>
        <v>0</v>
      </c>
      <c r="F14" s="182">
        <f t="shared" si="2"/>
        <v>0</v>
      </c>
      <c r="G14" s="182">
        <f t="shared" si="2"/>
        <v>0</v>
      </c>
      <c r="H14" s="182">
        <f t="shared" si="2"/>
        <v>0</v>
      </c>
      <c r="I14" s="182">
        <f t="shared" si="2"/>
        <v>0</v>
      </c>
      <c r="J14" s="182">
        <f t="shared" si="2"/>
        <v>0</v>
      </c>
      <c r="K14" s="182">
        <f t="shared" si="2"/>
        <v>0</v>
      </c>
      <c r="L14" s="182">
        <f t="shared" si="2"/>
        <v>0</v>
      </c>
      <c r="M14" s="182">
        <f t="shared" si="2"/>
        <v>0</v>
      </c>
      <c r="N14" s="100">
        <f>SUM(N15:N20)</f>
        <v>0</v>
      </c>
    </row>
    <row r="15" spans="1:14">
      <c r="A15" s="99">
        <v>2.1</v>
      </c>
      <c r="B15" s="65" t="s">
        <v>77</v>
      </c>
      <c r="C15" s="182"/>
      <c r="D15" s="64">
        <v>5.0000000000000001E-3</v>
      </c>
      <c r="E15" s="184">
        <f>C15*D15</f>
        <v>0</v>
      </c>
      <c r="F15" s="182"/>
      <c r="G15" s="182"/>
      <c r="H15" s="182"/>
      <c r="I15" s="182"/>
      <c r="J15" s="182"/>
      <c r="K15" s="182"/>
      <c r="L15" s="182"/>
      <c r="M15" s="182"/>
      <c r="N15" s="100">
        <f>SUMPRODUCT($F$6:$M$6,F15:M15)</f>
        <v>0</v>
      </c>
    </row>
    <row r="16" spans="1:14">
      <c r="A16" s="99">
        <v>2.2000000000000002</v>
      </c>
      <c r="B16" s="65" t="s">
        <v>78</v>
      </c>
      <c r="C16" s="182"/>
      <c r="D16" s="64">
        <v>0.01</v>
      </c>
      <c r="E16" s="184">
        <f>C16*D16</f>
        <v>0</v>
      </c>
      <c r="F16" s="182"/>
      <c r="G16" s="182"/>
      <c r="H16" s="182"/>
      <c r="I16" s="182"/>
      <c r="J16" s="182"/>
      <c r="K16" s="182"/>
      <c r="L16" s="182"/>
      <c r="M16" s="182"/>
      <c r="N16" s="100">
        <f t="shared" ref="N16:N20" si="3">SUMPRODUCT($F$6:$M$6,F16:M16)</f>
        <v>0</v>
      </c>
    </row>
    <row r="17" spans="1:14">
      <c r="A17" s="99">
        <v>2.2999999999999998</v>
      </c>
      <c r="B17" s="65" t="s">
        <v>79</v>
      </c>
      <c r="C17" s="182"/>
      <c r="D17" s="64">
        <v>0.02</v>
      </c>
      <c r="E17" s="184">
        <f>C17*D17</f>
        <v>0</v>
      </c>
      <c r="F17" s="182"/>
      <c r="G17" s="182"/>
      <c r="H17" s="182"/>
      <c r="I17" s="182"/>
      <c r="J17" s="182"/>
      <c r="K17" s="182"/>
      <c r="L17" s="182"/>
      <c r="M17" s="182"/>
      <c r="N17" s="100">
        <f t="shared" si="3"/>
        <v>0</v>
      </c>
    </row>
    <row r="18" spans="1:14">
      <c r="A18" s="99">
        <v>2.4</v>
      </c>
      <c r="B18" s="65" t="s">
        <v>80</v>
      </c>
      <c r="C18" s="182"/>
      <c r="D18" s="64">
        <v>0.03</v>
      </c>
      <c r="E18" s="184">
        <f>C18*D18</f>
        <v>0</v>
      </c>
      <c r="F18" s="182"/>
      <c r="G18" s="182"/>
      <c r="H18" s="182"/>
      <c r="I18" s="182"/>
      <c r="J18" s="182"/>
      <c r="K18" s="182"/>
      <c r="L18" s="182"/>
      <c r="M18" s="182"/>
      <c r="N18" s="100">
        <f t="shared" si="3"/>
        <v>0</v>
      </c>
    </row>
    <row r="19" spans="1:14">
      <c r="A19" s="99">
        <v>2.5</v>
      </c>
      <c r="B19" s="65" t="s">
        <v>81</v>
      </c>
      <c r="C19" s="182"/>
      <c r="D19" s="64">
        <v>0.04</v>
      </c>
      <c r="E19" s="184">
        <f>C19*D19</f>
        <v>0</v>
      </c>
      <c r="F19" s="182"/>
      <c r="G19" s="182"/>
      <c r="H19" s="182"/>
      <c r="I19" s="182"/>
      <c r="J19" s="182"/>
      <c r="K19" s="182"/>
      <c r="L19" s="182"/>
      <c r="M19" s="182"/>
      <c r="N19" s="100">
        <f t="shared" si="3"/>
        <v>0</v>
      </c>
    </row>
    <row r="20" spans="1:14">
      <c r="A20" s="99">
        <v>2.6</v>
      </c>
      <c r="B20" s="65" t="s">
        <v>82</v>
      </c>
      <c r="C20" s="182"/>
      <c r="D20" s="66"/>
      <c r="E20" s="185"/>
      <c r="F20" s="182"/>
      <c r="G20" s="182"/>
      <c r="H20" s="182"/>
      <c r="I20" s="182"/>
      <c r="J20" s="182"/>
      <c r="K20" s="182"/>
      <c r="L20" s="182"/>
      <c r="M20" s="182"/>
      <c r="N20" s="100">
        <f t="shared" si="3"/>
        <v>0</v>
      </c>
    </row>
    <row r="21" spans="1:14" ht="14.4" thickBot="1">
      <c r="A21" s="101">
        <v>3</v>
      </c>
      <c r="B21" s="102" t="s">
        <v>67</v>
      </c>
      <c r="C21" s="183">
        <f>C14+C7</f>
        <v>70913468.021500006</v>
      </c>
      <c r="D21" s="103"/>
      <c r="E21" s="186">
        <f>E14+E7</f>
        <v>1418269.3604300001</v>
      </c>
      <c r="F21" s="187">
        <f>F7+F14</f>
        <v>0</v>
      </c>
      <c r="G21" s="187">
        <f t="shared" ref="G21:L21" si="4">G7+G14</f>
        <v>0</v>
      </c>
      <c r="H21" s="187">
        <f t="shared" si="4"/>
        <v>0</v>
      </c>
      <c r="I21" s="187">
        <f t="shared" si="4"/>
        <v>0</v>
      </c>
      <c r="J21" s="187">
        <f t="shared" si="4"/>
        <v>0</v>
      </c>
      <c r="K21" s="187">
        <f t="shared" si="4"/>
        <v>1418269.3603999999</v>
      </c>
      <c r="L21" s="187">
        <f t="shared" si="4"/>
        <v>0</v>
      </c>
      <c r="M21" s="187">
        <f>M7+M14</f>
        <v>0</v>
      </c>
      <c r="N21" s="104">
        <f>N14+N7</f>
        <v>1418269.3603999999</v>
      </c>
    </row>
    <row r="22" spans="1:14">
      <c r="E22" s="188"/>
      <c r="F22" s="188"/>
      <c r="G22" s="188"/>
      <c r="H22" s="188"/>
      <c r="I22" s="188"/>
      <c r="J22" s="188"/>
      <c r="K22" s="188"/>
      <c r="L22" s="188"/>
      <c r="M22" s="188"/>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8" zoomScaleNormal="100" workbookViewId="0"/>
  </sheetViews>
  <sheetFormatPr defaultRowHeight="14.4"/>
  <cols>
    <col min="1" max="1" width="11.44140625" customWidth="1"/>
    <col min="2" max="2" width="76.77734375" style="2" customWidth="1"/>
    <col min="3" max="3" width="22.77734375" customWidth="1"/>
  </cols>
  <sheetData>
    <row r="1" spans="1:3">
      <c r="A1" s="1" t="s">
        <v>109</v>
      </c>
      <c r="B1" t="str">
        <f>Info!C2</f>
        <v>სს " პაშა ბანკი საქართველო"</v>
      </c>
    </row>
    <row r="2" spans="1:3">
      <c r="A2" s="1" t="s">
        <v>110</v>
      </c>
      <c r="B2" s="339">
        <f>'1. key ratios'!B2</f>
        <v>45199</v>
      </c>
    </row>
    <row r="3" spans="1:3">
      <c r="A3" s="1"/>
      <c r="B3"/>
    </row>
    <row r="4" spans="1:3">
      <c r="A4" s="1" t="s">
        <v>429</v>
      </c>
      <c r="B4" t="s">
        <v>388</v>
      </c>
    </row>
    <row r="5" spans="1:3">
      <c r="A5" s="269"/>
      <c r="B5" s="269" t="s">
        <v>389</v>
      </c>
      <c r="C5" s="281"/>
    </row>
    <row r="6" spans="1:3">
      <c r="A6" s="270">
        <v>1</v>
      </c>
      <c r="B6" s="282" t="s">
        <v>441</v>
      </c>
      <c r="C6" s="283">
        <v>484979576.98739994</v>
      </c>
    </row>
    <row r="7" spans="1:3">
      <c r="A7" s="270">
        <v>2</v>
      </c>
      <c r="B7" s="282" t="s">
        <v>390</v>
      </c>
      <c r="C7" s="283">
        <v>-5291279.91</v>
      </c>
    </row>
    <row r="8" spans="1:3">
      <c r="A8" s="271">
        <v>3</v>
      </c>
      <c r="B8" s="284" t="s">
        <v>391</v>
      </c>
      <c r="C8" s="285">
        <f>C6+C7</f>
        <v>479688297.07739991</v>
      </c>
    </row>
    <row r="9" spans="1:3">
      <c r="A9" s="272"/>
      <c r="B9" s="272" t="s">
        <v>392</v>
      </c>
      <c r="C9" s="286"/>
    </row>
    <row r="10" spans="1:3">
      <c r="A10" s="273">
        <v>4</v>
      </c>
      <c r="B10" s="287" t="s">
        <v>393</v>
      </c>
      <c r="C10" s="283"/>
    </row>
    <row r="11" spans="1:3">
      <c r="A11" s="273">
        <v>5</v>
      </c>
      <c r="B11" s="288" t="s">
        <v>394</v>
      </c>
      <c r="C11" s="283"/>
    </row>
    <row r="12" spans="1:3">
      <c r="A12" s="273" t="s">
        <v>395</v>
      </c>
      <c r="B12" s="282" t="s">
        <v>396</v>
      </c>
      <c r="C12" s="285">
        <f>'15. CCR'!E21</f>
        <v>1418269.3604300001</v>
      </c>
    </row>
    <row r="13" spans="1:3">
      <c r="A13" s="274">
        <v>6</v>
      </c>
      <c r="B13" s="289" t="s">
        <v>397</v>
      </c>
      <c r="C13" s="283"/>
    </row>
    <row r="14" spans="1:3">
      <c r="A14" s="274">
        <v>7</v>
      </c>
      <c r="B14" s="290" t="s">
        <v>398</v>
      </c>
      <c r="C14" s="283"/>
    </row>
    <row r="15" spans="1:3">
      <c r="A15" s="275">
        <v>8</v>
      </c>
      <c r="B15" s="282" t="s">
        <v>399</v>
      </c>
      <c r="C15" s="283"/>
    </row>
    <row r="16" spans="1:3" ht="22.8">
      <c r="A16" s="274">
        <v>9</v>
      </c>
      <c r="B16" s="290" t="s">
        <v>400</v>
      </c>
      <c r="C16" s="283"/>
    </row>
    <row r="17" spans="1:3">
      <c r="A17" s="274">
        <v>10</v>
      </c>
      <c r="B17" s="290" t="s">
        <v>401</v>
      </c>
      <c r="C17" s="283"/>
    </row>
    <row r="18" spans="1:3">
      <c r="A18" s="276">
        <v>11</v>
      </c>
      <c r="B18" s="291" t="s">
        <v>402</v>
      </c>
      <c r="C18" s="285">
        <f>SUM(C10:C17)</f>
        <v>1418269.3604300001</v>
      </c>
    </row>
    <row r="19" spans="1:3">
      <c r="A19" s="272"/>
      <c r="B19" s="272" t="s">
        <v>403</v>
      </c>
      <c r="C19" s="292"/>
    </row>
    <row r="20" spans="1:3">
      <c r="A20" s="274">
        <v>12</v>
      </c>
      <c r="B20" s="287" t="s">
        <v>404</v>
      </c>
      <c r="C20" s="283"/>
    </row>
    <row r="21" spans="1:3">
      <c r="A21" s="274">
        <v>13</v>
      </c>
      <c r="B21" s="287" t="s">
        <v>405</v>
      </c>
      <c r="C21" s="283"/>
    </row>
    <row r="22" spans="1:3">
      <c r="A22" s="274">
        <v>14</v>
      </c>
      <c r="B22" s="287" t="s">
        <v>406</v>
      </c>
      <c r="C22" s="283"/>
    </row>
    <row r="23" spans="1:3" ht="22.8">
      <c r="A23" s="274" t="s">
        <v>407</v>
      </c>
      <c r="B23" s="287" t="s">
        <v>408</v>
      </c>
      <c r="C23" s="283"/>
    </row>
    <row r="24" spans="1:3">
      <c r="A24" s="274">
        <v>15</v>
      </c>
      <c r="B24" s="287" t="s">
        <v>409</v>
      </c>
      <c r="C24" s="283"/>
    </row>
    <row r="25" spans="1:3">
      <c r="A25" s="274" t="s">
        <v>410</v>
      </c>
      <c r="B25" s="282" t="s">
        <v>411</v>
      </c>
      <c r="C25" s="283"/>
    </row>
    <row r="26" spans="1:3">
      <c r="A26" s="276">
        <v>16</v>
      </c>
      <c r="B26" s="291" t="s">
        <v>412</v>
      </c>
      <c r="C26" s="285">
        <f>SUM(C20:C25)</f>
        <v>0</v>
      </c>
    </row>
    <row r="27" spans="1:3">
      <c r="A27" s="272"/>
      <c r="B27" s="272" t="s">
        <v>413</v>
      </c>
      <c r="C27" s="286"/>
    </row>
    <row r="28" spans="1:3">
      <c r="A28" s="273">
        <v>17</v>
      </c>
      <c r="B28" s="282" t="s">
        <v>414</v>
      </c>
      <c r="C28" s="283">
        <v>157491103.90869999</v>
      </c>
    </row>
    <row r="29" spans="1:3">
      <c r="A29" s="273">
        <v>18</v>
      </c>
      <c r="B29" s="282" t="s">
        <v>415</v>
      </c>
      <c r="C29" s="283">
        <v>-102966426.95058998</v>
      </c>
    </row>
    <row r="30" spans="1:3">
      <c r="A30" s="276">
        <v>19</v>
      </c>
      <c r="B30" s="291" t="s">
        <v>416</v>
      </c>
      <c r="C30" s="285">
        <f>C28+C29</f>
        <v>54524676.958110005</v>
      </c>
    </row>
    <row r="31" spans="1:3">
      <c r="A31" s="277"/>
      <c r="B31" s="272" t="s">
        <v>417</v>
      </c>
      <c r="C31" s="286"/>
    </row>
    <row r="32" spans="1:3">
      <c r="A32" s="273" t="s">
        <v>418</v>
      </c>
      <c r="B32" s="287" t="s">
        <v>419</v>
      </c>
      <c r="C32" s="293"/>
    </row>
    <row r="33" spans="1:3">
      <c r="A33" s="273" t="s">
        <v>420</v>
      </c>
      <c r="B33" s="288" t="s">
        <v>421</v>
      </c>
      <c r="C33" s="293"/>
    </row>
    <row r="34" spans="1:3">
      <c r="A34" s="272"/>
      <c r="B34" s="272" t="s">
        <v>422</v>
      </c>
      <c r="C34" s="286"/>
    </row>
    <row r="35" spans="1:3">
      <c r="A35" s="276">
        <v>20</v>
      </c>
      <c r="B35" s="291" t="s">
        <v>87</v>
      </c>
      <c r="C35" s="285">
        <v>103075007.18000001</v>
      </c>
    </row>
    <row r="36" spans="1:3">
      <c r="A36" s="276">
        <v>21</v>
      </c>
      <c r="B36" s="291" t="s">
        <v>423</v>
      </c>
      <c r="C36" s="285">
        <f>C8+C18+C26+C30</f>
        <v>535631243.39593995</v>
      </c>
    </row>
    <row r="37" spans="1:3">
      <c r="A37" s="278"/>
      <c r="B37" s="278" t="s">
        <v>388</v>
      </c>
      <c r="C37" s="286"/>
    </row>
    <row r="38" spans="1:3">
      <c r="A38" s="276">
        <v>22</v>
      </c>
      <c r="B38" s="291" t="s">
        <v>388</v>
      </c>
      <c r="C38" s="653">
        <f>IFERROR(C35/C36,0)</f>
        <v>0.1924365101006752</v>
      </c>
    </row>
    <row r="39" spans="1:3">
      <c r="A39" s="278"/>
      <c r="B39" s="278" t="s">
        <v>424</v>
      </c>
      <c r="C39" s="286"/>
    </row>
    <row r="40" spans="1:3">
      <c r="A40" s="279" t="s">
        <v>425</v>
      </c>
      <c r="B40" s="287" t="s">
        <v>426</v>
      </c>
      <c r="C40" s="293"/>
    </row>
    <row r="41" spans="1:3">
      <c r="A41" s="280" t="s">
        <v>427</v>
      </c>
      <c r="B41" s="288" t="s">
        <v>428</v>
      </c>
      <c r="C41" s="293"/>
    </row>
    <row r="43" spans="1:3">
      <c r="B43" s="304" t="s">
        <v>442</v>
      </c>
    </row>
  </sheetData>
  <pageMargins left="0.7" right="0.7" top="0.75" bottom="0.75" header="0.3" footer="0.3"/>
  <pageSetup paperSize="9" scale="3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selection pane="bottomLeft"/>
      <selection pane="bottomRight"/>
    </sheetView>
  </sheetViews>
  <sheetFormatPr defaultRowHeight="14.4"/>
  <cols>
    <col min="1" max="1" width="9.88671875" style="1" bestFit="1" customWidth="1"/>
    <col min="2" max="2" width="82.6640625" style="17" customWidth="1"/>
    <col min="3" max="7" width="17.5546875" style="1" customWidth="1"/>
  </cols>
  <sheetData>
    <row r="1" spans="1:7">
      <c r="A1" s="1" t="s">
        <v>109</v>
      </c>
      <c r="B1" s="1" t="str">
        <f>Info!C2</f>
        <v>სს " პაშა ბანკი საქართველო"</v>
      </c>
    </row>
    <row r="2" spans="1:7">
      <c r="A2" s="1" t="s">
        <v>110</v>
      </c>
      <c r="B2" s="339">
        <f>'1. key ratios'!B2</f>
        <v>45199</v>
      </c>
    </row>
    <row r="3" spans="1:7">
      <c r="B3" s="339"/>
    </row>
    <row r="4" spans="1:7" ht="15" thickBot="1">
      <c r="A4" s="1" t="s">
        <v>489</v>
      </c>
      <c r="B4" s="196" t="s">
        <v>454</v>
      </c>
    </row>
    <row r="5" spans="1:7">
      <c r="A5" s="340"/>
      <c r="B5" s="341"/>
      <c r="C5" s="818" t="s">
        <v>455</v>
      </c>
      <c r="D5" s="818"/>
      <c r="E5" s="818"/>
      <c r="F5" s="818"/>
      <c r="G5" s="819" t="s">
        <v>456</v>
      </c>
    </row>
    <row r="6" spans="1:7">
      <c r="A6" s="342"/>
      <c r="B6" s="343"/>
      <c r="C6" s="344" t="s">
        <v>457</v>
      </c>
      <c r="D6" s="344" t="s">
        <v>458</v>
      </c>
      <c r="E6" s="344" t="s">
        <v>459</v>
      </c>
      <c r="F6" s="344" t="s">
        <v>460</v>
      </c>
      <c r="G6" s="820"/>
    </row>
    <row r="7" spans="1:7">
      <c r="A7" s="345"/>
      <c r="B7" s="346" t="s">
        <v>461</v>
      </c>
      <c r="C7" s="347"/>
      <c r="D7" s="347"/>
      <c r="E7" s="347"/>
      <c r="F7" s="347"/>
      <c r="G7" s="348"/>
    </row>
    <row r="8" spans="1:7">
      <c r="A8" s="349">
        <v>1</v>
      </c>
      <c r="B8" s="350" t="s">
        <v>462</v>
      </c>
      <c r="C8" s="351">
        <f>SUM(C9:C10)</f>
        <v>121827508</v>
      </c>
      <c r="D8" s="351">
        <f>SUM(D9:D10)</f>
        <v>0</v>
      </c>
      <c r="E8" s="351">
        <f>SUM(E9:E10)</f>
        <v>0</v>
      </c>
      <c r="F8" s="351">
        <f>SUM(F9:F10)</f>
        <v>125782395.49199998</v>
      </c>
      <c r="G8" s="352">
        <f>SUM(G9:G10)</f>
        <v>247609903.49199998</v>
      </c>
    </row>
    <row r="9" spans="1:7">
      <c r="A9" s="349">
        <v>2</v>
      </c>
      <c r="B9" s="353" t="s">
        <v>86</v>
      </c>
      <c r="C9" s="351">
        <v>121827508</v>
      </c>
      <c r="D9" s="351"/>
      <c r="E9" s="351"/>
      <c r="F9" s="351">
        <v>0</v>
      </c>
      <c r="G9" s="352">
        <v>121827508</v>
      </c>
    </row>
    <row r="10" spans="1:7">
      <c r="A10" s="349">
        <v>3</v>
      </c>
      <c r="B10" s="353" t="s">
        <v>463</v>
      </c>
      <c r="C10" s="354"/>
      <c r="D10" s="354"/>
      <c r="E10" s="354"/>
      <c r="F10" s="351">
        <v>125782395.49199998</v>
      </c>
      <c r="G10" s="352">
        <v>125782395.49199998</v>
      </c>
    </row>
    <row r="11" spans="1:7" ht="27.6">
      <c r="A11" s="349">
        <v>4</v>
      </c>
      <c r="B11" s="350" t="s">
        <v>464</v>
      </c>
      <c r="C11" s="351">
        <f t="shared" ref="C11:F11" si="0">SUM(C12:C13)</f>
        <v>17951929.831699789</v>
      </c>
      <c r="D11" s="351">
        <f t="shared" si="0"/>
        <v>17484196.126300212</v>
      </c>
      <c r="E11" s="351">
        <f t="shared" si="0"/>
        <v>6143089.2387000006</v>
      </c>
      <c r="F11" s="351">
        <f t="shared" si="0"/>
        <v>1967920.5721</v>
      </c>
      <c r="G11" s="352">
        <f>SUM(G12:G13)</f>
        <v>31558792.318010002</v>
      </c>
    </row>
    <row r="12" spans="1:7">
      <c r="A12" s="349">
        <v>5</v>
      </c>
      <c r="B12" s="353" t="s">
        <v>465</v>
      </c>
      <c r="C12" s="351">
        <v>5127063.85499979</v>
      </c>
      <c r="D12" s="355">
        <v>9978471.651000211</v>
      </c>
      <c r="E12" s="351">
        <v>5012676.6018000003</v>
      </c>
      <c r="F12" s="351">
        <v>1626731.0780000002</v>
      </c>
      <c r="G12" s="352">
        <v>20657696.02651</v>
      </c>
    </row>
    <row r="13" spans="1:7">
      <c r="A13" s="349">
        <v>6</v>
      </c>
      <c r="B13" s="353" t="s">
        <v>466</v>
      </c>
      <c r="C13" s="351">
        <v>12824865.976699999</v>
      </c>
      <c r="D13" s="355">
        <v>7505724.4753</v>
      </c>
      <c r="E13" s="351">
        <v>1130412.6369</v>
      </c>
      <c r="F13" s="351">
        <v>341189.49409999978</v>
      </c>
      <c r="G13" s="352">
        <v>10901096.2915</v>
      </c>
    </row>
    <row r="14" spans="1:7">
      <c r="A14" s="349">
        <v>7</v>
      </c>
      <c r="B14" s="350" t="s">
        <v>467</v>
      </c>
      <c r="C14" s="351">
        <f t="shared" ref="C14:F14" si="1">SUM(C15:C16)</f>
        <v>74142877.942299902</v>
      </c>
      <c r="D14" s="351">
        <f t="shared" si="1"/>
        <v>77081091.467000097</v>
      </c>
      <c r="E14" s="351">
        <f t="shared" si="1"/>
        <v>20034684.284400001</v>
      </c>
      <c r="F14" s="351">
        <f t="shared" si="1"/>
        <v>13391.5</v>
      </c>
      <c r="G14" s="352">
        <f>SUM(G15:G16)</f>
        <v>48754779.288549997</v>
      </c>
    </row>
    <row r="15" spans="1:7" ht="55.2">
      <c r="A15" s="349">
        <v>8</v>
      </c>
      <c r="B15" s="353" t="s">
        <v>468</v>
      </c>
      <c r="C15" s="351">
        <v>58344322.6489999</v>
      </c>
      <c r="D15" s="355">
        <v>19117160.143700089</v>
      </c>
      <c r="E15" s="351">
        <v>16879043.4366</v>
      </c>
      <c r="F15" s="351">
        <v>13391.5</v>
      </c>
      <c r="G15" s="352">
        <v>47176958.864649996</v>
      </c>
    </row>
    <row r="16" spans="1:7" ht="27.6">
      <c r="A16" s="349">
        <v>9</v>
      </c>
      <c r="B16" s="353" t="s">
        <v>469</v>
      </c>
      <c r="C16" s="351">
        <v>15798555.293299999</v>
      </c>
      <c r="D16" s="355">
        <v>57963931.323300004</v>
      </c>
      <c r="E16" s="351">
        <v>3155640.8478000001</v>
      </c>
      <c r="F16" s="351">
        <v>0</v>
      </c>
      <c r="G16" s="352">
        <v>1577820.4239000001</v>
      </c>
    </row>
    <row r="17" spans="1:7">
      <c r="A17" s="349">
        <v>10</v>
      </c>
      <c r="B17" s="350" t="s">
        <v>470</v>
      </c>
      <c r="C17" s="351"/>
      <c r="D17" s="355"/>
      <c r="E17" s="351"/>
      <c r="F17" s="351"/>
      <c r="G17" s="352"/>
    </row>
    <row r="18" spans="1:7">
      <c r="A18" s="349">
        <v>11</v>
      </c>
      <c r="B18" s="350" t="s">
        <v>90</v>
      </c>
      <c r="C18" s="351">
        <f>SUM(C19:C20)</f>
        <v>0</v>
      </c>
      <c r="D18" s="355">
        <f t="shared" ref="D18:G18" si="2">SUM(D19:D20)</f>
        <v>14930944.080100002</v>
      </c>
      <c r="E18" s="351">
        <f t="shared" si="2"/>
        <v>0</v>
      </c>
      <c r="F18" s="351">
        <f t="shared" si="2"/>
        <v>0</v>
      </c>
      <c r="G18" s="352">
        <f t="shared" si="2"/>
        <v>0</v>
      </c>
    </row>
    <row r="19" spans="1:7">
      <c r="A19" s="349">
        <v>12</v>
      </c>
      <c r="B19" s="353" t="s">
        <v>471</v>
      </c>
      <c r="C19" s="354"/>
      <c r="D19" s="355">
        <v>545637.87</v>
      </c>
      <c r="E19" s="351">
        <v>0</v>
      </c>
      <c r="F19" s="351">
        <v>0</v>
      </c>
      <c r="G19" s="352">
        <v>0</v>
      </c>
    </row>
    <row r="20" spans="1:7" ht="27.6">
      <c r="A20" s="349">
        <v>13</v>
      </c>
      <c r="B20" s="353" t="s">
        <v>472</v>
      </c>
      <c r="C20" s="351">
        <v>0</v>
      </c>
      <c r="D20" s="351">
        <v>14385306.210100003</v>
      </c>
      <c r="E20" s="351">
        <v>0</v>
      </c>
      <c r="F20" s="351">
        <v>0</v>
      </c>
      <c r="G20" s="352">
        <v>0</v>
      </c>
    </row>
    <row r="21" spans="1:7">
      <c r="A21" s="356">
        <v>14</v>
      </c>
      <c r="B21" s="357" t="s">
        <v>473</v>
      </c>
      <c r="C21" s="354"/>
      <c r="D21" s="354"/>
      <c r="E21" s="354"/>
      <c r="F21" s="354"/>
      <c r="G21" s="358">
        <f>SUM(G8,G11,G14,G17,G18)</f>
        <v>327923475.09855998</v>
      </c>
    </row>
    <row r="22" spans="1:7">
      <c r="A22" s="359"/>
      <c r="B22" s="379" t="s">
        <v>474</v>
      </c>
      <c r="C22" s="360"/>
      <c r="D22" s="361"/>
      <c r="E22" s="360"/>
      <c r="F22" s="360"/>
      <c r="G22" s="362"/>
    </row>
    <row r="23" spans="1:7">
      <c r="A23" s="349">
        <v>15</v>
      </c>
      <c r="B23" s="350" t="s">
        <v>323</v>
      </c>
      <c r="C23" s="363">
        <v>89926036.764335588</v>
      </c>
      <c r="D23" s="364">
        <v>41070600</v>
      </c>
      <c r="E23" s="363">
        <v>0</v>
      </c>
      <c r="F23" s="363">
        <v>0</v>
      </c>
      <c r="G23" s="352">
        <v>3979681.2870217795</v>
      </c>
    </row>
    <row r="24" spans="1:7">
      <c r="A24" s="349">
        <v>16</v>
      </c>
      <c r="B24" s="350" t="s">
        <v>475</v>
      </c>
      <c r="C24" s="351">
        <f>SUM(C25:C27,C29,C31)</f>
        <v>3119877.9288625601</v>
      </c>
      <c r="D24" s="355">
        <f t="shared" ref="D24:G24" si="3">SUM(D25:D27,D29,D31)</f>
        <v>35995598.792296976</v>
      </c>
      <c r="E24" s="351">
        <f t="shared" si="3"/>
        <v>36147437.669889629</v>
      </c>
      <c r="F24" s="351">
        <f t="shared" si="3"/>
        <v>222439357.50322542</v>
      </c>
      <c r="G24" s="352">
        <f t="shared" si="3"/>
        <v>227134721.35245049</v>
      </c>
    </row>
    <row r="25" spans="1:7" ht="27.6">
      <c r="A25" s="349">
        <v>17</v>
      </c>
      <c r="B25" s="353" t="s">
        <v>476</v>
      </c>
      <c r="C25" s="351">
        <v>3119877.9288625601</v>
      </c>
      <c r="D25" s="355">
        <v>11199803.725811711</v>
      </c>
      <c r="E25" s="351">
        <v>12921754.92713619</v>
      </c>
      <c r="F25" s="351">
        <v>36277992.388801828</v>
      </c>
      <c r="G25" s="352">
        <v>44886822.100571066</v>
      </c>
    </row>
    <row r="26" spans="1:7" ht="27.6">
      <c r="A26" s="349">
        <v>18</v>
      </c>
      <c r="B26" s="353" t="s">
        <v>477</v>
      </c>
      <c r="C26" s="351">
        <v>0</v>
      </c>
      <c r="D26" s="355">
        <v>21333858.117795754</v>
      </c>
      <c r="E26" s="351">
        <v>23225682.742753442</v>
      </c>
      <c r="F26" s="351">
        <v>171256038.45585102</v>
      </c>
      <c r="G26" s="352">
        <v>167847403.11774796</v>
      </c>
    </row>
    <row r="27" spans="1:7">
      <c r="A27" s="349">
        <v>19</v>
      </c>
      <c r="B27" s="353" t="s">
        <v>478</v>
      </c>
      <c r="C27" s="351"/>
      <c r="D27" s="355"/>
      <c r="E27" s="351"/>
      <c r="F27" s="351"/>
      <c r="G27" s="352"/>
    </row>
    <row r="28" spans="1:7">
      <c r="A28" s="349">
        <v>20</v>
      </c>
      <c r="B28" s="365" t="s">
        <v>479</v>
      </c>
      <c r="C28" s="351"/>
      <c r="D28" s="355"/>
      <c r="E28" s="351"/>
      <c r="F28" s="351"/>
      <c r="G28" s="352"/>
    </row>
    <row r="29" spans="1:7">
      <c r="A29" s="349">
        <v>21</v>
      </c>
      <c r="B29" s="353" t="s">
        <v>480</v>
      </c>
      <c r="C29" s="351"/>
      <c r="D29" s="355"/>
      <c r="E29" s="351"/>
      <c r="F29" s="351"/>
      <c r="G29" s="352"/>
    </row>
    <row r="30" spans="1:7">
      <c r="A30" s="349">
        <v>22</v>
      </c>
      <c r="B30" s="365" t="s">
        <v>479</v>
      </c>
      <c r="C30" s="351"/>
      <c r="D30" s="355"/>
      <c r="E30" s="351"/>
      <c r="F30" s="351"/>
      <c r="G30" s="352"/>
    </row>
    <row r="31" spans="1:7" ht="27.6">
      <c r="A31" s="349">
        <v>23</v>
      </c>
      <c r="B31" s="353" t="s">
        <v>481</v>
      </c>
      <c r="C31" s="351">
        <v>0</v>
      </c>
      <c r="D31" s="355">
        <v>3461936.9486895101</v>
      </c>
      <c r="E31" s="351">
        <v>0</v>
      </c>
      <c r="F31" s="351">
        <v>14905326.65857259</v>
      </c>
      <c r="G31" s="352">
        <v>14400496.134131456</v>
      </c>
    </row>
    <row r="32" spans="1:7">
      <c r="A32" s="349">
        <v>24</v>
      </c>
      <c r="B32" s="350" t="s">
        <v>482</v>
      </c>
      <c r="C32" s="351"/>
      <c r="D32" s="355"/>
      <c r="E32" s="351"/>
      <c r="F32" s="351"/>
      <c r="G32" s="352"/>
    </row>
    <row r="33" spans="1:7">
      <c r="A33" s="349">
        <v>25</v>
      </c>
      <c r="B33" s="350" t="s">
        <v>100</v>
      </c>
      <c r="C33" s="351">
        <f>SUM(C34:C35)</f>
        <v>5141641.959999999</v>
      </c>
      <c r="D33" s="351">
        <f>SUM(D34:D35)</f>
        <v>7294323.7157452991</v>
      </c>
      <c r="E33" s="351">
        <f>SUM(E34:E35)</f>
        <v>290292.21470700001</v>
      </c>
      <c r="F33" s="351">
        <f>SUM(F34:F35)</f>
        <v>38101177.380426124</v>
      </c>
      <c r="G33" s="352">
        <f>SUM(G34:G35)</f>
        <v>47402978.140652269</v>
      </c>
    </row>
    <row r="34" spans="1:7">
      <c r="A34" s="349">
        <v>26</v>
      </c>
      <c r="B34" s="353" t="s">
        <v>483</v>
      </c>
      <c r="C34" s="354"/>
      <c r="D34" s="355">
        <v>735701.67</v>
      </c>
      <c r="E34" s="351">
        <v>0</v>
      </c>
      <c r="F34" s="351">
        <v>0</v>
      </c>
      <c r="G34" s="352">
        <v>735701.67</v>
      </c>
    </row>
    <row r="35" spans="1:7">
      <c r="A35" s="349">
        <v>27</v>
      </c>
      <c r="B35" s="353" t="s">
        <v>484</v>
      </c>
      <c r="C35" s="351">
        <v>5141641.959999999</v>
      </c>
      <c r="D35" s="355">
        <v>6558622.0457452992</v>
      </c>
      <c r="E35" s="351">
        <v>290292.21470700001</v>
      </c>
      <c r="F35" s="351">
        <v>38101177.380426124</v>
      </c>
      <c r="G35" s="352">
        <v>46667276.470652267</v>
      </c>
    </row>
    <row r="36" spans="1:7">
      <c r="A36" s="349">
        <v>28</v>
      </c>
      <c r="B36" s="350" t="s">
        <v>485</v>
      </c>
      <c r="C36" s="351">
        <v>0</v>
      </c>
      <c r="D36" s="355">
        <v>95945676.049498677</v>
      </c>
      <c r="E36" s="351">
        <v>12058048.285</v>
      </c>
      <c r="F36" s="351">
        <v>49453392.536700003</v>
      </c>
      <c r="G36" s="352">
        <v>14780336.802979935</v>
      </c>
    </row>
    <row r="37" spans="1:7">
      <c r="A37" s="356">
        <v>29</v>
      </c>
      <c r="B37" s="357" t="s">
        <v>486</v>
      </c>
      <c r="C37" s="354"/>
      <c r="D37" s="354"/>
      <c r="E37" s="354"/>
      <c r="F37" s="354"/>
      <c r="G37" s="358">
        <f>SUM(G23:G24,G32:G33,G36)</f>
        <v>293297717.58310449</v>
      </c>
    </row>
    <row r="38" spans="1:7">
      <c r="A38" s="345"/>
      <c r="B38" s="366"/>
      <c r="C38" s="367"/>
      <c r="D38" s="367"/>
      <c r="E38" s="367"/>
      <c r="F38" s="367"/>
      <c r="G38" s="368"/>
    </row>
    <row r="39" spans="1:7" ht="15" thickBot="1">
      <c r="A39" s="369">
        <v>30</v>
      </c>
      <c r="B39" s="370" t="s">
        <v>454</v>
      </c>
      <c r="C39" s="232"/>
      <c r="D39" s="215"/>
      <c r="E39" s="215"/>
      <c r="F39" s="371"/>
      <c r="G39" s="372">
        <f>IFERROR(G21/G37,0)</f>
        <v>1.1180566892943666</v>
      </c>
    </row>
    <row r="42" spans="1:7" ht="41.4">
      <c r="B42" s="17" t="s">
        <v>487</v>
      </c>
    </row>
  </sheetData>
  <mergeCells count="2">
    <mergeCell ref="C5:F5"/>
    <mergeCell ref="G5:G6"/>
  </mergeCells>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63" zoomScaleNormal="63" workbookViewId="0">
      <pane xSplit="1" ySplit="5" topLeftCell="B6" activePane="bottomRight" state="frozen"/>
      <selection pane="topRight"/>
      <selection pane="bottomLeft"/>
      <selection pane="bottomRight"/>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9" width="12.5546875" customWidth="1"/>
    <col min="10" max="10" width="13" customWidth="1"/>
    <col min="11" max="11" width="12.88671875" customWidth="1"/>
    <col min="12" max="12" width="15.5546875" customWidth="1"/>
    <col min="13" max="13" width="6.77734375" customWidth="1"/>
  </cols>
  <sheetData>
    <row r="1" spans="1:12">
      <c r="A1" s="13" t="s">
        <v>109</v>
      </c>
      <c r="B1" s="303" t="str">
        <f>Info!C2</f>
        <v>სს " პაშა ბანკი საქართველო"</v>
      </c>
    </row>
    <row r="2" spans="1:12">
      <c r="A2" s="13" t="s">
        <v>110</v>
      </c>
      <c r="B2" s="339">
        <v>45199</v>
      </c>
    </row>
    <row r="3" spans="1:12" ht="15" thickBot="1">
      <c r="A3" s="13"/>
    </row>
    <row r="4" spans="1:12" ht="15" thickBot="1">
      <c r="A4" s="32" t="s">
        <v>253</v>
      </c>
      <c r="B4" s="136" t="s">
        <v>140</v>
      </c>
      <c r="C4" s="137"/>
      <c r="D4" s="759" t="s">
        <v>937</v>
      </c>
      <c r="E4" s="760"/>
      <c r="F4" s="760"/>
      <c r="G4" s="761"/>
      <c r="I4" s="762" t="s">
        <v>938</v>
      </c>
      <c r="J4" s="763"/>
      <c r="K4" s="763"/>
      <c r="L4" s="764"/>
    </row>
    <row r="5" spans="1:12" ht="34.200000000000003" customHeight="1">
      <c r="A5" s="200" t="s">
        <v>26</v>
      </c>
      <c r="B5" s="201"/>
      <c r="C5" s="323" t="str">
        <f>INT((MONTH($B$2))/3)&amp;"Q"&amp;"-"&amp;YEAR($B$2)</f>
        <v>3Q-2023</v>
      </c>
      <c r="D5" s="323" t="str">
        <f>IF(INT(MONTH($B$2))=3, "4"&amp;"Q"&amp;"-"&amp;YEAR($B$2)-1, IF(INT(MONTH($B$2))=6, "1"&amp;"Q"&amp;"-"&amp;YEAR($B$2), IF(INT(MONTH($B$2))=9, "2"&amp;"Q"&amp;"-"&amp;YEAR($B$2),IF(INT(MONTH($B$2))=12, "3"&amp;"Q"&amp;"-"&amp;YEAR($B$2), 0))))</f>
        <v>2Q-2023</v>
      </c>
      <c r="E5" s="323" t="str">
        <f>IF(INT(MONTH($B$2))=3, "3"&amp;"Q"&amp;"-"&amp;YEAR($B$2)-1, IF(INT(MONTH($B$2))=6, "4"&amp;"Q"&amp;"-"&amp;YEAR($B$2)-1, IF(INT(MONTH($B$2))=9, "1"&amp;"Q"&amp;"-"&amp;YEAR($B$2),IF(INT(MONTH($B$2))=12, "2"&amp;"Q"&amp;"-"&amp;YEAR($B$2), 0))))</f>
        <v>1Q-2023</v>
      </c>
      <c r="F5" s="323" t="str">
        <f>IF(INT(MONTH($B$2))=3, "2"&amp;"Q"&amp;"-"&amp;YEAR($B$2)-1, IF(INT(MONTH($B$2))=6, "3"&amp;"Q"&amp;"-"&amp;YEAR($B$2)-1, IF(INT(MONTH($B$2))=9, "4"&amp;"Q"&amp;"-"&amp;YEAR($B$2)-1,IF(INT(MONTH($B$2))=12, "1"&amp;"Q"&amp;"-"&amp;YEAR($B$2), 0))))</f>
        <v>4Q-2022</v>
      </c>
      <c r="G5" s="324" t="str">
        <f>IF(INT(MONTH($B$2))=3, "1"&amp;"Q"&amp;"-"&amp;YEAR($B$2)-1, IF(INT(MONTH($B$2))=6, "2"&amp;"Q"&amp;"-"&amp;YEAR($B$2)-1, IF(INT(MONTH($B$2))=9, "3"&amp;"Q"&amp;"-"&amp;YEAR($B$2)-1,IF(INT(MONTH($B$2))=12, "4"&amp;"Q"&amp;"-"&amp;YEAR($B$2)-1, 0))))</f>
        <v>3Q-2022</v>
      </c>
      <c r="I5" s="544" t="str">
        <f>D5</f>
        <v>2Q-2023</v>
      </c>
      <c r="J5" s="323" t="str">
        <f t="shared" ref="J5:L5" si="0">E5</f>
        <v>1Q-2023</v>
      </c>
      <c r="K5" s="323" t="str">
        <f t="shared" si="0"/>
        <v>4Q-2022</v>
      </c>
      <c r="L5" s="324" t="str">
        <f t="shared" si="0"/>
        <v>3Q-2022</v>
      </c>
    </row>
    <row r="6" spans="1:12">
      <c r="A6" s="325"/>
      <c r="B6" s="326" t="s">
        <v>107</v>
      </c>
      <c r="C6" s="202"/>
      <c r="D6" s="202"/>
      <c r="E6" s="202"/>
      <c r="F6" s="202"/>
      <c r="G6" s="203"/>
      <c r="I6" s="545"/>
      <c r="J6" s="202"/>
      <c r="K6" s="202"/>
      <c r="L6" s="203"/>
    </row>
    <row r="7" spans="1:12">
      <c r="A7" s="325"/>
      <c r="B7" s="327" t="s">
        <v>111</v>
      </c>
      <c r="C7" s="202"/>
      <c r="D7" s="202"/>
      <c r="E7" s="202"/>
      <c r="F7" s="202"/>
      <c r="G7" s="203"/>
      <c r="I7" s="545"/>
      <c r="J7" s="202"/>
      <c r="K7" s="202"/>
      <c r="L7" s="203"/>
    </row>
    <row r="8" spans="1:12">
      <c r="A8" s="307">
        <v>1</v>
      </c>
      <c r="B8" s="308" t="s">
        <v>23</v>
      </c>
      <c r="C8" s="328">
        <v>103075007.18000001</v>
      </c>
      <c r="D8" s="329">
        <v>95277300.959999993</v>
      </c>
      <c r="E8" s="329">
        <v>96566537.330000013</v>
      </c>
      <c r="F8" s="329">
        <v>96574008.277896658</v>
      </c>
      <c r="G8" s="330">
        <v>96476364.155290246</v>
      </c>
      <c r="I8" s="546">
        <v>87824629.409999996</v>
      </c>
      <c r="J8" s="576">
        <v>88491638.930000007</v>
      </c>
      <c r="K8" s="576">
        <v>88477907.030000016</v>
      </c>
      <c r="L8" s="577">
        <v>87660852.290000007</v>
      </c>
    </row>
    <row r="9" spans="1:12">
      <c r="A9" s="307">
        <v>2</v>
      </c>
      <c r="B9" s="308" t="s">
        <v>87</v>
      </c>
      <c r="C9" s="328">
        <v>103075007.18000001</v>
      </c>
      <c r="D9" s="329">
        <v>95277300.959999993</v>
      </c>
      <c r="E9" s="329">
        <v>96566537.330000013</v>
      </c>
      <c r="F9" s="329">
        <v>96574008.277896658</v>
      </c>
      <c r="G9" s="330">
        <v>96476364.155290246</v>
      </c>
      <c r="I9" s="546">
        <v>87824629.409999996</v>
      </c>
      <c r="J9" s="576">
        <v>88491638.930000007</v>
      </c>
      <c r="K9" s="576">
        <v>88477907.030000016</v>
      </c>
      <c r="L9" s="577">
        <v>87660852.290000007</v>
      </c>
    </row>
    <row r="10" spans="1:12">
      <c r="A10" s="307">
        <v>3</v>
      </c>
      <c r="B10" s="308" t="s">
        <v>86</v>
      </c>
      <c r="C10" s="328">
        <v>121827507.568</v>
      </c>
      <c r="D10" s="329">
        <v>113605501.81549999</v>
      </c>
      <c r="E10" s="329">
        <v>106816550.58850001</v>
      </c>
      <c r="F10" s="329">
        <v>107390886.92339666</v>
      </c>
      <c r="G10" s="330">
        <v>113493774.88909024</v>
      </c>
      <c r="I10" s="546">
        <v>112222467.0904</v>
      </c>
      <c r="J10" s="576">
        <v>104625415.35260001</v>
      </c>
      <c r="K10" s="576">
        <v>105517547.05910002</v>
      </c>
      <c r="L10" s="577">
        <v>110636092.07050002</v>
      </c>
    </row>
    <row r="11" spans="1:12">
      <c r="A11" s="307">
        <v>4</v>
      </c>
      <c r="B11" s="308" t="s">
        <v>446</v>
      </c>
      <c r="C11" s="328">
        <v>66718155.378368773</v>
      </c>
      <c r="D11" s="329">
        <v>68009659.002582937</v>
      </c>
      <c r="E11" s="329">
        <v>66125948.271166317</v>
      </c>
      <c r="F11" s="329">
        <v>60156768.106892526</v>
      </c>
      <c r="G11" s="330">
        <v>59397527.957410738</v>
      </c>
      <c r="I11" s="546">
        <v>61802243.060732849</v>
      </c>
      <c r="J11" s="576">
        <v>61033253.913613178</v>
      </c>
      <c r="K11" s="576">
        <v>60302978.712095015</v>
      </c>
      <c r="L11" s="577">
        <v>57248718.530545391</v>
      </c>
    </row>
    <row r="12" spans="1:12">
      <c r="A12" s="307">
        <v>5</v>
      </c>
      <c r="B12" s="308" t="s">
        <v>447</v>
      </c>
      <c r="C12" s="328">
        <v>82763859.255922094</v>
      </c>
      <c r="D12" s="329">
        <v>84380756.340592861</v>
      </c>
      <c r="E12" s="329">
        <v>82313058.91154775</v>
      </c>
      <c r="F12" s="329">
        <v>74175772.707142636</v>
      </c>
      <c r="G12" s="330">
        <v>73122332.205368131</v>
      </c>
      <c r="I12" s="546">
        <v>78040489.532734737</v>
      </c>
      <c r="J12" s="576">
        <v>77133568.722691119</v>
      </c>
      <c r="K12" s="576">
        <v>75808432.51031068</v>
      </c>
      <c r="L12" s="577">
        <v>71972489.92521064</v>
      </c>
    </row>
    <row r="13" spans="1:12">
      <c r="A13" s="307">
        <v>6</v>
      </c>
      <c r="B13" s="308" t="s">
        <v>448</v>
      </c>
      <c r="C13" s="328">
        <v>104015483.7451513</v>
      </c>
      <c r="D13" s="329">
        <v>106063565.26781844</v>
      </c>
      <c r="E13" s="329">
        <v>103750672.63500927</v>
      </c>
      <c r="F13" s="329">
        <v>99426473.222909629</v>
      </c>
      <c r="G13" s="330">
        <v>98179309.831161425</v>
      </c>
      <c r="I13" s="546">
        <v>99548870.130009964</v>
      </c>
      <c r="J13" s="576">
        <v>98456761.782460868</v>
      </c>
      <c r="K13" s="576">
        <v>103025006.29841353</v>
      </c>
      <c r="L13" s="577">
        <v>97868983.665749431</v>
      </c>
    </row>
    <row r="14" spans="1:12">
      <c r="A14" s="325"/>
      <c r="B14" s="326" t="s">
        <v>450</v>
      </c>
      <c r="C14" s="202"/>
      <c r="D14" s="202"/>
      <c r="E14" s="202"/>
      <c r="F14" s="202"/>
      <c r="G14" s="203"/>
      <c r="I14" s="545"/>
      <c r="J14" s="202"/>
      <c r="K14" s="202"/>
      <c r="L14" s="203"/>
    </row>
    <row r="15" spans="1:12" ht="22.05" customHeight="1">
      <c r="A15" s="307">
        <v>7</v>
      </c>
      <c r="B15" s="308" t="s">
        <v>449</v>
      </c>
      <c r="C15" s="331">
        <v>527653671.30429757</v>
      </c>
      <c r="D15" s="329">
        <v>539187233.4075067</v>
      </c>
      <c r="E15" s="329">
        <v>527378947.24652934</v>
      </c>
      <c r="F15" s="329">
        <v>555258145.65059328</v>
      </c>
      <c r="G15" s="330">
        <v>529101732.65705884</v>
      </c>
      <c r="I15" s="546">
        <v>540613909.63636303</v>
      </c>
      <c r="J15" s="576">
        <v>526559581.73527604</v>
      </c>
      <c r="K15" s="576">
        <v>556152867.7405082</v>
      </c>
      <c r="L15" s="577">
        <v>527486561.52142268</v>
      </c>
    </row>
    <row r="16" spans="1:12">
      <c r="A16" s="325"/>
      <c r="B16" s="326" t="s">
        <v>453</v>
      </c>
      <c r="C16" s="202"/>
      <c r="D16" s="202"/>
      <c r="E16" s="202"/>
      <c r="F16" s="202"/>
      <c r="G16" s="203"/>
      <c r="I16" s="545"/>
      <c r="J16" s="202"/>
      <c r="K16" s="202"/>
      <c r="L16" s="203"/>
    </row>
    <row r="17" spans="1:12">
      <c r="A17" s="307"/>
      <c r="B17" s="327" t="s">
        <v>436</v>
      </c>
      <c r="C17" s="202"/>
      <c r="D17" s="202"/>
      <c r="E17" s="202"/>
      <c r="F17" s="202"/>
      <c r="G17" s="203"/>
      <c r="I17" s="545"/>
      <c r="J17" s="202"/>
      <c r="K17" s="202"/>
      <c r="L17" s="203"/>
    </row>
    <row r="18" spans="1:12">
      <c r="A18" s="307">
        <v>8</v>
      </c>
      <c r="B18" s="308" t="s">
        <v>444</v>
      </c>
      <c r="C18" s="667">
        <v>0.19534594902980729</v>
      </c>
      <c r="D18" s="555">
        <v>0.17670540965496367</v>
      </c>
      <c r="E18" s="555">
        <v>0.1831065457469975</v>
      </c>
      <c r="F18" s="555">
        <v>0.1739263242410273</v>
      </c>
      <c r="G18" s="556">
        <v>0.18233991348091486</v>
      </c>
      <c r="I18" s="726">
        <v>0.16245351413372641</v>
      </c>
      <c r="J18" s="578">
        <v>0.16805626941280982</v>
      </c>
      <c r="K18" s="578">
        <v>0.15908918601725588</v>
      </c>
      <c r="L18" s="579">
        <v>0.16618594422038155</v>
      </c>
    </row>
    <row r="19" spans="1:12" ht="15" customHeight="1">
      <c r="A19" s="307">
        <v>9</v>
      </c>
      <c r="B19" s="308" t="s">
        <v>443</v>
      </c>
      <c r="C19" s="667">
        <v>0.19534594902980729</v>
      </c>
      <c r="D19" s="555">
        <v>0.17670540965496367</v>
      </c>
      <c r="E19" s="555">
        <v>0.1831065457469975</v>
      </c>
      <c r="F19" s="555">
        <v>0.1739263242410273</v>
      </c>
      <c r="G19" s="556">
        <v>0.18233991348091486</v>
      </c>
      <c r="I19" s="726">
        <v>0.16245351413372641</v>
      </c>
      <c r="J19" s="578">
        <v>0.16805626941280982</v>
      </c>
      <c r="K19" s="578">
        <v>0.15908918601725588</v>
      </c>
      <c r="L19" s="579">
        <v>0.16618594422038155</v>
      </c>
    </row>
    <row r="20" spans="1:12">
      <c r="A20" s="307">
        <v>10</v>
      </c>
      <c r="B20" s="308" t="s">
        <v>445</v>
      </c>
      <c r="C20" s="667">
        <v>0.23088535945719244</v>
      </c>
      <c r="D20" s="555">
        <v>0.21069768491651075</v>
      </c>
      <c r="E20" s="555">
        <v>0.2025423106974488</v>
      </c>
      <c r="F20" s="555">
        <v>0.19340713461766018</v>
      </c>
      <c r="G20" s="556">
        <v>0.21450274660629784</v>
      </c>
      <c r="I20" s="726">
        <v>0.20758338823705996</v>
      </c>
      <c r="J20" s="578">
        <v>0.19869625201350843</v>
      </c>
      <c r="K20" s="578">
        <v>0.18972759681665935</v>
      </c>
      <c r="L20" s="579">
        <v>0.20974201077539067</v>
      </c>
    </row>
    <row r="21" spans="1:12">
      <c r="A21" s="307">
        <v>11</v>
      </c>
      <c r="B21" s="308" t="s">
        <v>446</v>
      </c>
      <c r="C21" s="667">
        <v>0.12644308001013121</v>
      </c>
      <c r="D21" s="555">
        <v>0.1261336596802963</v>
      </c>
      <c r="E21" s="555">
        <v>0.12538602197985538</v>
      </c>
      <c r="F21" s="555">
        <v>0.1083401811897908</v>
      </c>
      <c r="G21" s="556">
        <v>0.11226107247679282</v>
      </c>
      <c r="I21" s="726">
        <v>0.11431863287110636</v>
      </c>
      <c r="J21" s="578">
        <v>0.1159094925449428</v>
      </c>
      <c r="K21" s="578">
        <v>0.10842878318166184</v>
      </c>
      <c r="L21" s="579">
        <v>0.10853114127765388</v>
      </c>
    </row>
    <row r="22" spans="1:12">
      <c r="A22" s="307">
        <v>12</v>
      </c>
      <c r="B22" s="308" t="s">
        <v>447</v>
      </c>
      <c r="C22" s="667">
        <v>0.15685261707994869</v>
      </c>
      <c r="D22" s="555">
        <v>0.15649620597900843</v>
      </c>
      <c r="E22" s="555">
        <v>0.15607953131483188</v>
      </c>
      <c r="F22" s="555">
        <v>0.13358790553217592</v>
      </c>
      <c r="G22" s="556">
        <v>0.13820089349955486</v>
      </c>
      <c r="I22" s="726">
        <v>0.144355311880946</v>
      </c>
      <c r="J22" s="578">
        <v>0.14648592751554837</v>
      </c>
      <c r="K22" s="578">
        <v>0.13630862467418159</v>
      </c>
      <c r="L22" s="579">
        <v>0.13644421521871822</v>
      </c>
    </row>
    <row r="23" spans="1:12">
      <c r="A23" s="307">
        <v>13</v>
      </c>
      <c r="B23" s="308" t="s">
        <v>448</v>
      </c>
      <c r="C23" s="667">
        <v>0.19712832375076117</v>
      </c>
      <c r="D23" s="555">
        <v>0.19671008268784021</v>
      </c>
      <c r="E23" s="555">
        <v>0.19672888570295893</v>
      </c>
      <c r="F23" s="555">
        <v>0.17906351127260298</v>
      </c>
      <c r="G23" s="556">
        <v>0.18555847348698262</v>
      </c>
      <c r="I23" s="726">
        <v>0.18414041584126134</v>
      </c>
      <c r="J23" s="578">
        <v>0.18698123668739786</v>
      </c>
      <c r="K23" s="578">
        <v>0.18524584205953121</v>
      </c>
      <c r="L23" s="579">
        <v>0.18553834505938346</v>
      </c>
    </row>
    <row r="24" spans="1:12">
      <c r="A24" s="325"/>
      <c r="B24" s="326" t="s">
        <v>7</v>
      </c>
      <c r="C24" s="557"/>
      <c r="D24" s="557"/>
      <c r="E24" s="557"/>
      <c r="F24" s="557"/>
      <c r="G24" s="558"/>
      <c r="I24" s="732"/>
      <c r="J24" s="202"/>
      <c r="K24" s="202"/>
      <c r="L24" s="203"/>
    </row>
    <row r="25" spans="1:12" ht="15" customHeight="1">
      <c r="A25" s="332">
        <v>14</v>
      </c>
      <c r="B25" s="333" t="s">
        <v>8</v>
      </c>
      <c r="C25" s="559">
        <v>0.10135253505752601</v>
      </c>
      <c r="D25" s="730">
        <v>0.10258395668637878</v>
      </c>
      <c r="E25" s="553">
        <v>0.10078002732779928</v>
      </c>
      <c r="F25" s="553">
        <v>8.7544534618006223E-2</v>
      </c>
      <c r="G25" s="554">
        <v>8.6148200628964194E-2</v>
      </c>
      <c r="I25" s="729">
        <v>0.10256357623822665</v>
      </c>
      <c r="J25" s="580">
        <v>0.10235494456687519</v>
      </c>
      <c r="K25" s="580">
        <v>8.6525638389761392E-2</v>
      </c>
      <c r="L25" s="581">
        <v>8.4228865429812796E-2</v>
      </c>
    </row>
    <row r="26" spans="1:12">
      <c r="A26" s="332">
        <v>15</v>
      </c>
      <c r="B26" s="333" t="s">
        <v>9</v>
      </c>
      <c r="C26" s="559">
        <v>3.6820703697232518E-2</v>
      </c>
      <c r="D26" s="730">
        <v>3.7934646984067281E-2</v>
      </c>
      <c r="E26" s="553">
        <v>3.7465760017186857E-2</v>
      </c>
      <c r="F26" s="553">
        <v>3.4207756841183885E-2</v>
      </c>
      <c r="G26" s="554">
        <v>3.4191691015069893E-2</v>
      </c>
      <c r="I26" s="729">
        <v>3.7994425979908028E-2</v>
      </c>
      <c r="J26" s="580">
        <v>3.7532018029406262E-2</v>
      </c>
      <c r="K26" s="580">
        <v>3.4099787960085531E-2</v>
      </c>
      <c r="L26" s="581">
        <v>3.4044179814285279E-2</v>
      </c>
    </row>
    <row r="27" spans="1:12">
      <c r="A27" s="332">
        <v>16</v>
      </c>
      <c r="B27" s="333" t="s">
        <v>10</v>
      </c>
      <c r="C27" s="559">
        <v>1.3001410406227451E-2</v>
      </c>
      <c r="D27" s="730">
        <v>6.912094621009124E-3</v>
      </c>
      <c r="E27" s="553">
        <v>7.1254622382044665E-4</v>
      </c>
      <c r="F27" s="553">
        <v>7.0283295753836121E-3</v>
      </c>
      <c r="G27" s="554">
        <v>1.9696366010524654E-2</v>
      </c>
      <c r="I27" s="729">
        <v>4.2973653941530644E-3</v>
      </c>
      <c r="J27" s="580">
        <v>1.1643563805097738E-2</v>
      </c>
      <c r="K27" s="580">
        <v>4.8701276203161181E-3</v>
      </c>
      <c r="L27" s="581">
        <v>1.726384309507507E-2</v>
      </c>
    </row>
    <row r="28" spans="1:12">
      <c r="A28" s="332">
        <v>17</v>
      </c>
      <c r="B28" s="333" t="s">
        <v>141</v>
      </c>
      <c r="C28" s="559">
        <v>6.4531831360293501E-2</v>
      </c>
      <c r="D28" s="730">
        <v>6.4649309702311475E-2</v>
      </c>
      <c r="E28" s="553">
        <v>6.3314267310612418E-2</v>
      </c>
      <c r="F28" s="553">
        <v>5.3336777776822338E-2</v>
      </c>
      <c r="G28" s="554">
        <v>5.1956509613894294E-2</v>
      </c>
      <c r="I28" s="729">
        <v>6.4569150258318608E-2</v>
      </c>
      <c r="J28" s="580">
        <v>6.4822926537468933E-2</v>
      </c>
      <c r="K28" s="580">
        <v>5.242585042967586E-2</v>
      </c>
      <c r="L28" s="581">
        <v>5.0184685615527518E-2</v>
      </c>
    </row>
    <row r="29" spans="1:12">
      <c r="A29" s="332">
        <v>18</v>
      </c>
      <c r="B29" s="333" t="s">
        <v>11</v>
      </c>
      <c r="C29" s="559">
        <v>-2.8287559245651862E-3</v>
      </c>
      <c r="D29" s="730">
        <v>-4.8871035985498731E-3</v>
      </c>
      <c r="E29" s="553">
        <v>2.5723267161196339E-3</v>
      </c>
      <c r="F29" s="553">
        <v>-4.2252651750515208E-3</v>
      </c>
      <c r="G29" s="554">
        <v>-7.7771139393655909E-3</v>
      </c>
      <c r="I29" s="729">
        <v>-3.0991610948939612E-3</v>
      </c>
      <c r="J29" s="580">
        <v>1.4569543027092987E-3</v>
      </c>
      <c r="K29" s="580">
        <v>-4.3597095235026672E-3</v>
      </c>
      <c r="L29" s="581">
        <v>-1.0007280987613719E-2</v>
      </c>
    </row>
    <row r="30" spans="1:12">
      <c r="A30" s="332">
        <v>19</v>
      </c>
      <c r="B30" s="333" t="s">
        <v>12</v>
      </c>
      <c r="C30" s="559">
        <v>-1.4152893653348634E-2</v>
      </c>
      <c r="D30" s="730">
        <v>-2.4783808315193421E-2</v>
      </c>
      <c r="E30" s="553">
        <v>1.3049441863535337E-2</v>
      </c>
      <c r="F30" s="553">
        <v>-2.1823520152333194E-2</v>
      </c>
      <c r="G30" s="554">
        <v>-3.9923552393701593E-2</v>
      </c>
      <c r="I30" s="729">
        <v>-1.7013167111241938E-2</v>
      </c>
      <c r="J30" s="580">
        <v>8.0226512484763892E-3</v>
      </c>
      <c r="K30" s="580">
        <v>-2.4343319967253793E-2</v>
      </c>
      <c r="L30" s="581">
        <v>-5.5421096838092446E-2</v>
      </c>
    </row>
    <row r="31" spans="1:12">
      <c r="A31" s="325"/>
      <c r="B31" s="326" t="s">
        <v>13</v>
      </c>
      <c r="C31" s="557"/>
      <c r="D31" s="557"/>
      <c r="E31" s="557"/>
      <c r="F31" s="557"/>
      <c r="G31" s="558"/>
      <c r="I31" s="732"/>
      <c r="J31" s="202"/>
      <c r="K31" s="202"/>
      <c r="L31" s="203"/>
    </row>
    <row r="32" spans="1:12">
      <c r="A32" s="332">
        <v>20</v>
      </c>
      <c r="B32" s="333" t="s">
        <v>14</v>
      </c>
      <c r="C32" s="559">
        <v>0.1129561048183554</v>
      </c>
      <c r="D32" s="553">
        <v>0.13900128049071706</v>
      </c>
      <c r="E32" s="553">
        <v>8.927703905919937E-2</v>
      </c>
      <c r="F32" s="553">
        <v>8.8926086933114851E-2</v>
      </c>
      <c r="G32" s="554">
        <v>9.8243329863047832E-2</v>
      </c>
      <c r="I32" s="729">
        <v>0.12305396058569186</v>
      </c>
      <c r="J32" s="580">
        <v>0.11109840219232105</v>
      </c>
      <c r="K32" s="580">
        <v>0.10365853663361817</v>
      </c>
      <c r="L32" s="581">
        <v>0.10850752803513937</v>
      </c>
    </row>
    <row r="33" spans="1:12" ht="15" customHeight="1">
      <c r="A33" s="332">
        <v>21</v>
      </c>
      <c r="B33" s="333" t="s">
        <v>959</v>
      </c>
      <c r="C33" s="559">
        <v>5.6120282127276398E-2</v>
      </c>
      <c r="D33" s="553">
        <v>5.5659556109234259E-2</v>
      </c>
      <c r="E33" s="553">
        <v>5.0511222940119199E-2</v>
      </c>
      <c r="F33" s="553">
        <v>4.5769372956679662E-2</v>
      </c>
      <c r="G33" s="554">
        <v>4.410680061507833E-2</v>
      </c>
      <c r="I33" s="729">
        <v>6.3437418494149966E-2</v>
      </c>
      <c r="J33" s="580">
        <v>6.2130383296112694E-2</v>
      </c>
      <c r="K33" s="580">
        <v>5.8466722981379594E-2</v>
      </c>
      <c r="L33" s="581">
        <v>5.9119048073234912E-2</v>
      </c>
    </row>
    <row r="34" spans="1:12">
      <c r="A34" s="332">
        <v>22</v>
      </c>
      <c r="B34" s="333" t="s">
        <v>15</v>
      </c>
      <c r="C34" s="559">
        <v>0.54780979167687105</v>
      </c>
      <c r="D34" s="553">
        <v>0.58274207463920602</v>
      </c>
      <c r="E34" s="553">
        <v>0.59696970204590716</v>
      </c>
      <c r="F34" s="553">
        <v>0.58933779246094986</v>
      </c>
      <c r="G34" s="554">
        <v>0.5634477883855693</v>
      </c>
      <c r="I34" s="729">
        <v>0.5815302116058515</v>
      </c>
      <c r="J34" s="580">
        <v>0.5956343286826784</v>
      </c>
      <c r="K34" s="580">
        <v>0.5878351843956735</v>
      </c>
      <c r="L34" s="581">
        <v>0.56270379466958187</v>
      </c>
    </row>
    <row r="35" spans="1:12" ht="15" customHeight="1">
      <c r="A35" s="332">
        <v>23</v>
      </c>
      <c r="B35" s="333" t="s">
        <v>16</v>
      </c>
      <c r="C35" s="559">
        <v>0.52836126407961259</v>
      </c>
      <c r="D35" s="553">
        <v>0.58078296700085863</v>
      </c>
      <c r="E35" s="553">
        <v>0.56557528269683632</v>
      </c>
      <c r="F35" s="553">
        <v>0.5736601097510885</v>
      </c>
      <c r="G35" s="554">
        <v>0.62446020742897834</v>
      </c>
      <c r="I35" s="729">
        <v>0.57386967660879895</v>
      </c>
      <c r="J35" s="580">
        <v>0.55732940567797962</v>
      </c>
      <c r="K35" s="580">
        <v>0.56510842233374814</v>
      </c>
      <c r="L35" s="581">
        <v>0.61945797347649822</v>
      </c>
    </row>
    <row r="36" spans="1:12">
      <c r="A36" s="332">
        <v>24</v>
      </c>
      <c r="B36" s="333" t="s">
        <v>17</v>
      </c>
      <c r="C36" s="559">
        <v>-9.4110467449318502E-2</v>
      </c>
      <c r="D36" s="553">
        <v>-7.0394319005276595E-2</v>
      </c>
      <c r="E36" s="553">
        <v>-7.9994303593437399E-2</v>
      </c>
      <c r="F36" s="553">
        <v>0.19796090350095286</v>
      </c>
      <c r="G36" s="554">
        <v>0.15864750152164375</v>
      </c>
      <c r="I36" s="729">
        <v>-7.2870157654799317E-2</v>
      </c>
      <c r="J36" s="580">
        <v>-8.0455559228649443E-2</v>
      </c>
      <c r="K36" s="580">
        <v>0.18940637248896119</v>
      </c>
      <c r="L36" s="581">
        <v>0.14896372612854281</v>
      </c>
    </row>
    <row r="37" spans="1:12" ht="15" customHeight="1">
      <c r="A37" s="325"/>
      <c r="B37" s="326" t="s">
        <v>18</v>
      </c>
      <c r="C37" s="557"/>
      <c r="D37" s="557"/>
      <c r="E37" s="557"/>
      <c r="F37" s="557"/>
      <c r="G37" s="558"/>
      <c r="I37" s="732"/>
      <c r="J37" s="202"/>
      <c r="K37" s="202"/>
      <c r="L37" s="203"/>
    </row>
    <row r="38" spans="1:12" ht="15" customHeight="1">
      <c r="A38" s="332">
        <v>25</v>
      </c>
      <c r="B38" s="333" t="s">
        <v>19</v>
      </c>
      <c r="C38" s="559">
        <v>0.17636596523685322</v>
      </c>
      <c r="D38" s="559">
        <v>0.1838814817307341</v>
      </c>
      <c r="E38" s="559">
        <v>0.21231771101271205</v>
      </c>
      <c r="F38" s="559">
        <v>0.15828456118412948</v>
      </c>
      <c r="G38" s="560">
        <v>0.14450200263594654</v>
      </c>
      <c r="I38" s="731">
        <v>0.18602988886019331</v>
      </c>
      <c r="J38" s="582">
        <v>0.23769833666678059</v>
      </c>
      <c r="K38" s="582">
        <v>0.1112326463510379</v>
      </c>
      <c r="L38" s="583">
        <v>9.092058512649806E-2</v>
      </c>
    </row>
    <row r="39" spans="1:12" ht="15" customHeight="1">
      <c r="A39" s="332">
        <v>26</v>
      </c>
      <c r="B39" s="333" t="s">
        <v>20</v>
      </c>
      <c r="C39" s="559">
        <v>0.72257080424687026</v>
      </c>
      <c r="D39" s="559">
        <v>0.77853287811090144</v>
      </c>
      <c r="E39" s="559">
        <v>0.71626693351814974</v>
      </c>
      <c r="F39" s="559">
        <v>0.69702767174352309</v>
      </c>
      <c r="G39" s="560">
        <v>0.78550930889861958</v>
      </c>
      <c r="I39" s="731">
        <v>0.77651731122601209</v>
      </c>
      <c r="J39" s="582">
        <v>0.71475708600979515</v>
      </c>
      <c r="K39" s="582">
        <v>0.69524091169435864</v>
      </c>
      <c r="L39" s="583">
        <v>0.78335659164733862</v>
      </c>
    </row>
    <row r="40" spans="1:12" ht="15" customHeight="1">
      <c r="A40" s="332">
        <v>27</v>
      </c>
      <c r="B40" s="334" t="s">
        <v>21</v>
      </c>
      <c r="C40" s="559">
        <v>0.18523295611639645</v>
      </c>
      <c r="D40" s="559">
        <v>0.19261623823139934</v>
      </c>
      <c r="E40" s="559">
        <v>0.21666313874610416</v>
      </c>
      <c r="F40" s="559">
        <v>0.16517291982881246</v>
      </c>
      <c r="G40" s="560">
        <v>0.11705795874721245</v>
      </c>
      <c r="I40" s="731">
        <v>0.19486617093851705</v>
      </c>
      <c r="J40" s="582">
        <v>0.21945829950151949</v>
      </c>
      <c r="K40" s="582">
        <v>0.16729635666426002</v>
      </c>
      <c r="L40" s="583">
        <v>0.11871674513141937</v>
      </c>
    </row>
    <row r="41" spans="1:12" ht="15" customHeight="1">
      <c r="A41" s="338"/>
      <c r="B41" s="326" t="s">
        <v>357</v>
      </c>
      <c r="C41" s="202"/>
      <c r="D41" s="202"/>
      <c r="E41" s="202"/>
      <c r="F41" s="202"/>
      <c r="G41" s="203"/>
      <c r="I41" s="545"/>
      <c r="J41" s="202"/>
      <c r="K41" s="202"/>
      <c r="L41" s="203"/>
    </row>
    <row r="42" spans="1:12" ht="15" customHeight="1">
      <c r="A42" s="332">
        <v>28</v>
      </c>
      <c r="B42" s="378" t="s">
        <v>341</v>
      </c>
      <c r="C42" s="334">
        <v>146365838.93279999</v>
      </c>
      <c r="D42" s="334">
        <v>145326887.76373336</v>
      </c>
      <c r="E42" s="334">
        <v>150913136.3147575</v>
      </c>
      <c r="F42" s="334">
        <v>117762904.48666666</v>
      </c>
      <c r="G42" s="337">
        <v>96116211.453333333</v>
      </c>
      <c r="I42" s="733">
        <v>145340712.40333334</v>
      </c>
      <c r="J42" s="584">
        <v>146847569.38055551</v>
      </c>
      <c r="K42" s="584">
        <v>126443044.30847825</v>
      </c>
      <c r="L42" s="585">
        <v>92427257.627692327</v>
      </c>
    </row>
    <row r="43" spans="1:12">
      <c r="A43" s="332">
        <v>29</v>
      </c>
      <c r="B43" s="333" t="s">
        <v>342</v>
      </c>
      <c r="C43" s="334">
        <v>72376478.679677844</v>
      </c>
      <c r="D43" s="335">
        <v>89904544.405366674</v>
      </c>
      <c r="E43" s="335">
        <v>68046298.249383345</v>
      </c>
      <c r="F43" s="335">
        <v>68427424.007449999</v>
      </c>
      <c r="G43" s="336">
        <v>44502585.074916676</v>
      </c>
      <c r="I43" s="734">
        <v>88673995.942166686</v>
      </c>
      <c r="J43" s="586">
        <v>68883813.634269446</v>
      </c>
      <c r="K43" s="586">
        <v>79541168.508703813</v>
      </c>
      <c r="L43" s="587">
        <v>41989157.235059902</v>
      </c>
    </row>
    <row r="44" spans="1:12">
      <c r="A44" s="373">
        <v>30</v>
      </c>
      <c r="B44" s="374" t="s">
        <v>340</v>
      </c>
      <c r="C44" s="559">
        <v>2.0222846096254914</v>
      </c>
      <c r="D44" s="559">
        <v>1.6164576409894844</v>
      </c>
      <c r="E44" s="559">
        <v>2.217800823810796</v>
      </c>
      <c r="F44" s="559">
        <v>1.7209898837320734</v>
      </c>
      <c r="G44" s="560">
        <v>2.1597893985603105</v>
      </c>
      <c r="I44" s="735">
        <v>1.6416332641569344</v>
      </c>
      <c r="J44" s="582">
        <v>2.1318153225404375</v>
      </c>
      <c r="K44" s="582">
        <v>1.5896553530596196</v>
      </c>
      <c r="L44" s="583">
        <v>2.2012172597386135</v>
      </c>
    </row>
    <row r="45" spans="1:12">
      <c r="A45" s="373"/>
      <c r="B45" s="326" t="s">
        <v>454</v>
      </c>
      <c r="C45" s="202"/>
      <c r="D45" s="202"/>
      <c r="E45" s="202"/>
      <c r="F45" s="202"/>
      <c r="G45" s="203"/>
      <c r="I45" s="545"/>
      <c r="J45" s="202"/>
      <c r="K45" s="202"/>
      <c r="L45" s="203"/>
    </row>
    <row r="46" spans="1:12">
      <c r="A46" s="373">
        <v>31</v>
      </c>
      <c r="B46" s="374" t="s">
        <v>461</v>
      </c>
      <c r="C46" s="375">
        <v>327923475.09855998</v>
      </c>
      <c r="D46" s="376">
        <v>353339315.287395</v>
      </c>
      <c r="E46" s="376">
        <v>359791586.07469499</v>
      </c>
      <c r="F46" s="376">
        <v>382858080.86000001</v>
      </c>
      <c r="G46" s="377">
        <v>366338766.13</v>
      </c>
      <c r="I46" s="547">
        <v>345886643.59276003</v>
      </c>
      <c r="J46" s="548">
        <v>351716687.55969501</v>
      </c>
      <c r="K46" s="548">
        <v>374610446.03832996</v>
      </c>
      <c r="L46" s="377">
        <v>357523300.59996003</v>
      </c>
    </row>
    <row r="47" spans="1:12">
      <c r="A47" s="373">
        <v>32</v>
      </c>
      <c r="B47" s="374" t="s">
        <v>474</v>
      </c>
      <c r="C47" s="375">
        <v>293297717.58310449</v>
      </c>
      <c r="D47" s="376">
        <v>302708246.8829664</v>
      </c>
      <c r="E47" s="376">
        <v>282123106.62720823</v>
      </c>
      <c r="F47" s="376">
        <v>292723791.82999998</v>
      </c>
      <c r="G47" s="377">
        <v>303851287.56</v>
      </c>
      <c r="I47" s="547">
        <v>297613683.15534997</v>
      </c>
      <c r="J47" s="548">
        <v>276394224.31469995</v>
      </c>
      <c r="K47" s="548">
        <v>287598577.30392998</v>
      </c>
      <c r="L47" s="377">
        <v>298230165.79697502</v>
      </c>
    </row>
    <row r="48" spans="1:12" ht="15" thickBot="1">
      <c r="A48" s="73">
        <v>33</v>
      </c>
      <c r="B48" s="159" t="s">
        <v>488</v>
      </c>
      <c r="C48" s="694">
        <v>1.1180566892943666</v>
      </c>
      <c r="D48" s="561">
        <v>1.1672602875071443</v>
      </c>
      <c r="E48" s="561">
        <v>1.2752999581495332</v>
      </c>
      <c r="F48" s="561">
        <v>1.3079158290021937</v>
      </c>
      <c r="G48" s="562">
        <v>1.2056515181218737</v>
      </c>
      <c r="I48" s="727">
        <v>1.1622000706607709</v>
      </c>
      <c r="J48" s="588">
        <v>1.2725182244012219</v>
      </c>
      <c r="K48" s="588">
        <v>1.3025462418836902</v>
      </c>
      <c r="L48" s="589">
        <v>1.1988166912778024</v>
      </c>
    </row>
    <row r="49" spans="1:2">
      <c r="A49" s="15"/>
    </row>
    <row r="50" spans="1:2" ht="41.4">
      <c r="B50" s="17" t="s">
        <v>946</v>
      </c>
    </row>
    <row r="51" spans="1:2" ht="69">
      <c r="B51" s="239" t="s">
        <v>356</v>
      </c>
    </row>
  </sheetData>
  <mergeCells count="2">
    <mergeCell ref="D4:G4"/>
    <mergeCell ref="I4:L4"/>
  </mergeCells>
  <pageMargins left="0.7" right="0.7" top="0.75" bottom="0.75" header="0.3" footer="0.3"/>
  <pageSetup paperSize="9" scale="3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heetViews>
  <sheetFormatPr defaultColWidth="9.21875" defaultRowHeight="12"/>
  <cols>
    <col min="1" max="1" width="11.77734375" style="384" bestFit="1" customWidth="1"/>
    <col min="2" max="2" width="105.21875" style="384" bestFit="1" customWidth="1"/>
    <col min="3" max="4" width="14.109375" style="384" bestFit="1" customWidth="1"/>
    <col min="5" max="5" width="17.5546875" style="384" bestFit="1" customWidth="1"/>
    <col min="6" max="6" width="15.109375" style="384" bestFit="1" customWidth="1"/>
    <col min="7" max="7" width="30.44140625" style="384" customWidth="1"/>
    <col min="8" max="8" width="15.109375" style="384" customWidth="1"/>
    <col min="9" max="16384" width="9.21875" style="384"/>
  </cols>
  <sheetData>
    <row r="1" spans="1:8" ht="13.8">
      <c r="A1" s="383" t="s">
        <v>109</v>
      </c>
      <c r="B1" s="303" t="str">
        <f>Info!C2</f>
        <v>სს " პაშა ბანკი საქართველო"</v>
      </c>
    </row>
    <row r="2" spans="1:8">
      <c r="A2" s="383" t="s">
        <v>110</v>
      </c>
      <c r="B2" s="386">
        <f>'1. key ratios'!B2</f>
        <v>45199</v>
      </c>
    </row>
    <row r="3" spans="1:8">
      <c r="A3" s="385" t="s">
        <v>494</v>
      </c>
    </row>
    <row r="5" spans="1:8">
      <c r="A5" s="821" t="s">
        <v>495</v>
      </c>
      <c r="B5" s="822"/>
      <c r="C5" s="827" t="s">
        <v>496</v>
      </c>
      <c r="D5" s="828"/>
      <c r="E5" s="828"/>
      <c r="F5" s="828"/>
      <c r="G5" s="828"/>
      <c r="H5" s="829"/>
    </row>
    <row r="6" spans="1:8">
      <c r="A6" s="823"/>
      <c r="B6" s="824"/>
      <c r="C6" s="830"/>
      <c r="D6" s="831"/>
      <c r="E6" s="831"/>
      <c r="F6" s="831"/>
      <c r="G6" s="831"/>
      <c r="H6" s="832"/>
    </row>
    <row r="7" spans="1:8" ht="24">
      <c r="A7" s="825"/>
      <c r="B7" s="826"/>
      <c r="C7" s="430" t="s">
        <v>497</v>
      </c>
      <c r="D7" s="430" t="s">
        <v>498</v>
      </c>
      <c r="E7" s="430" t="s">
        <v>499</v>
      </c>
      <c r="F7" s="430" t="s">
        <v>500</v>
      </c>
      <c r="G7" s="430" t="s">
        <v>680</v>
      </c>
      <c r="H7" s="430" t="s">
        <v>67</v>
      </c>
    </row>
    <row r="8" spans="1:8">
      <c r="A8" s="426">
        <v>1</v>
      </c>
      <c r="B8" s="425" t="s">
        <v>135</v>
      </c>
      <c r="C8" s="671">
        <v>2102474.0397999999</v>
      </c>
      <c r="D8" s="671"/>
      <c r="E8" s="671"/>
      <c r="F8" s="671">
        <v>5346400.0001999103</v>
      </c>
      <c r="G8" s="671">
        <v>46460928.581900001</v>
      </c>
      <c r="H8" s="672">
        <f t="shared" ref="H8:H20" si="0">SUM(C8:G8)</f>
        <v>53909802.62189991</v>
      </c>
    </row>
    <row r="9" spans="1:8">
      <c r="A9" s="426">
        <v>2</v>
      </c>
      <c r="B9" s="425" t="s">
        <v>136</v>
      </c>
      <c r="C9" s="671"/>
      <c r="D9" s="671"/>
      <c r="E9" s="671"/>
      <c r="F9" s="671"/>
      <c r="G9" s="671"/>
      <c r="H9" s="672">
        <f t="shared" si="0"/>
        <v>0</v>
      </c>
    </row>
    <row r="10" spans="1:8">
      <c r="A10" s="426">
        <v>3</v>
      </c>
      <c r="B10" s="425" t="s">
        <v>137</v>
      </c>
      <c r="C10" s="671"/>
      <c r="D10" s="671"/>
      <c r="E10" s="671"/>
      <c r="F10" s="671"/>
      <c r="G10" s="671"/>
      <c r="H10" s="672">
        <f t="shared" si="0"/>
        <v>0</v>
      </c>
    </row>
    <row r="11" spans="1:8">
      <c r="A11" s="426">
        <v>4</v>
      </c>
      <c r="B11" s="425" t="s">
        <v>138</v>
      </c>
      <c r="C11" s="671"/>
      <c r="D11" s="671"/>
      <c r="E11" s="671"/>
      <c r="F11" s="671"/>
      <c r="G11" s="671"/>
      <c r="H11" s="672">
        <f t="shared" si="0"/>
        <v>0</v>
      </c>
    </row>
    <row r="12" spans="1:8">
      <c r="A12" s="426">
        <v>5</v>
      </c>
      <c r="B12" s="425" t="s">
        <v>950</v>
      </c>
      <c r="C12" s="671"/>
      <c r="D12" s="671"/>
      <c r="E12" s="671"/>
      <c r="F12" s="671"/>
      <c r="G12" s="671"/>
      <c r="H12" s="672">
        <f t="shared" si="0"/>
        <v>0</v>
      </c>
    </row>
    <row r="13" spans="1:8">
      <c r="A13" s="426">
        <v>6</v>
      </c>
      <c r="B13" s="425" t="s">
        <v>139</v>
      </c>
      <c r="C13" s="671">
        <v>18756047.704599999</v>
      </c>
      <c r="D13" s="671">
        <v>23630994.338799998</v>
      </c>
      <c r="E13" s="671"/>
      <c r="F13" s="671"/>
      <c r="G13" s="671"/>
      <c r="H13" s="672">
        <f t="shared" si="0"/>
        <v>42387042.043399997</v>
      </c>
    </row>
    <row r="14" spans="1:8">
      <c r="A14" s="426">
        <v>7</v>
      </c>
      <c r="B14" s="425" t="s">
        <v>72</v>
      </c>
      <c r="C14" s="671"/>
      <c r="D14" s="671">
        <v>20617962.622000001</v>
      </c>
      <c r="E14" s="671">
        <v>166461068.12169999</v>
      </c>
      <c r="F14" s="671">
        <v>129478706.53039999</v>
      </c>
      <c r="G14" s="671"/>
      <c r="H14" s="672">
        <f t="shared" si="0"/>
        <v>316557737.27410001</v>
      </c>
    </row>
    <row r="15" spans="1:8">
      <c r="A15" s="426">
        <v>8</v>
      </c>
      <c r="B15" s="427" t="s">
        <v>73</v>
      </c>
      <c r="C15" s="671"/>
      <c r="D15" s="671">
        <v>423225.39350000001</v>
      </c>
      <c r="E15" s="671">
        <v>18692059.693300001</v>
      </c>
      <c r="F15" s="671">
        <v>33436408.5876</v>
      </c>
      <c r="G15" s="671"/>
      <c r="H15" s="672">
        <f t="shared" si="0"/>
        <v>52551693.674400002</v>
      </c>
    </row>
    <row r="16" spans="1:8">
      <c r="A16" s="426">
        <v>9</v>
      </c>
      <c r="B16" s="425" t="s">
        <v>951</v>
      </c>
      <c r="C16" s="671"/>
      <c r="D16" s="671"/>
      <c r="E16" s="671"/>
      <c r="F16" s="671"/>
      <c r="G16" s="671"/>
      <c r="H16" s="672">
        <f t="shared" si="0"/>
        <v>0</v>
      </c>
    </row>
    <row r="17" spans="1:8">
      <c r="A17" s="426">
        <v>10</v>
      </c>
      <c r="B17" s="429" t="s">
        <v>515</v>
      </c>
      <c r="C17" s="671"/>
      <c r="D17" s="671">
        <v>1361165.7801999999</v>
      </c>
      <c r="E17" s="671">
        <v>15367870.911599999</v>
      </c>
      <c r="F17" s="671">
        <v>26660658.462900002</v>
      </c>
      <c r="G17" s="671"/>
      <c r="H17" s="672">
        <f t="shared" si="0"/>
        <v>43389695.154699996</v>
      </c>
    </row>
    <row r="18" spans="1:8">
      <c r="A18" s="426">
        <v>11</v>
      </c>
      <c r="B18" s="425" t="s">
        <v>69</v>
      </c>
      <c r="C18" s="671"/>
      <c r="D18" s="671"/>
      <c r="E18" s="671"/>
      <c r="F18" s="671"/>
      <c r="G18" s="671"/>
      <c r="H18" s="672">
        <f t="shared" si="0"/>
        <v>0</v>
      </c>
    </row>
    <row r="19" spans="1:8">
      <c r="A19" s="426">
        <v>12</v>
      </c>
      <c r="B19" s="425" t="s">
        <v>70</v>
      </c>
      <c r="C19" s="671"/>
      <c r="D19" s="671"/>
      <c r="E19" s="671"/>
      <c r="F19" s="671"/>
      <c r="G19" s="671"/>
      <c r="H19" s="672">
        <f t="shared" si="0"/>
        <v>0</v>
      </c>
    </row>
    <row r="20" spans="1:8">
      <c r="A20" s="428">
        <v>13</v>
      </c>
      <c r="B20" s="427" t="s">
        <v>71</v>
      </c>
      <c r="C20" s="671"/>
      <c r="D20" s="671"/>
      <c r="E20" s="671"/>
      <c r="F20" s="671"/>
      <c r="G20" s="671"/>
      <c r="H20" s="672">
        <f t="shared" si="0"/>
        <v>0</v>
      </c>
    </row>
    <row r="21" spans="1:8">
      <c r="A21" s="426">
        <v>14</v>
      </c>
      <c r="B21" s="425" t="s">
        <v>501</v>
      </c>
      <c r="C21" s="671">
        <v>2839608.4021999999</v>
      </c>
      <c r="D21" s="671">
        <v>6300771.3813999994</v>
      </c>
      <c r="E21" s="671"/>
      <c r="F21" s="671"/>
      <c r="G21" s="671">
        <v>5141641.96</v>
      </c>
      <c r="H21" s="672">
        <f>SUM(C21:G21)</f>
        <v>14282021.7436</v>
      </c>
    </row>
    <row r="22" spans="1:8">
      <c r="A22" s="424">
        <v>15</v>
      </c>
      <c r="B22" s="423" t="s">
        <v>67</v>
      </c>
      <c r="C22" s="672">
        <f>SUM(C18:C21)+SUM(C8:C16)</f>
        <v>23698130.146599997</v>
      </c>
      <c r="D22" s="672">
        <f t="shared" ref="D22:H22" si="1">SUM(D18:D21)+SUM(D8:D16)</f>
        <v>50972953.735699996</v>
      </c>
      <c r="E22" s="672">
        <f t="shared" si="1"/>
        <v>185153127.815</v>
      </c>
      <c r="F22" s="672">
        <f t="shared" si="1"/>
        <v>168261515.11819988</v>
      </c>
      <c r="G22" s="672">
        <f t="shared" si="1"/>
        <v>51602570.541900001</v>
      </c>
      <c r="H22" s="672">
        <f t="shared" si="1"/>
        <v>479688297.35739994</v>
      </c>
    </row>
    <row r="26" spans="1:8" ht="36">
      <c r="B26" s="401" t="s">
        <v>679</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scale="3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H26"/>
  <sheetViews>
    <sheetView showGridLines="0" topLeftCell="D1" zoomScaleNormal="100" workbookViewId="0"/>
  </sheetViews>
  <sheetFormatPr defaultColWidth="9.21875" defaultRowHeight="12"/>
  <cols>
    <col min="1" max="1" width="11.77734375" style="387" bestFit="1" customWidth="1"/>
    <col min="2" max="2" width="86.77734375" style="384" customWidth="1"/>
    <col min="3" max="4" width="31.5546875" style="384" customWidth="1"/>
    <col min="5" max="5" width="16.44140625" style="384" bestFit="1" customWidth="1"/>
    <col min="6" max="6" width="14.21875" style="384" bestFit="1" customWidth="1"/>
    <col min="7" max="7" width="20" style="384" bestFit="1" customWidth="1"/>
    <col min="8" max="8" width="25.21875" style="384" bestFit="1" customWidth="1"/>
    <col min="9" max="16384" width="9.21875" style="384"/>
  </cols>
  <sheetData>
    <row r="1" spans="1:8" ht="13.8">
      <c r="A1" s="383" t="s">
        <v>109</v>
      </c>
      <c r="B1" s="303" t="str">
        <f>Info!C2</f>
        <v>სს " პაშა ბანკი საქართველო"</v>
      </c>
      <c r="C1" s="441"/>
      <c r="D1" s="441"/>
      <c r="E1" s="441"/>
      <c r="F1" s="441"/>
      <c r="G1" s="441"/>
      <c r="H1" s="441"/>
    </row>
    <row r="2" spans="1:8">
      <c r="A2" s="383" t="s">
        <v>110</v>
      </c>
      <c r="B2" s="386">
        <f>'1. key ratios'!B2</f>
        <v>45199</v>
      </c>
      <c r="C2" s="441"/>
      <c r="D2" s="441"/>
      <c r="E2" s="441"/>
      <c r="F2" s="441"/>
      <c r="G2" s="441"/>
      <c r="H2" s="441"/>
    </row>
    <row r="3" spans="1:8">
      <c r="A3" s="385" t="s">
        <v>502</v>
      </c>
      <c r="B3" s="441"/>
      <c r="C3" s="441"/>
      <c r="D3" s="441"/>
      <c r="E3" s="441"/>
      <c r="F3" s="441"/>
      <c r="G3" s="441"/>
      <c r="H3" s="441"/>
    </row>
    <row r="4" spans="1:8">
      <c r="A4" s="442"/>
      <c r="B4" s="441"/>
      <c r="C4" s="440" t="s">
        <v>503</v>
      </c>
      <c r="D4" s="440" t="s">
        <v>504</v>
      </c>
      <c r="E4" s="440" t="s">
        <v>505</v>
      </c>
      <c r="F4" s="440" t="s">
        <v>506</v>
      </c>
      <c r="G4" s="440" t="s">
        <v>507</v>
      </c>
      <c r="H4" s="440" t="s">
        <v>508</v>
      </c>
    </row>
    <row r="5" spans="1:8" ht="34.049999999999997" customHeight="1">
      <c r="A5" s="821" t="s">
        <v>868</v>
      </c>
      <c r="B5" s="822"/>
      <c r="C5" s="835" t="s">
        <v>597</v>
      </c>
      <c r="D5" s="835"/>
      <c r="E5" s="835" t="s">
        <v>867</v>
      </c>
      <c r="F5" s="833" t="s">
        <v>866</v>
      </c>
      <c r="G5" s="833" t="s">
        <v>512</v>
      </c>
      <c r="H5" s="438" t="s">
        <v>865</v>
      </c>
    </row>
    <row r="6" spans="1:8" ht="24">
      <c r="A6" s="825"/>
      <c r="B6" s="826"/>
      <c r="C6" s="439" t="s">
        <v>513</v>
      </c>
      <c r="D6" s="439" t="s">
        <v>514</v>
      </c>
      <c r="E6" s="835"/>
      <c r="F6" s="834"/>
      <c r="G6" s="834"/>
      <c r="H6" s="438" t="s">
        <v>864</v>
      </c>
    </row>
    <row r="7" spans="1:8">
      <c r="A7" s="436">
        <v>1</v>
      </c>
      <c r="B7" s="425" t="s">
        <v>135</v>
      </c>
      <c r="C7" s="668"/>
      <c r="D7" s="668">
        <v>53909802.621699996</v>
      </c>
      <c r="E7" s="668"/>
      <c r="F7" s="668"/>
      <c r="G7" s="668"/>
      <c r="H7" s="695">
        <f t="shared" ref="H7:H20" si="0">C7+D7-E7-F7</f>
        <v>53909802.621699996</v>
      </c>
    </row>
    <row r="8" spans="1:8" ht="14.55" customHeight="1">
      <c r="A8" s="436">
        <v>2</v>
      </c>
      <c r="B8" s="425" t="s">
        <v>136</v>
      </c>
      <c r="C8" s="668"/>
      <c r="D8" s="668"/>
      <c r="E8" s="668"/>
      <c r="F8" s="668"/>
      <c r="G8" s="668"/>
      <c r="H8" s="695">
        <f t="shared" si="0"/>
        <v>0</v>
      </c>
    </row>
    <row r="9" spans="1:8">
      <c r="A9" s="436">
        <v>3</v>
      </c>
      <c r="B9" s="425" t="s">
        <v>137</v>
      </c>
      <c r="C9" s="668"/>
      <c r="D9" s="668"/>
      <c r="E9" s="668"/>
      <c r="F9" s="668"/>
      <c r="G9" s="668"/>
      <c r="H9" s="695">
        <f t="shared" si="0"/>
        <v>0</v>
      </c>
    </row>
    <row r="10" spans="1:8">
      <c r="A10" s="436">
        <v>4</v>
      </c>
      <c r="B10" s="425" t="s">
        <v>138</v>
      </c>
      <c r="C10" s="668"/>
      <c r="D10" s="668"/>
      <c r="E10" s="668"/>
      <c r="F10" s="668"/>
      <c r="G10" s="668"/>
      <c r="H10" s="695">
        <f t="shared" si="0"/>
        <v>0</v>
      </c>
    </row>
    <row r="11" spans="1:8">
      <c r="A11" s="436">
        <v>5</v>
      </c>
      <c r="B11" s="425" t="s">
        <v>950</v>
      </c>
      <c r="C11" s="668"/>
      <c r="D11" s="668"/>
      <c r="E11" s="668"/>
      <c r="F11" s="668"/>
      <c r="G11" s="668"/>
      <c r="H11" s="695">
        <f t="shared" si="0"/>
        <v>0</v>
      </c>
    </row>
    <row r="12" spans="1:8">
      <c r="A12" s="436">
        <v>6</v>
      </c>
      <c r="B12" s="425" t="s">
        <v>139</v>
      </c>
      <c r="C12" s="668"/>
      <c r="D12" s="668">
        <v>42387041.763400003</v>
      </c>
      <c r="E12" s="668"/>
      <c r="F12" s="668"/>
      <c r="G12" s="668"/>
      <c r="H12" s="695">
        <f t="shared" si="0"/>
        <v>42387041.763400003</v>
      </c>
    </row>
    <row r="13" spans="1:8">
      <c r="A13" s="436">
        <v>7</v>
      </c>
      <c r="B13" s="425" t="s">
        <v>72</v>
      </c>
      <c r="C13" s="668">
        <v>33309474.388900001</v>
      </c>
      <c r="D13" s="668">
        <v>294429323.95200002</v>
      </c>
      <c r="E13" s="668">
        <v>11181061.0667</v>
      </c>
      <c r="F13" s="668"/>
      <c r="G13" s="668"/>
      <c r="H13" s="695">
        <f t="shared" si="0"/>
        <v>316557737.27420002</v>
      </c>
    </row>
    <row r="14" spans="1:8">
      <c r="A14" s="436">
        <v>8</v>
      </c>
      <c r="B14" s="427" t="s">
        <v>73</v>
      </c>
      <c r="C14" s="668">
        <v>4441696.9456000002</v>
      </c>
      <c r="D14" s="668">
        <v>56234209.822899997</v>
      </c>
      <c r="E14" s="668">
        <v>8124213.0941000003</v>
      </c>
      <c r="F14" s="668"/>
      <c r="G14" s="741">
        <v>1594231.25</v>
      </c>
      <c r="H14" s="695">
        <f t="shared" si="0"/>
        <v>52551693.674400002</v>
      </c>
    </row>
    <row r="15" spans="1:8">
      <c r="A15" s="436">
        <v>9</v>
      </c>
      <c r="B15" s="425" t="s">
        <v>951</v>
      </c>
      <c r="C15" s="668"/>
      <c r="D15" s="668"/>
      <c r="E15" s="668"/>
      <c r="F15" s="668"/>
      <c r="G15" s="668"/>
      <c r="H15" s="695">
        <f t="shared" si="0"/>
        <v>0</v>
      </c>
    </row>
    <row r="16" spans="1:8">
      <c r="A16" s="436">
        <v>10</v>
      </c>
      <c r="B16" s="429" t="s">
        <v>515</v>
      </c>
      <c r="C16" s="668">
        <v>36345352.506700002</v>
      </c>
      <c r="D16" s="668">
        <v>19708714.225200001</v>
      </c>
      <c r="E16" s="668">
        <v>12664371.577099999</v>
      </c>
      <c r="F16" s="668"/>
      <c r="G16" s="668">
        <v>1594231.25</v>
      </c>
      <c r="H16" s="695">
        <f t="shared" si="0"/>
        <v>43389695.154800005</v>
      </c>
    </row>
    <row r="17" spans="1:8">
      <c r="A17" s="436">
        <v>11</v>
      </c>
      <c r="B17" s="425" t="s">
        <v>69</v>
      </c>
      <c r="C17" s="668"/>
      <c r="D17" s="668"/>
      <c r="E17" s="668"/>
      <c r="F17" s="668"/>
      <c r="G17" s="668"/>
      <c r="H17" s="695">
        <f t="shared" si="0"/>
        <v>0</v>
      </c>
    </row>
    <row r="18" spans="1:8">
      <c r="A18" s="436">
        <v>12</v>
      </c>
      <c r="B18" s="425" t="s">
        <v>70</v>
      </c>
      <c r="C18" s="668"/>
      <c r="D18" s="668"/>
      <c r="E18" s="668"/>
      <c r="F18" s="668"/>
      <c r="G18" s="668"/>
      <c r="H18" s="695">
        <f t="shared" si="0"/>
        <v>0</v>
      </c>
    </row>
    <row r="19" spans="1:8">
      <c r="A19" s="437">
        <v>13</v>
      </c>
      <c r="B19" s="427" t="s">
        <v>71</v>
      </c>
      <c r="C19" s="668"/>
      <c r="D19" s="668"/>
      <c r="E19" s="668"/>
      <c r="F19" s="668"/>
      <c r="G19" s="668"/>
      <c r="H19" s="695">
        <f t="shared" si="0"/>
        <v>0</v>
      </c>
    </row>
    <row r="20" spans="1:8">
      <c r="A20" s="436">
        <v>14</v>
      </c>
      <c r="B20" s="425" t="s">
        <v>501</v>
      </c>
      <c r="C20" s="668"/>
      <c r="D20" s="668">
        <v>19573301.6536</v>
      </c>
      <c r="E20" s="668"/>
      <c r="F20" s="668"/>
      <c r="G20" s="668"/>
      <c r="H20" s="695">
        <f t="shared" si="0"/>
        <v>19573301.6536</v>
      </c>
    </row>
    <row r="21" spans="1:8" s="388" customFormat="1">
      <c r="A21" s="435">
        <v>15</v>
      </c>
      <c r="B21" s="434" t="s">
        <v>67</v>
      </c>
      <c r="C21" s="669">
        <f t="shared" ref="C21:H21" si="1">SUM(C7:C15)+SUM(C17:C20)</f>
        <v>37751171.3345</v>
      </c>
      <c r="D21" s="669">
        <f t="shared" si="1"/>
        <v>466533679.8136</v>
      </c>
      <c r="E21" s="669">
        <f t="shared" si="1"/>
        <v>19305274.160800003</v>
      </c>
      <c r="F21" s="669">
        <f t="shared" si="1"/>
        <v>0</v>
      </c>
      <c r="G21" s="669">
        <f t="shared" si="1"/>
        <v>1594231.25</v>
      </c>
      <c r="H21" s="695">
        <f t="shared" si="1"/>
        <v>484979576.98730004</v>
      </c>
    </row>
    <row r="22" spans="1:8">
      <c r="A22" s="433">
        <v>16</v>
      </c>
      <c r="B22" s="432" t="s">
        <v>516</v>
      </c>
      <c r="C22" s="668">
        <v>37612835.454499997</v>
      </c>
      <c r="D22" s="668">
        <v>295372599.93739998</v>
      </c>
      <c r="E22" s="668">
        <v>18687244.970699999</v>
      </c>
      <c r="F22" s="668"/>
      <c r="G22" s="668">
        <v>1594231.25</v>
      </c>
      <c r="H22" s="695">
        <f>C22+D22-E22-F22</f>
        <v>314298190.42119998</v>
      </c>
    </row>
    <row r="23" spans="1:8">
      <c r="A23" s="433">
        <v>17</v>
      </c>
      <c r="B23" s="432" t="s">
        <v>517</v>
      </c>
      <c r="C23" s="668"/>
      <c r="D23" s="668">
        <f>55170565.0611+5346400</f>
        <v>60516965.061099999</v>
      </c>
      <c r="E23" s="668">
        <v>498526.39270000003</v>
      </c>
      <c r="F23" s="668"/>
      <c r="G23" s="668"/>
      <c r="H23" s="695">
        <f>C23+D23-E23-F23</f>
        <v>60018438.668399997</v>
      </c>
    </row>
    <row r="25" spans="1:8">
      <c r="D25" s="670"/>
    </row>
    <row r="26" spans="1:8" ht="42.45" customHeight="1">
      <c r="B26" s="401" t="s">
        <v>679</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paperSize="9" scale="3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A6" zoomScale="80" zoomScaleNormal="80" workbookViewId="0"/>
  </sheetViews>
  <sheetFormatPr defaultColWidth="9.21875" defaultRowHeight="12"/>
  <cols>
    <col min="1" max="1" width="11" style="384" bestFit="1" customWidth="1"/>
    <col min="2" max="2" width="93.44140625" style="384" customWidth="1"/>
    <col min="3" max="4" width="35" style="384" customWidth="1"/>
    <col min="5" max="7" width="22" style="384" customWidth="1"/>
    <col min="8" max="8" width="42.21875" style="384" bestFit="1" customWidth="1"/>
    <col min="9" max="16384" width="9.21875" style="384"/>
  </cols>
  <sheetData>
    <row r="1" spans="1:8" ht="13.8">
      <c r="A1" s="383" t="s">
        <v>109</v>
      </c>
      <c r="B1" s="303" t="str">
        <f>Info!C2</f>
        <v>სს " პაშა ბანკი საქართველო"</v>
      </c>
      <c r="C1" s="441"/>
      <c r="D1" s="441"/>
      <c r="E1" s="441"/>
      <c r="F1" s="441"/>
      <c r="G1" s="441"/>
      <c r="H1" s="441"/>
    </row>
    <row r="2" spans="1:8">
      <c r="A2" s="383" t="s">
        <v>110</v>
      </c>
      <c r="B2" s="386">
        <f>'1. key ratios'!B2</f>
        <v>45199</v>
      </c>
      <c r="C2" s="441"/>
      <c r="D2" s="441"/>
      <c r="E2" s="441"/>
      <c r="F2" s="441"/>
      <c r="G2" s="441"/>
      <c r="H2" s="441"/>
    </row>
    <row r="3" spans="1:8">
      <c r="A3" s="385" t="s">
        <v>518</v>
      </c>
      <c r="B3" s="441"/>
      <c r="C3" s="441"/>
      <c r="D3" s="441"/>
      <c r="E3" s="441"/>
      <c r="F3" s="441"/>
      <c r="G3" s="441"/>
      <c r="H3" s="441"/>
    </row>
    <row r="4" spans="1:8">
      <c r="A4" s="441"/>
      <c r="B4" s="441"/>
      <c r="C4" s="440" t="s">
        <v>503</v>
      </c>
      <c r="D4" s="440" t="s">
        <v>504</v>
      </c>
      <c r="E4" s="440" t="s">
        <v>505</v>
      </c>
      <c r="F4" s="440" t="s">
        <v>506</v>
      </c>
      <c r="G4" s="440" t="s">
        <v>507</v>
      </c>
      <c r="H4" s="440" t="s">
        <v>508</v>
      </c>
    </row>
    <row r="5" spans="1:8" ht="41.55" customHeight="1">
      <c r="A5" s="821" t="s">
        <v>870</v>
      </c>
      <c r="B5" s="822"/>
      <c r="C5" s="836" t="s">
        <v>597</v>
      </c>
      <c r="D5" s="837"/>
      <c r="E5" s="833" t="s">
        <v>867</v>
      </c>
      <c r="F5" s="833" t="s">
        <v>866</v>
      </c>
      <c r="G5" s="833" t="s">
        <v>512</v>
      </c>
      <c r="H5" s="438" t="s">
        <v>865</v>
      </c>
    </row>
    <row r="6" spans="1:8" ht="24">
      <c r="A6" s="825"/>
      <c r="B6" s="826"/>
      <c r="C6" s="439" t="s">
        <v>513</v>
      </c>
      <c r="D6" s="439" t="s">
        <v>514</v>
      </c>
      <c r="E6" s="834"/>
      <c r="F6" s="834"/>
      <c r="G6" s="834"/>
      <c r="H6" s="438" t="s">
        <v>864</v>
      </c>
    </row>
    <row r="7" spans="1:8">
      <c r="A7" s="431">
        <v>1</v>
      </c>
      <c r="B7" s="444" t="s">
        <v>519</v>
      </c>
      <c r="C7" s="668">
        <v>470970.55794596899</v>
      </c>
      <c r="D7" s="668">
        <v>61141759.431699984</v>
      </c>
      <c r="E7" s="668">
        <v>789713.65400000033</v>
      </c>
      <c r="F7" s="668"/>
      <c r="G7" s="668">
        <v>185393.24</v>
      </c>
      <c r="H7" s="695">
        <f t="shared" ref="H7:H34" si="0">C7+D7-E7-F7</f>
        <v>60823016.335645951</v>
      </c>
    </row>
    <row r="8" spans="1:8">
      <c r="A8" s="431">
        <v>2</v>
      </c>
      <c r="B8" s="444" t="s">
        <v>520</v>
      </c>
      <c r="C8" s="668">
        <v>317445.78571170301</v>
      </c>
      <c r="D8" s="668">
        <v>139783644.04213488</v>
      </c>
      <c r="E8" s="668">
        <v>1783115.0228000018</v>
      </c>
      <c r="F8" s="668"/>
      <c r="G8" s="668">
        <v>31029.23</v>
      </c>
      <c r="H8" s="695">
        <f t="shared" si="0"/>
        <v>138317974.80504659</v>
      </c>
    </row>
    <row r="9" spans="1:8">
      <c r="A9" s="431">
        <v>3</v>
      </c>
      <c r="B9" s="444" t="s">
        <v>869</v>
      </c>
      <c r="C9" s="668">
        <v>0</v>
      </c>
      <c r="D9" s="668">
        <v>18627.769999999997</v>
      </c>
      <c r="E9" s="668">
        <v>990.53189999999995</v>
      </c>
      <c r="F9" s="668"/>
      <c r="G9" s="668" t="s">
        <v>989</v>
      </c>
      <c r="H9" s="695">
        <f t="shared" si="0"/>
        <v>17637.238099999995</v>
      </c>
    </row>
    <row r="10" spans="1:8">
      <c r="A10" s="431">
        <v>4</v>
      </c>
      <c r="B10" s="444" t="s">
        <v>521</v>
      </c>
      <c r="C10" s="668">
        <v>2828784.1342421002</v>
      </c>
      <c r="D10" s="668">
        <v>23368184.287564002</v>
      </c>
      <c r="E10" s="668">
        <v>379448.81319999998</v>
      </c>
      <c r="F10" s="668"/>
      <c r="G10" s="668">
        <v>0</v>
      </c>
      <c r="H10" s="695">
        <f t="shared" si="0"/>
        <v>25817519.6086061</v>
      </c>
    </row>
    <row r="11" spans="1:8">
      <c r="A11" s="431">
        <v>5</v>
      </c>
      <c r="B11" s="444" t="s">
        <v>522</v>
      </c>
      <c r="C11" s="668">
        <v>0</v>
      </c>
      <c r="D11" s="668">
        <v>44213064.875946984</v>
      </c>
      <c r="E11" s="668">
        <v>96915.473099999988</v>
      </c>
      <c r="F11" s="668"/>
      <c r="G11" s="668">
        <v>0</v>
      </c>
      <c r="H11" s="695">
        <f t="shared" si="0"/>
        <v>44116149.402846985</v>
      </c>
    </row>
    <row r="12" spans="1:8">
      <c r="A12" s="431">
        <v>6</v>
      </c>
      <c r="B12" s="444" t="s">
        <v>523</v>
      </c>
      <c r="C12" s="668">
        <v>497744.62609100022</v>
      </c>
      <c r="D12" s="668">
        <v>1634674.8801830001</v>
      </c>
      <c r="E12" s="668">
        <v>304413.00679999992</v>
      </c>
      <c r="F12" s="668"/>
      <c r="G12" s="668">
        <v>97444.15</v>
      </c>
      <c r="H12" s="695">
        <f t="shared" si="0"/>
        <v>1828006.4994740004</v>
      </c>
    </row>
    <row r="13" spans="1:8">
      <c r="A13" s="431">
        <v>7</v>
      </c>
      <c r="B13" s="444" t="s">
        <v>524</v>
      </c>
      <c r="C13" s="668">
        <v>23222.707100000003</v>
      </c>
      <c r="D13" s="668">
        <v>735370.86539999989</v>
      </c>
      <c r="E13" s="668">
        <v>33193.625599999999</v>
      </c>
      <c r="F13" s="668"/>
      <c r="G13" s="668">
        <v>13261.27</v>
      </c>
      <c r="H13" s="695">
        <f t="shared" si="0"/>
        <v>725399.94689999986</v>
      </c>
    </row>
    <row r="14" spans="1:8">
      <c r="A14" s="431">
        <v>8</v>
      </c>
      <c r="B14" s="444" t="s">
        <v>525</v>
      </c>
      <c r="C14" s="668">
        <v>1772625.8567243002</v>
      </c>
      <c r="D14" s="668">
        <v>7208193.3229560005</v>
      </c>
      <c r="E14" s="668">
        <v>298510.22819999995</v>
      </c>
      <c r="F14" s="668"/>
      <c r="G14" s="668">
        <v>453.84</v>
      </c>
      <c r="H14" s="695">
        <f t="shared" si="0"/>
        <v>8682308.9514803011</v>
      </c>
    </row>
    <row r="15" spans="1:8">
      <c r="A15" s="431">
        <v>9</v>
      </c>
      <c r="B15" s="444" t="s">
        <v>526</v>
      </c>
      <c r="C15" s="668">
        <v>136867.834</v>
      </c>
      <c r="D15" s="668">
        <v>567630.56650099996</v>
      </c>
      <c r="E15" s="668">
        <v>28362.077699999998</v>
      </c>
      <c r="F15" s="668"/>
      <c r="G15" s="668">
        <v>5223.93</v>
      </c>
      <c r="H15" s="695">
        <f t="shared" si="0"/>
        <v>676136.32280099997</v>
      </c>
    </row>
    <row r="16" spans="1:8">
      <c r="A16" s="431">
        <v>10</v>
      </c>
      <c r="B16" s="444" t="s">
        <v>527</v>
      </c>
      <c r="C16" s="668">
        <v>0</v>
      </c>
      <c r="D16" s="668">
        <v>215286.967588</v>
      </c>
      <c r="E16" s="668">
        <v>1436.3034999999998</v>
      </c>
      <c r="F16" s="668"/>
      <c r="G16" s="668" t="s">
        <v>989</v>
      </c>
      <c r="H16" s="695">
        <f t="shared" si="0"/>
        <v>213850.66408799999</v>
      </c>
    </row>
    <row r="17" spans="1:8">
      <c r="A17" s="431">
        <v>11</v>
      </c>
      <c r="B17" s="444" t="s">
        <v>528</v>
      </c>
      <c r="C17" s="668">
        <v>5769.8</v>
      </c>
      <c r="D17" s="668">
        <v>11329335.709795998</v>
      </c>
      <c r="E17" s="668">
        <v>108910.79870000001</v>
      </c>
      <c r="F17" s="668"/>
      <c r="G17" s="668" t="s">
        <v>989</v>
      </c>
      <c r="H17" s="695">
        <f t="shared" si="0"/>
        <v>11226194.711096</v>
      </c>
    </row>
    <row r="18" spans="1:8">
      <c r="A18" s="431">
        <v>12</v>
      </c>
      <c r="B18" s="444" t="s">
        <v>529</v>
      </c>
      <c r="C18" s="668">
        <v>702103.43549219961</v>
      </c>
      <c r="D18" s="668">
        <v>17853448.037977982</v>
      </c>
      <c r="E18" s="668">
        <v>829285.91349999956</v>
      </c>
      <c r="F18" s="668"/>
      <c r="G18" s="668">
        <v>148528.79999999999</v>
      </c>
      <c r="H18" s="695">
        <f t="shared" si="0"/>
        <v>17726265.559970181</v>
      </c>
    </row>
    <row r="19" spans="1:8">
      <c r="A19" s="431">
        <v>13</v>
      </c>
      <c r="B19" s="444" t="s">
        <v>530</v>
      </c>
      <c r="C19" s="668">
        <v>584562.56285369885</v>
      </c>
      <c r="D19" s="668">
        <v>1047527.6844000005</v>
      </c>
      <c r="E19" s="668">
        <v>344421.96210000012</v>
      </c>
      <c r="F19" s="668"/>
      <c r="G19" s="668">
        <v>19906.43</v>
      </c>
      <c r="H19" s="695">
        <f t="shared" si="0"/>
        <v>1287668.2851536991</v>
      </c>
    </row>
    <row r="20" spans="1:8">
      <c r="A20" s="431">
        <v>14</v>
      </c>
      <c r="B20" s="444" t="s">
        <v>531</v>
      </c>
      <c r="C20" s="668">
        <v>13815702.185654728</v>
      </c>
      <c r="D20" s="668">
        <v>12644077.479363998</v>
      </c>
      <c r="E20" s="668">
        <v>4295839.3434999995</v>
      </c>
      <c r="F20" s="668"/>
      <c r="G20" s="668">
        <v>10305.5</v>
      </c>
      <c r="H20" s="695">
        <f t="shared" si="0"/>
        <v>22163940.321518727</v>
      </c>
    </row>
    <row r="21" spans="1:8">
      <c r="A21" s="431">
        <v>15</v>
      </c>
      <c r="B21" s="444" t="s">
        <v>532</v>
      </c>
      <c r="C21" s="668">
        <v>8787317.0497416928</v>
      </c>
      <c r="D21" s="668">
        <v>3110024.6736529986</v>
      </c>
      <c r="E21" s="668">
        <v>1523409.4005000002</v>
      </c>
      <c r="F21" s="668"/>
      <c r="G21" s="668">
        <v>6909.89</v>
      </c>
      <c r="H21" s="695">
        <f t="shared" si="0"/>
        <v>10373932.322894692</v>
      </c>
    </row>
    <row r="22" spans="1:8">
      <c r="A22" s="431">
        <v>16</v>
      </c>
      <c r="B22" s="444" t="s">
        <v>533</v>
      </c>
      <c r="C22" s="668">
        <v>24788.079999999998</v>
      </c>
      <c r="D22" s="668">
        <v>2858042.4144000001</v>
      </c>
      <c r="E22" s="668">
        <v>105340.30219999999</v>
      </c>
      <c r="F22" s="668"/>
      <c r="G22" s="668">
        <v>491.66</v>
      </c>
      <c r="H22" s="695">
        <f t="shared" si="0"/>
        <v>2777490.1922000004</v>
      </c>
    </row>
    <row r="23" spans="1:8">
      <c r="A23" s="431">
        <v>17</v>
      </c>
      <c r="B23" s="444" t="s">
        <v>534</v>
      </c>
      <c r="C23" s="668">
        <v>1264.7</v>
      </c>
      <c r="D23" s="668">
        <v>8974660.0671760011</v>
      </c>
      <c r="E23" s="668">
        <v>68088.913899999985</v>
      </c>
      <c r="F23" s="668"/>
      <c r="G23" s="668">
        <v>0</v>
      </c>
      <c r="H23" s="695">
        <f t="shared" si="0"/>
        <v>8907835.8532760013</v>
      </c>
    </row>
    <row r="24" spans="1:8">
      <c r="A24" s="431">
        <v>18</v>
      </c>
      <c r="B24" s="444" t="s">
        <v>535</v>
      </c>
      <c r="C24" s="668">
        <v>69896.19</v>
      </c>
      <c r="D24" s="668">
        <v>54862297.665783994</v>
      </c>
      <c r="E24" s="668">
        <v>834600.40190000006</v>
      </c>
      <c r="F24" s="668"/>
      <c r="G24" s="668">
        <v>1524.75</v>
      </c>
      <c r="H24" s="695">
        <f t="shared" si="0"/>
        <v>54097593.453883991</v>
      </c>
    </row>
    <row r="25" spans="1:8">
      <c r="A25" s="431">
        <v>19</v>
      </c>
      <c r="B25" s="444" t="s">
        <v>536</v>
      </c>
      <c r="C25" s="668">
        <v>6627.5736431927999</v>
      </c>
      <c r="D25" s="668">
        <v>5318497.7839999953</v>
      </c>
      <c r="E25" s="668">
        <v>38082.611799999999</v>
      </c>
      <c r="F25" s="668"/>
      <c r="G25" s="668">
        <v>0</v>
      </c>
      <c r="H25" s="695">
        <f t="shared" si="0"/>
        <v>5287042.7458431879</v>
      </c>
    </row>
    <row r="26" spans="1:8">
      <c r="A26" s="431">
        <v>20</v>
      </c>
      <c r="B26" s="444" t="s">
        <v>537</v>
      </c>
      <c r="C26" s="668">
        <v>105992.12</v>
      </c>
      <c r="D26" s="668">
        <v>1491481.1399999978</v>
      </c>
      <c r="E26" s="668">
        <v>175223.48670000007</v>
      </c>
      <c r="F26" s="668"/>
      <c r="G26" s="668">
        <v>2428.5500000000002</v>
      </c>
      <c r="H26" s="695">
        <f t="shared" si="0"/>
        <v>1422249.7732999979</v>
      </c>
    </row>
    <row r="27" spans="1:8">
      <c r="A27" s="431">
        <v>21</v>
      </c>
      <c r="B27" s="444" t="s">
        <v>538</v>
      </c>
      <c r="C27" s="668">
        <v>6960.3398568789999</v>
      </c>
      <c r="D27" s="668">
        <v>340756.97999999986</v>
      </c>
      <c r="E27" s="668">
        <v>24144.711400000007</v>
      </c>
      <c r="F27" s="668"/>
      <c r="G27" s="668">
        <v>0</v>
      </c>
      <c r="H27" s="695">
        <f t="shared" si="0"/>
        <v>323572.60845687881</v>
      </c>
    </row>
    <row r="28" spans="1:8">
      <c r="A28" s="431">
        <v>22</v>
      </c>
      <c r="B28" s="444" t="s">
        <v>539</v>
      </c>
      <c r="C28" s="668">
        <v>50970.909999999996</v>
      </c>
      <c r="D28" s="668">
        <v>310335.12999999989</v>
      </c>
      <c r="E28" s="668">
        <v>66918.902600000001</v>
      </c>
      <c r="F28" s="668"/>
      <c r="G28" s="668">
        <v>4853.0200000000004</v>
      </c>
      <c r="H28" s="695">
        <f t="shared" si="0"/>
        <v>294387.13739999989</v>
      </c>
    </row>
    <row r="29" spans="1:8">
      <c r="A29" s="431">
        <v>23</v>
      </c>
      <c r="B29" s="444" t="s">
        <v>540</v>
      </c>
      <c r="C29" s="668">
        <v>2651821.2228214629</v>
      </c>
      <c r="D29" s="668">
        <v>9181873.7410249859</v>
      </c>
      <c r="E29" s="668">
        <v>892008.71910000034</v>
      </c>
      <c r="F29" s="668"/>
      <c r="G29" s="668">
        <v>217236.63</v>
      </c>
      <c r="H29" s="695">
        <f t="shared" si="0"/>
        <v>10941686.244746448</v>
      </c>
    </row>
    <row r="30" spans="1:8">
      <c r="A30" s="431">
        <v>24</v>
      </c>
      <c r="B30" s="444" t="s">
        <v>541</v>
      </c>
      <c r="C30" s="668">
        <v>2333619.2436353699</v>
      </c>
      <c r="D30" s="668">
        <v>8088169.3894159999</v>
      </c>
      <c r="E30" s="668">
        <v>1443296.2472000001</v>
      </c>
      <c r="F30" s="668"/>
      <c r="G30" s="668">
        <v>0</v>
      </c>
      <c r="H30" s="695">
        <f t="shared" si="0"/>
        <v>8978492.3858513683</v>
      </c>
    </row>
    <row r="31" spans="1:8">
      <c r="A31" s="431">
        <v>25</v>
      </c>
      <c r="B31" s="444" t="s">
        <v>542</v>
      </c>
      <c r="C31" s="668">
        <v>861627.57358602982</v>
      </c>
      <c r="D31" s="668">
        <v>5680511.3906000108</v>
      </c>
      <c r="E31" s="668">
        <v>1201524.8422000001</v>
      </c>
      <c r="F31" s="668"/>
      <c r="G31" s="668">
        <v>548988.74</v>
      </c>
      <c r="H31" s="695">
        <f t="shared" si="0"/>
        <v>5340614.1219860408</v>
      </c>
    </row>
    <row r="32" spans="1:8">
      <c r="A32" s="431">
        <v>26</v>
      </c>
      <c r="B32" s="444" t="s">
        <v>543</v>
      </c>
      <c r="C32" s="668">
        <v>1694486.8453650237</v>
      </c>
      <c r="D32" s="668">
        <v>24982901.8624001</v>
      </c>
      <c r="E32" s="668">
        <v>3638078.8716000002</v>
      </c>
      <c r="F32" s="668"/>
      <c r="G32" s="668">
        <v>300251.62</v>
      </c>
      <c r="H32" s="695">
        <f t="shared" si="0"/>
        <v>23039309.836165123</v>
      </c>
    </row>
    <row r="33" spans="1:8">
      <c r="A33" s="431">
        <v>27</v>
      </c>
      <c r="B33" s="431" t="s">
        <v>100</v>
      </c>
      <c r="C33" s="668"/>
      <c r="D33" s="668">
        <v>19573301.6536</v>
      </c>
      <c r="E33" s="668"/>
      <c r="F33" s="668"/>
      <c r="G33" s="668"/>
      <c r="H33" s="695">
        <f t="shared" si="0"/>
        <v>19573301.6536</v>
      </c>
    </row>
    <row r="34" spans="1:8">
      <c r="A34" s="431">
        <v>28</v>
      </c>
      <c r="B34" s="434" t="s">
        <v>67</v>
      </c>
      <c r="C34" s="669">
        <f>SUM(C7:C33)</f>
        <v>37751171.334465347</v>
      </c>
      <c r="D34" s="669">
        <f>SUM(D7:D33)</f>
        <v>466533679.81356597</v>
      </c>
      <c r="E34" s="669">
        <f>SUM(E7:E33)</f>
        <v>19305274.165700004</v>
      </c>
      <c r="F34" s="669">
        <f>SUM(F7:F33)</f>
        <v>0</v>
      </c>
      <c r="G34" s="669">
        <f>SUM(G7:G33)</f>
        <v>1594231.25</v>
      </c>
      <c r="H34" s="695">
        <f t="shared" si="0"/>
        <v>484979576.98233128</v>
      </c>
    </row>
    <row r="36" spans="1:8">
      <c r="B36" s="389"/>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paperSize="9" scale="2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3"/>
  <sheetViews>
    <sheetView showGridLines="0" zoomScale="102" zoomScaleNormal="102" workbookViewId="0"/>
  </sheetViews>
  <sheetFormatPr defaultColWidth="9.21875" defaultRowHeight="12"/>
  <cols>
    <col min="1" max="1" width="11.77734375" style="384" bestFit="1" customWidth="1"/>
    <col min="2" max="2" width="108" style="384" bestFit="1" customWidth="1"/>
    <col min="3" max="3" width="35.5546875" style="384" customWidth="1"/>
    <col min="4" max="4" width="38.44140625" style="384" customWidth="1"/>
    <col min="5" max="16384" width="9.21875" style="384"/>
  </cols>
  <sheetData>
    <row r="1" spans="1:4" ht="13.8">
      <c r="A1" s="383" t="s">
        <v>109</v>
      </c>
      <c r="B1" s="303" t="str">
        <f>Info!C2</f>
        <v>სს " პაშა ბანკი საქართველო"</v>
      </c>
    </row>
    <row r="2" spans="1:4">
      <c r="A2" s="383" t="s">
        <v>110</v>
      </c>
      <c r="B2" s="386">
        <f>'1. key ratios'!B2</f>
        <v>45199</v>
      </c>
    </row>
    <row r="3" spans="1:4">
      <c r="A3" s="385" t="s">
        <v>544</v>
      </c>
    </row>
    <row r="4" spans="1:4">
      <c r="C4" s="745"/>
      <c r="D4" s="670"/>
    </row>
    <row r="5" spans="1:4">
      <c r="A5" s="838" t="s">
        <v>881</v>
      </c>
      <c r="B5" s="838"/>
      <c r="C5" s="452" t="s">
        <v>563</v>
      </c>
      <c r="D5" s="452" t="s">
        <v>880</v>
      </c>
    </row>
    <row r="6" spans="1:4">
      <c r="A6" s="451">
        <v>1</v>
      </c>
      <c r="B6" s="445" t="s">
        <v>879</v>
      </c>
      <c r="C6" s="736">
        <v>19019044.704999998</v>
      </c>
      <c r="D6" s="736">
        <v>526403.26749999996</v>
      </c>
    </row>
    <row r="7" spans="1:4">
      <c r="A7" s="448">
        <v>2</v>
      </c>
      <c r="B7" s="445" t="s">
        <v>878</v>
      </c>
      <c r="C7" s="738">
        <f>C8+C9</f>
        <v>4057918.5270999996</v>
      </c>
      <c r="D7" s="737">
        <v>165.73609999999999</v>
      </c>
    </row>
    <row r="8" spans="1:4">
      <c r="A8" s="450">
        <v>2.1</v>
      </c>
      <c r="B8" s="449" t="s">
        <v>877</v>
      </c>
      <c r="C8" s="738">
        <f>1635735.8128+649334.11</f>
        <v>2285069.9227999998</v>
      </c>
      <c r="D8" s="737">
        <v>0</v>
      </c>
    </row>
    <row r="9" spans="1:4">
      <c r="A9" s="450">
        <v>2.2000000000000002</v>
      </c>
      <c r="B9" s="449" t="s">
        <v>876</v>
      </c>
      <c r="C9" s="738">
        <v>1772848.6043</v>
      </c>
      <c r="D9" s="737">
        <v>165.73609999999999</v>
      </c>
    </row>
    <row r="10" spans="1:4">
      <c r="A10" s="451">
        <v>3</v>
      </c>
      <c r="B10" s="445" t="s">
        <v>875</v>
      </c>
      <c r="C10" s="756">
        <f>C11+C12+C13</f>
        <v>4416985.8787000002</v>
      </c>
      <c r="D10" s="736">
        <v>31977.501400000001</v>
      </c>
    </row>
    <row r="11" spans="1:4">
      <c r="A11" s="450">
        <v>3.1</v>
      </c>
      <c r="B11" s="449" t="s">
        <v>545</v>
      </c>
      <c r="C11" s="738">
        <v>944547.42</v>
      </c>
      <c r="D11" s="737">
        <v>0</v>
      </c>
    </row>
    <row r="12" spans="1:4">
      <c r="A12" s="450">
        <v>3.2</v>
      </c>
      <c r="B12" s="449" t="s">
        <v>874</v>
      </c>
      <c r="C12" s="738">
        <f>2231616.2548+649334.11</f>
        <v>2880950.3648000001</v>
      </c>
      <c r="D12" s="737">
        <v>15497.4431</v>
      </c>
    </row>
    <row r="13" spans="1:4">
      <c r="A13" s="450">
        <v>3.3</v>
      </c>
      <c r="B13" s="449" t="s">
        <v>873</v>
      </c>
      <c r="C13" s="738">
        <v>591488.09389999998</v>
      </c>
      <c r="D13" s="737">
        <v>16480.058300000001</v>
      </c>
    </row>
    <row r="14" spans="1:4">
      <c r="A14" s="448">
        <v>4</v>
      </c>
      <c r="B14" s="447" t="s">
        <v>872</v>
      </c>
      <c r="C14" s="738">
        <v>27267.62</v>
      </c>
      <c r="D14" s="737">
        <v>3934.88</v>
      </c>
    </row>
    <row r="15" spans="1:4">
      <c r="A15" s="446">
        <v>5</v>
      </c>
      <c r="B15" s="445" t="s">
        <v>871</v>
      </c>
      <c r="C15" s="756">
        <f>C6+C7-C10+C14</f>
        <v>18687244.9734</v>
      </c>
      <c r="D15" s="736">
        <v>498526.38219999993</v>
      </c>
    </row>
    <row r="19" spans="3:4">
      <c r="C19" s="739"/>
      <c r="D19" s="739"/>
    </row>
    <row r="22" spans="3:4">
      <c r="C22" s="740"/>
      <c r="D22" s="740"/>
    </row>
    <row r="23" spans="3:4">
      <c r="C23" s="746"/>
    </row>
  </sheetData>
  <mergeCells count="1">
    <mergeCell ref="A5:B5"/>
  </mergeCells>
  <pageMargins left="0.7" right="0.7" top="0.75" bottom="0.75" header="0.3" footer="0.3"/>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0"/>
  <sheetViews>
    <sheetView showGridLines="0" zoomScale="70" zoomScaleNormal="70" workbookViewId="0"/>
  </sheetViews>
  <sheetFormatPr defaultColWidth="9.21875" defaultRowHeight="12"/>
  <cols>
    <col min="1" max="1" width="11.77734375" style="441" bestFit="1" customWidth="1"/>
    <col min="2" max="2" width="81.21875" style="441" customWidth="1"/>
    <col min="3" max="3" width="37" style="441" customWidth="1"/>
    <col min="4" max="4" width="50.5546875" style="441" customWidth="1"/>
    <col min="5" max="16384" width="9.21875" style="441"/>
  </cols>
  <sheetData>
    <row r="1" spans="1:4" ht="13.8">
      <c r="A1" s="383" t="s">
        <v>109</v>
      </c>
      <c r="B1" s="303" t="str">
        <f>Info!C2</f>
        <v>სს " პაშა ბანკი საქართველო"</v>
      </c>
      <c r="C1" s="742"/>
    </row>
    <row r="2" spans="1:4">
      <c r="A2" s="383" t="s">
        <v>110</v>
      </c>
      <c r="B2" s="386">
        <f>'1. key ratios'!B2</f>
        <v>45199</v>
      </c>
    </row>
    <row r="3" spans="1:4">
      <c r="A3" s="385" t="s">
        <v>546</v>
      </c>
    </row>
    <row r="4" spans="1:4">
      <c r="A4" s="385"/>
    </row>
    <row r="5" spans="1:4" ht="15" customHeight="1">
      <c r="A5" s="839" t="s">
        <v>547</v>
      </c>
      <c r="B5" s="840"/>
      <c r="C5" s="843" t="s">
        <v>548</v>
      </c>
      <c r="D5" s="843" t="s">
        <v>549</v>
      </c>
    </row>
    <row r="6" spans="1:4">
      <c r="A6" s="841"/>
      <c r="B6" s="842"/>
      <c r="C6" s="843"/>
      <c r="D6" s="843"/>
    </row>
    <row r="7" spans="1:4">
      <c r="A7" s="434">
        <v>1</v>
      </c>
      <c r="B7" s="434" t="s">
        <v>550</v>
      </c>
      <c r="C7" s="752">
        <f>37176172.2574</f>
        <v>37176172.257399999</v>
      </c>
      <c r="D7" s="453"/>
    </row>
    <row r="8" spans="1:4">
      <c r="A8" s="431">
        <v>2</v>
      </c>
      <c r="B8" s="431" t="s">
        <v>551</v>
      </c>
      <c r="C8" s="668">
        <v>4407737.4189999998</v>
      </c>
      <c r="D8" s="453"/>
    </row>
    <row r="9" spans="1:4" ht="24">
      <c r="A9" s="431">
        <v>3</v>
      </c>
      <c r="B9" s="456" t="s">
        <v>552</v>
      </c>
      <c r="C9" s="668">
        <f>334890.443-28142.35</f>
        <v>306748.09300000005</v>
      </c>
      <c r="D9" s="453"/>
    </row>
    <row r="10" spans="1:4">
      <c r="A10" s="431">
        <v>4</v>
      </c>
      <c r="B10" s="431" t="s">
        <v>553</v>
      </c>
      <c r="C10" s="668">
        <f>SUM(C11:C17)</f>
        <v>4277822.3143999996</v>
      </c>
      <c r="D10" s="453"/>
    </row>
    <row r="11" spans="1:4" ht="24">
      <c r="A11" s="431">
        <v>5</v>
      </c>
      <c r="B11" s="455" t="s">
        <v>882</v>
      </c>
      <c r="C11" s="668">
        <v>78008.639999999999</v>
      </c>
      <c r="D11" s="453"/>
    </row>
    <row r="12" spans="1:4" ht="24">
      <c r="A12" s="431">
        <v>6</v>
      </c>
      <c r="B12" s="455" t="s">
        <v>554</v>
      </c>
      <c r="C12" s="668">
        <v>3202962.3827</v>
      </c>
      <c r="D12" s="453"/>
    </row>
    <row r="13" spans="1:4" ht="24">
      <c r="A13" s="431">
        <v>7</v>
      </c>
      <c r="B13" s="455" t="s">
        <v>557</v>
      </c>
      <c r="C13" s="668">
        <v>940892.53999999946</v>
      </c>
      <c r="D13" s="453"/>
    </row>
    <row r="14" spans="1:4" ht="24">
      <c r="A14" s="431">
        <v>8</v>
      </c>
      <c r="B14" s="455" t="s">
        <v>555</v>
      </c>
      <c r="C14" s="668"/>
      <c r="D14" s="431"/>
    </row>
    <row r="15" spans="1:4">
      <c r="A15" s="431">
        <v>9</v>
      </c>
      <c r="B15" s="455" t="s">
        <v>556</v>
      </c>
      <c r="C15" s="668"/>
      <c r="D15" s="431"/>
    </row>
    <row r="16" spans="1:4">
      <c r="A16" s="431">
        <v>10</v>
      </c>
      <c r="B16" s="455" t="s">
        <v>558</v>
      </c>
      <c r="C16" s="668"/>
      <c r="D16" s="431"/>
    </row>
    <row r="17" spans="1:4" ht="24">
      <c r="A17" s="431">
        <v>11</v>
      </c>
      <c r="B17" s="455" t="s">
        <v>559</v>
      </c>
      <c r="C17" s="753">
        <f>55958.7517</f>
        <v>55958.751700000001</v>
      </c>
      <c r="D17" s="453"/>
    </row>
    <row r="18" spans="1:4">
      <c r="A18" s="434">
        <v>12</v>
      </c>
      <c r="B18" s="454" t="s">
        <v>560</v>
      </c>
      <c r="C18" s="669">
        <f>C7+C8+C9-C10</f>
        <v>37612835.454999998</v>
      </c>
      <c r="D18" s="453"/>
    </row>
    <row r="21" spans="1:4">
      <c r="B21" s="383"/>
      <c r="C21" s="742"/>
    </row>
    <row r="22" spans="1:4">
      <c r="B22" s="383"/>
    </row>
    <row r="23" spans="1:4">
      <c r="B23" s="385"/>
      <c r="C23" s="743"/>
    </row>
    <row r="25" spans="1:4">
      <c r="C25" s="742"/>
    </row>
    <row r="28" spans="1:4">
      <c r="C28" s="744"/>
    </row>
    <row r="29" spans="1:4">
      <c r="C29" s="744"/>
    </row>
    <row r="30" spans="1:4">
      <c r="C30" s="744"/>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C1" zoomScale="70" zoomScaleNormal="70" workbookViewId="0"/>
  </sheetViews>
  <sheetFormatPr defaultColWidth="9.21875" defaultRowHeight="12"/>
  <cols>
    <col min="1" max="1" width="11.77734375" style="441" bestFit="1" customWidth="1"/>
    <col min="2" max="2" width="63.88671875" style="441" customWidth="1"/>
    <col min="3" max="3" width="15.5546875" style="441" customWidth="1"/>
    <col min="4" max="18" width="22.21875" style="441" customWidth="1"/>
    <col min="19" max="19" width="12.21875" style="441" customWidth="1"/>
    <col min="20" max="20" width="10.5546875" style="441" customWidth="1"/>
    <col min="21" max="26" width="22.21875" style="441" customWidth="1"/>
    <col min="27" max="27" width="23.21875" style="441" bestFit="1" customWidth="1"/>
    <col min="28" max="28" width="20" style="441" customWidth="1"/>
    <col min="29" max="16384" width="9.21875" style="441"/>
  </cols>
  <sheetData>
    <row r="1" spans="1:28" ht="13.8">
      <c r="A1" s="383" t="s">
        <v>109</v>
      </c>
      <c r="B1" s="303" t="str">
        <f>Info!C2</f>
        <v>სს " პაშა ბანკი საქართველო"</v>
      </c>
    </row>
    <row r="2" spans="1:28">
      <c r="A2" s="383" t="s">
        <v>110</v>
      </c>
      <c r="B2" s="386">
        <f>'1. key ratios'!B2</f>
        <v>45199</v>
      </c>
      <c r="C2" s="728"/>
    </row>
    <row r="3" spans="1:28">
      <c r="A3" s="385" t="s">
        <v>561</v>
      </c>
    </row>
    <row r="5" spans="1:28" ht="15" customHeight="1">
      <c r="A5" s="844" t="s">
        <v>895</v>
      </c>
      <c r="B5" s="845"/>
      <c r="C5" s="836" t="s">
        <v>894</v>
      </c>
      <c r="D5" s="850"/>
      <c r="E5" s="850"/>
      <c r="F5" s="850"/>
      <c r="G5" s="850"/>
      <c r="H5" s="850"/>
      <c r="I5" s="850"/>
      <c r="J5" s="850"/>
      <c r="K5" s="850"/>
      <c r="L5" s="850"/>
      <c r="M5" s="850"/>
      <c r="N5" s="850"/>
      <c r="O5" s="850"/>
      <c r="P5" s="850"/>
      <c r="Q5" s="850"/>
      <c r="R5" s="850"/>
      <c r="S5" s="850"/>
      <c r="T5" s="465"/>
      <c r="U5" s="465"/>
      <c r="V5" s="465"/>
      <c r="W5" s="465"/>
      <c r="X5" s="465"/>
      <c r="Y5" s="465"/>
      <c r="Z5" s="465"/>
      <c r="AA5" s="464"/>
      <c r="AB5" s="457"/>
    </row>
    <row r="6" spans="1:28">
      <c r="A6" s="846"/>
      <c r="B6" s="847"/>
      <c r="C6" s="851" t="s">
        <v>67</v>
      </c>
      <c r="D6" s="853" t="s">
        <v>893</v>
      </c>
      <c r="E6" s="853"/>
      <c r="F6" s="853"/>
      <c r="G6" s="853"/>
      <c r="H6" s="854" t="s">
        <v>892</v>
      </c>
      <c r="I6" s="855"/>
      <c r="J6" s="855"/>
      <c r="K6" s="856"/>
      <c r="L6" s="462"/>
      <c r="M6" s="857" t="s">
        <v>891</v>
      </c>
      <c r="N6" s="857"/>
      <c r="O6" s="857"/>
      <c r="P6" s="857"/>
      <c r="Q6" s="857"/>
      <c r="R6" s="857"/>
      <c r="S6" s="834"/>
      <c r="T6" s="463"/>
      <c r="U6" s="837" t="s">
        <v>890</v>
      </c>
      <c r="V6" s="837"/>
      <c r="W6" s="837"/>
      <c r="X6" s="837"/>
      <c r="Y6" s="837"/>
      <c r="Z6" s="837"/>
      <c r="AA6" s="835"/>
      <c r="AB6" s="462"/>
    </row>
    <row r="7" spans="1:28" ht="24">
      <c r="A7" s="848"/>
      <c r="B7" s="849"/>
      <c r="C7" s="852"/>
      <c r="D7" s="461"/>
      <c r="E7" s="438" t="s">
        <v>562</v>
      </c>
      <c r="F7" s="438" t="s">
        <v>888</v>
      </c>
      <c r="G7" s="438" t="s">
        <v>889</v>
      </c>
      <c r="H7" s="460"/>
      <c r="I7" s="438" t="s">
        <v>562</v>
      </c>
      <c r="J7" s="438" t="s">
        <v>888</v>
      </c>
      <c r="K7" s="438" t="s">
        <v>889</v>
      </c>
      <c r="L7" s="459"/>
      <c r="M7" s="438" t="s">
        <v>562</v>
      </c>
      <c r="N7" s="438" t="s">
        <v>888</v>
      </c>
      <c r="O7" s="438" t="s">
        <v>887</v>
      </c>
      <c r="P7" s="438" t="s">
        <v>886</v>
      </c>
      <c r="Q7" s="438" t="s">
        <v>885</v>
      </c>
      <c r="R7" s="438" t="s">
        <v>884</v>
      </c>
      <c r="S7" s="438" t="s">
        <v>883</v>
      </c>
      <c r="T7" s="458"/>
      <c r="U7" s="438" t="s">
        <v>562</v>
      </c>
      <c r="V7" s="438" t="s">
        <v>888</v>
      </c>
      <c r="W7" s="438" t="s">
        <v>887</v>
      </c>
      <c r="X7" s="438" t="s">
        <v>886</v>
      </c>
      <c r="Y7" s="438" t="s">
        <v>885</v>
      </c>
      <c r="Z7" s="438" t="s">
        <v>884</v>
      </c>
      <c r="AA7" s="438" t="s">
        <v>883</v>
      </c>
      <c r="AB7" s="457"/>
    </row>
    <row r="8" spans="1:28" s="699" customFormat="1">
      <c r="A8" s="698">
        <v>1</v>
      </c>
      <c r="B8" s="434" t="s">
        <v>563</v>
      </c>
      <c r="C8" s="669">
        <v>332985584.9278</v>
      </c>
      <c r="D8" s="669">
        <v>278030032.32910001</v>
      </c>
      <c r="E8" s="669">
        <v>3872408.2560999999</v>
      </c>
      <c r="F8" s="669">
        <v>1833565.1174999999</v>
      </c>
      <c r="G8" s="669">
        <v>4228.6704</v>
      </c>
      <c r="H8" s="669">
        <v>17342717.144499999</v>
      </c>
      <c r="I8" s="669">
        <v>5622657.1924999999</v>
      </c>
      <c r="J8" s="669">
        <v>8344197.2781999996</v>
      </c>
      <c r="K8" s="669">
        <v>0</v>
      </c>
      <c r="L8" s="669">
        <v>35284932.970600002</v>
      </c>
      <c r="M8" s="669">
        <v>630871.7683</v>
      </c>
      <c r="N8" s="669">
        <v>1213350.0289</v>
      </c>
      <c r="O8" s="752">
        <f>SUM(O11:O14)</f>
        <v>2752749.5929</v>
      </c>
      <c r="P8" s="669">
        <v>8003304.3251</v>
      </c>
      <c r="Q8" s="669">
        <v>14718014.629699999</v>
      </c>
      <c r="R8" s="669">
        <v>6560756.0280999998</v>
      </c>
      <c r="S8" s="669">
        <v>0</v>
      </c>
      <c r="T8" s="669">
        <v>2327902.4835999999</v>
      </c>
      <c r="U8" s="669">
        <v>0</v>
      </c>
      <c r="V8" s="669">
        <v>0</v>
      </c>
      <c r="W8" s="669">
        <v>2327902.4835999999</v>
      </c>
      <c r="X8" s="669">
        <v>0</v>
      </c>
      <c r="Y8" s="669">
        <v>0</v>
      </c>
      <c r="Z8" s="669">
        <v>0</v>
      </c>
      <c r="AA8" s="669">
        <v>0</v>
      </c>
    </row>
    <row r="9" spans="1:28">
      <c r="A9" s="431">
        <v>1.1000000000000001</v>
      </c>
      <c r="B9" s="448" t="s">
        <v>564</v>
      </c>
      <c r="C9" s="696" t="s">
        <v>989</v>
      </c>
      <c r="D9" s="668" t="s">
        <v>989</v>
      </c>
      <c r="E9" s="668" t="s">
        <v>989</v>
      </c>
      <c r="F9" s="668" t="s">
        <v>989</v>
      </c>
      <c r="G9" s="668" t="s">
        <v>989</v>
      </c>
      <c r="H9" s="668" t="s">
        <v>989</v>
      </c>
      <c r="I9" s="668" t="s">
        <v>989</v>
      </c>
      <c r="J9" s="668" t="s">
        <v>989</v>
      </c>
      <c r="K9" s="668" t="s">
        <v>989</v>
      </c>
      <c r="L9" s="668" t="s">
        <v>989</v>
      </c>
      <c r="M9" s="668" t="s">
        <v>989</v>
      </c>
      <c r="N9" s="668" t="s">
        <v>989</v>
      </c>
      <c r="O9" s="753" t="s">
        <v>989</v>
      </c>
      <c r="P9" s="668" t="s">
        <v>989</v>
      </c>
      <c r="Q9" s="668" t="s">
        <v>989</v>
      </c>
      <c r="R9" s="668" t="s">
        <v>989</v>
      </c>
      <c r="S9" s="668" t="s">
        <v>989</v>
      </c>
      <c r="T9" s="668" t="s">
        <v>989</v>
      </c>
      <c r="U9" s="668" t="s">
        <v>989</v>
      </c>
      <c r="V9" s="668" t="s">
        <v>989</v>
      </c>
      <c r="W9" s="668" t="s">
        <v>989</v>
      </c>
      <c r="X9" s="668" t="s">
        <v>989</v>
      </c>
      <c r="Y9" s="668" t="s">
        <v>989</v>
      </c>
      <c r="Z9" s="668" t="s">
        <v>989</v>
      </c>
      <c r="AA9" s="668" t="s">
        <v>989</v>
      </c>
    </row>
    <row r="10" spans="1:28">
      <c r="A10" s="431">
        <v>1.2</v>
      </c>
      <c r="B10" s="448" t="s">
        <v>565</v>
      </c>
      <c r="C10" s="696" t="s">
        <v>989</v>
      </c>
      <c r="D10" s="668" t="s">
        <v>989</v>
      </c>
      <c r="E10" s="668" t="s">
        <v>989</v>
      </c>
      <c r="F10" s="668" t="s">
        <v>989</v>
      </c>
      <c r="G10" s="668" t="s">
        <v>989</v>
      </c>
      <c r="H10" s="668" t="s">
        <v>989</v>
      </c>
      <c r="I10" s="668" t="s">
        <v>989</v>
      </c>
      <c r="J10" s="668" t="s">
        <v>989</v>
      </c>
      <c r="K10" s="668" t="s">
        <v>989</v>
      </c>
      <c r="L10" s="668" t="s">
        <v>989</v>
      </c>
      <c r="M10" s="668" t="s">
        <v>989</v>
      </c>
      <c r="N10" s="668" t="s">
        <v>989</v>
      </c>
      <c r="O10" s="753" t="s">
        <v>989</v>
      </c>
      <c r="P10" s="668" t="s">
        <v>989</v>
      </c>
      <c r="Q10" s="668" t="s">
        <v>989</v>
      </c>
      <c r="R10" s="668" t="s">
        <v>989</v>
      </c>
      <c r="S10" s="668" t="s">
        <v>989</v>
      </c>
      <c r="T10" s="668" t="s">
        <v>989</v>
      </c>
      <c r="U10" s="668" t="s">
        <v>989</v>
      </c>
      <c r="V10" s="668" t="s">
        <v>989</v>
      </c>
      <c r="W10" s="668" t="s">
        <v>989</v>
      </c>
      <c r="X10" s="668" t="s">
        <v>989</v>
      </c>
      <c r="Y10" s="668" t="s">
        <v>989</v>
      </c>
      <c r="Z10" s="668" t="s">
        <v>989</v>
      </c>
      <c r="AA10" s="668" t="s">
        <v>989</v>
      </c>
    </row>
    <row r="11" spans="1:28">
      <c r="A11" s="431">
        <v>1.3</v>
      </c>
      <c r="B11" s="448" t="s">
        <v>566</v>
      </c>
      <c r="C11" s="696" t="s">
        <v>989</v>
      </c>
      <c r="D11" s="668" t="s">
        <v>989</v>
      </c>
      <c r="E11" s="668" t="s">
        <v>989</v>
      </c>
      <c r="F11" s="668" t="s">
        <v>989</v>
      </c>
      <c r="G11" s="668" t="s">
        <v>989</v>
      </c>
      <c r="H11" s="668" t="s">
        <v>989</v>
      </c>
      <c r="I11" s="668" t="s">
        <v>989</v>
      </c>
      <c r="J11" s="668" t="s">
        <v>989</v>
      </c>
      <c r="K11" s="668" t="s">
        <v>989</v>
      </c>
      <c r="L11" s="668" t="s">
        <v>989</v>
      </c>
      <c r="M11" s="668" t="s">
        <v>989</v>
      </c>
      <c r="N11" s="668" t="s">
        <v>989</v>
      </c>
      <c r="O11" s="753" t="s">
        <v>989</v>
      </c>
      <c r="P11" s="668" t="s">
        <v>989</v>
      </c>
      <c r="Q11" s="668" t="s">
        <v>989</v>
      </c>
      <c r="R11" s="668" t="s">
        <v>989</v>
      </c>
      <c r="S11" s="668" t="s">
        <v>989</v>
      </c>
      <c r="T11" s="668" t="s">
        <v>989</v>
      </c>
      <c r="U11" s="668" t="s">
        <v>989</v>
      </c>
      <c r="V11" s="668" t="s">
        <v>989</v>
      </c>
      <c r="W11" s="668" t="s">
        <v>989</v>
      </c>
      <c r="X11" s="668" t="s">
        <v>989</v>
      </c>
      <c r="Y11" s="668" t="s">
        <v>989</v>
      </c>
      <c r="Z11" s="668" t="s">
        <v>989</v>
      </c>
      <c r="AA11" s="668" t="s">
        <v>989</v>
      </c>
    </row>
    <row r="12" spans="1:28">
      <c r="A12" s="431">
        <v>1.4</v>
      </c>
      <c r="B12" s="448" t="s">
        <v>567</v>
      </c>
      <c r="C12" s="696">
        <v>61996132.618299998</v>
      </c>
      <c r="D12" s="668">
        <v>61835434.618299998</v>
      </c>
      <c r="E12" s="668">
        <v>0</v>
      </c>
      <c r="F12" s="668">
        <v>0</v>
      </c>
      <c r="G12" s="668">
        <v>0</v>
      </c>
      <c r="H12" s="668">
        <v>0</v>
      </c>
      <c r="I12" s="668">
        <v>0</v>
      </c>
      <c r="J12" s="668">
        <v>0</v>
      </c>
      <c r="K12" s="668">
        <v>0</v>
      </c>
      <c r="L12" s="668">
        <v>160698</v>
      </c>
      <c r="M12" s="668">
        <v>0</v>
      </c>
      <c r="N12" s="668">
        <v>0</v>
      </c>
      <c r="O12" s="753">
        <v>0</v>
      </c>
      <c r="P12" s="668">
        <v>0</v>
      </c>
      <c r="Q12" s="668">
        <v>160698</v>
      </c>
      <c r="R12" s="668">
        <v>0</v>
      </c>
      <c r="S12" s="668">
        <v>0</v>
      </c>
      <c r="T12" s="668">
        <v>0</v>
      </c>
      <c r="U12" s="668">
        <v>0</v>
      </c>
      <c r="V12" s="668">
        <v>0</v>
      </c>
      <c r="W12" s="668">
        <v>0</v>
      </c>
      <c r="X12" s="668">
        <v>0</v>
      </c>
      <c r="Y12" s="668">
        <v>0</v>
      </c>
      <c r="Z12" s="668">
        <v>0</v>
      </c>
      <c r="AA12" s="668">
        <v>0</v>
      </c>
    </row>
    <row r="13" spans="1:28">
      <c r="A13" s="431">
        <v>1.5</v>
      </c>
      <c r="B13" s="448" t="s">
        <v>568</v>
      </c>
      <c r="C13" s="696">
        <v>203907594.0431</v>
      </c>
      <c r="D13" s="668">
        <v>161328992.42760003</v>
      </c>
      <c r="E13" s="668">
        <v>2268004.6878999998</v>
      </c>
      <c r="F13" s="668">
        <v>1833565.1174999999</v>
      </c>
      <c r="G13" s="668">
        <v>0</v>
      </c>
      <c r="H13" s="668">
        <v>12108517.111400001</v>
      </c>
      <c r="I13" s="668">
        <v>5161750.0324999997</v>
      </c>
      <c r="J13" s="668">
        <v>6945346.4282</v>
      </c>
      <c r="K13" s="668">
        <v>0</v>
      </c>
      <c r="L13" s="668">
        <v>28142182.020499997</v>
      </c>
      <c r="M13" s="668">
        <v>410328.82829999999</v>
      </c>
      <c r="N13" s="668">
        <v>1043392.0389</v>
      </c>
      <c r="O13" s="753">
        <f>3252027.9691-W13</f>
        <v>924125.48549999995</v>
      </c>
      <c r="P13" s="668">
        <v>6201953.2351000002</v>
      </c>
      <c r="Q13" s="668">
        <v>14507875.749700001</v>
      </c>
      <c r="R13" s="668">
        <v>4255444.1748000002</v>
      </c>
      <c r="S13" s="668">
        <v>0</v>
      </c>
      <c r="T13" s="668">
        <v>2327902.4835999999</v>
      </c>
      <c r="U13" s="668">
        <v>0</v>
      </c>
      <c r="V13" s="668">
        <v>0</v>
      </c>
      <c r="W13" s="668">
        <v>2327902.4835999999</v>
      </c>
      <c r="X13" s="668">
        <v>0</v>
      </c>
      <c r="Y13" s="668">
        <v>0</v>
      </c>
      <c r="Z13" s="668">
        <v>0</v>
      </c>
      <c r="AA13" s="668">
        <v>0</v>
      </c>
    </row>
    <row r="14" spans="1:28">
      <c r="A14" s="431">
        <v>1.6</v>
      </c>
      <c r="B14" s="448" t="s">
        <v>569</v>
      </c>
      <c r="C14" s="696">
        <v>67081858.266400002</v>
      </c>
      <c r="D14" s="668">
        <v>54865605.283199996</v>
      </c>
      <c r="E14" s="668">
        <v>1604403.5682000001</v>
      </c>
      <c r="F14" s="668">
        <v>0</v>
      </c>
      <c r="G14" s="668">
        <v>4228.6704</v>
      </c>
      <c r="H14" s="668">
        <v>5234200.0330999997</v>
      </c>
      <c r="I14" s="668">
        <v>460907.16</v>
      </c>
      <c r="J14" s="668">
        <v>1398850.85</v>
      </c>
      <c r="K14" s="668">
        <v>0</v>
      </c>
      <c r="L14" s="668">
        <v>6982052.9501</v>
      </c>
      <c r="M14" s="668">
        <v>220542.94</v>
      </c>
      <c r="N14" s="668">
        <v>169957.99</v>
      </c>
      <c r="O14" s="753">
        <v>1828624.1074000001</v>
      </c>
      <c r="P14" s="668">
        <v>1801351.09</v>
      </c>
      <c r="Q14" s="668">
        <v>49440.88</v>
      </c>
      <c r="R14" s="668">
        <v>2305311.8533000001</v>
      </c>
      <c r="S14" s="668">
        <v>0</v>
      </c>
      <c r="T14" s="668">
        <v>0</v>
      </c>
      <c r="U14" s="668">
        <v>0</v>
      </c>
      <c r="V14" s="668">
        <v>0</v>
      </c>
      <c r="W14" s="668">
        <v>0</v>
      </c>
      <c r="X14" s="668">
        <v>0</v>
      </c>
      <c r="Y14" s="668">
        <v>0</v>
      </c>
      <c r="Z14" s="668">
        <v>0</v>
      </c>
      <c r="AA14" s="668">
        <v>0</v>
      </c>
    </row>
    <row r="15" spans="1:28" s="699" customFormat="1">
      <c r="A15" s="698">
        <v>2</v>
      </c>
      <c r="B15" s="434" t="s">
        <v>570</v>
      </c>
      <c r="C15" s="752">
        <f>SUM(C16:C21)</f>
        <v>60516965.061099999</v>
      </c>
      <c r="D15" s="752">
        <f>SUM(D16:D21)</f>
        <v>60516965.061099999</v>
      </c>
      <c r="E15" s="669">
        <v>0</v>
      </c>
      <c r="F15" s="669">
        <v>0</v>
      </c>
      <c r="G15" s="669">
        <v>0</v>
      </c>
      <c r="H15" s="669">
        <v>0</v>
      </c>
      <c r="I15" s="669">
        <v>0</v>
      </c>
      <c r="J15" s="669">
        <v>0</v>
      </c>
      <c r="K15" s="669">
        <v>0</v>
      </c>
      <c r="L15" s="669">
        <v>0</v>
      </c>
      <c r="M15" s="669">
        <v>0</v>
      </c>
      <c r="N15" s="669">
        <v>0</v>
      </c>
      <c r="O15" s="752">
        <v>0</v>
      </c>
      <c r="P15" s="669">
        <v>0</v>
      </c>
      <c r="Q15" s="669">
        <v>0</v>
      </c>
      <c r="R15" s="669">
        <v>0</v>
      </c>
      <c r="S15" s="669">
        <v>0</v>
      </c>
      <c r="T15" s="669">
        <v>0</v>
      </c>
      <c r="U15" s="669">
        <v>0</v>
      </c>
      <c r="V15" s="669">
        <v>0</v>
      </c>
      <c r="W15" s="669">
        <v>0</v>
      </c>
      <c r="X15" s="669">
        <v>0</v>
      </c>
      <c r="Y15" s="669">
        <v>0</v>
      </c>
      <c r="Z15" s="669">
        <v>0</v>
      </c>
      <c r="AA15" s="669">
        <v>0</v>
      </c>
    </row>
    <row r="16" spans="1:28">
      <c r="A16" s="431">
        <v>2.1</v>
      </c>
      <c r="B16" s="448" t="s">
        <v>564</v>
      </c>
      <c r="C16" s="696" t="s">
        <v>989</v>
      </c>
      <c r="D16" s="668" t="s">
        <v>989</v>
      </c>
      <c r="E16" s="668" t="s">
        <v>989</v>
      </c>
      <c r="F16" s="668" t="s">
        <v>989</v>
      </c>
      <c r="G16" s="668" t="s">
        <v>989</v>
      </c>
      <c r="H16" s="668" t="s">
        <v>989</v>
      </c>
      <c r="I16" s="668" t="s">
        <v>989</v>
      </c>
      <c r="J16" s="668" t="s">
        <v>989</v>
      </c>
      <c r="K16" s="668" t="s">
        <v>989</v>
      </c>
      <c r="L16" s="668" t="s">
        <v>989</v>
      </c>
      <c r="M16" s="668" t="s">
        <v>989</v>
      </c>
      <c r="N16" s="668" t="s">
        <v>989</v>
      </c>
      <c r="O16" s="668" t="s">
        <v>989</v>
      </c>
      <c r="P16" s="668" t="s">
        <v>989</v>
      </c>
      <c r="Q16" s="668" t="s">
        <v>989</v>
      </c>
      <c r="R16" s="668" t="s">
        <v>989</v>
      </c>
      <c r="S16" s="668" t="s">
        <v>989</v>
      </c>
      <c r="T16" s="668" t="s">
        <v>989</v>
      </c>
      <c r="U16" s="668" t="s">
        <v>989</v>
      </c>
      <c r="V16" s="668" t="s">
        <v>989</v>
      </c>
      <c r="W16" s="668" t="s">
        <v>989</v>
      </c>
      <c r="X16" s="668" t="s">
        <v>989</v>
      </c>
      <c r="Y16" s="668" t="s">
        <v>989</v>
      </c>
      <c r="Z16" s="668" t="s">
        <v>989</v>
      </c>
      <c r="AA16" s="668" t="s">
        <v>989</v>
      </c>
    </row>
    <row r="17" spans="1:27">
      <c r="A17" s="431">
        <v>2.2000000000000002</v>
      </c>
      <c r="B17" s="448" t="s">
        <v>565</v>
      </c>
      <c r="C17" s="696">
        <v>5346400</v>
      </c>
      <c r="D17" s="696">
        <v>5346400</v>
      </c>
      <c r="E17" s="668" t="s">
        <v>989</v>
      </c>
      <c r="F17" s="668" t="s">
        <v>989</v>
      </c>
      <c r="G17" s="668" t="s">
        <v>989</v>
      </c>
      <c r="H17" s="668" t="s">
        <v>989</v>
      </c>
      <c r="I17" s="668" t="s">
        <v>989</v>
      </c>
      <c r="J17" s="668" t="s">
        <v>989</v>
      </c>
      <c r="K17" s="668" t="s">
        <v>989</v>
      </c>
      <c r="L17" s="668" t="s">
        <v>989</v>
      </c>
      <c r="M17" s="668" t="s">
        <v>989</v>
      </c>
      <c r="N17" s="668" t="s">
        <v>989</v>
      </c>
      <c r="O17" s="668" t="s">
        <v>989</v>
      </c>
      <c r="P17" s="668" t="s">
        <v>989</v>
      </c>
      <c r="Q17" s="668" t="s">
        <v>989</v>
      </c>
      <c r="R17" s="668" t="s">
        <v>989</v>
      </c>
      <c r="S17" s="668" t="s">
        <v>989</v>
      </c>
      <c r="T17" s="668" t="s">
        <v>989</v>
      </c>
      <c r="U17" s="668" t="s">
        <v>989</v>
      </c>
      <c r="V17" s="668" t="s">
        <v>989</v>
      </c>
      <c r="W17" s="668" t="s">
        <v>989</v>
      </c>
      <c r="X17" s="668" t="s">
        <v>989</v>
      </c>
      <c r="Y17" s="668" t="s">
        <v>989</v>
      </c>
      <c r="Z17" s="668" t="s">
        <v>989</v>
      </c>
      <c r="AA17" s="668" t="s">
        <v>989</v>
      </c>
    </row>
    <row r="18" spans="1:27">
      <c r="A18" s="431">
        <v>2.2999999999999998</v>
      </c>
      <c r="B18" s="448" t="s">
        <v>566</v>
      </c>
      <c r="C18" s="696" t="s">
        <v>989</v>
      </c>
      <c r="D18" s="668" t="s">
        <v>989</v>
      </c>
      <c r="E18" s="668" t="s">
        <v>989</v>
      </c>
      <c r="F18" s="668" t="s">
        <v>989</v>
      </c>
      <c r="G18" s="668" t="s">
        <v>989</v>
      </c>
      <c r="H18" s="668" t="s">
        <v>989</v>
      </c>
      <c r="I18" s="668" t="s">
        <v>989</v>
      </c>
      <c r="J18" s="668" t="s">
        <v>989</v>
      </c>
      <c r="K18" s="668" t="s">
        <v>989</v>
      </c>
      <c r="L18" s="668" t="s">
        <v>989</v>
      </c>
      <c r="M18" s="668" t="s">
        <v>989</v>
      </c>
      <c r="N18" s="668" t="s">
        <v>989</v>
      </c>
      <c r="O18" s="668" t="s">
        <v>989</v>
      </c>
      <c r="P18" s="668" t="s">
        <v>989</v>
      </c>
      <c r="Q18" s="668" t="s">
        <v>989</v>
      </c>
      <c r="R18" s="668" t="s">
        <v>989</v>
      </c>
      <c r="S18" s="668" t="s">
        <v>989</v>
      </c>
      <c r="T18" s="668" t="s">
        <v>989</v>
      </c>
      <c r="U18" s="668" t="s">
        <v>989</v>
      </c>
      <c r="V18" s="668" t="s">
        <v>989</v>
      </c>
      <c r="W18" s="668" t="s">
        <v>989</v>
      </c>
      <c r="X18" s="668" t="s">
        <v>989</v>
      </c>
      <c r="Y18" s="668" t="s">
        <v>989</v>
      </c>
      <c r="Z18" s="668" t="s">
        <v>989</v>
      </c>
      <c r="AA18" s="668" t="s">
        <v>989</v>
      </c>
    </row>
    <row r="19" spans="1:27">
      <c r="A19" s="431">
        <v>2.4</v>
      </c>
      <c r="B19" s="448" t="s">
        <v>567</v>
      </c>
      <c r="C19" s="696">
        <v>32892173.109999999</v>
      </c>
      <c r="D19" s="668">
        <v>32892173.109999999</v>
      </c>
      <c r="E19" s="668">
        <v>0</v>
      </c>
      <c r="F19" s="668">
        <v>0</v>
      </c>
      <c r="G19" s="668">
        <v>0</v>
      </c>
      <c r="H19" s="668">
        <v>0</v>
      </c>
      <c r="I19" s="668">
        <v>0</v>
      </c>
      <c r="J19" s="668">
        <v>0</v>
      </c>
      <c r="K19" s="668">
        <v>0</v>
      </c>
      <c r="L19" s="668">
        <v>0</v>
      </c>
      <c r="M19" s="668">
        <v>0</v>
      </c>
      <c r="N19" s="668">
        <v>0</v>
      </c>
      <c r="O19" s="668">
        <v>0</v>
      </c>
      <c r="P19" s="668">
        <v>0</v>
      </c>
      <c r="Q19" s="668">
        <v>0</v>
      </c>
      <c r="R19" s="668">
        <v>0</v>
      </c>
      <c r="S19" s="668">
        <v>0</v>
      </c>
      <c r="T19" s="668">
        <v>0</v>
      </c>
      <c r="U19" s="668">
        <v>0</v>
      </c>
      <c r="V19" s="668">
        <v>0</v>
      </c>
      <c r="W19" s="668">
        <v>0</v>
      </c>
      <c r="X19" s="668">
        <v>0</v>
      </c>
      <c r="Y19" s="668">
        <v>0</v>
      </c>
      <c r="Z19" s="668">
        <v>0</v>
      </c>
      <c r="AA19" s="668">
        <v>0</v>
      </c>
    </row>
    <row r="20" spans="1:27">
      <c r="A20" s="431">
        <v>2.5</v>
      </c>
      <c r="B20" s="448" t="s">
        <v>568</v>
      </c>
      <c r="C20" s="696">
        <v>22278391.951099999</v>
      </c>
      <c r="D20" s="668">
        <v>22278391.951099999</v>
      </c>
      <c r="E20" s="668">
        <v>0</v>
      </c>
      <c r="F20" s="668">
        <v>0</v>
      </c>
      <c r="G20" s="668">
        <v>0</v>
      </c>
      <c r="H20" s="668">
        <v>0</v>
      </c>
      <c r="I20" s="668">
        <v>0</v>
      </c>
      <c r="J20" s="668">
        <v>0</v>
      </c>
      <c r="K20" s="668">
        <v>0</v>
      </c>
      <c r="L20" s="668">
        <v>0</v>
      </c>
      <c r="M20" s="668">
        <v>0</v>
      </c>
      <c r="N20" s="668">
        <v>0</v>
      </c>
      <c r="O20" s="668">
        <v>0</v>
      </c>
      <c r="P20" s="668">
        <v>0</v>
      </c>
      <c r="Q20" s="668">
        <v>0</v>
      </c>
      <c r="R20" s="668">
        <v>0</v>
      </c>
      <c r="S20" s="668">
        <v>0</v>
      </c>
      <c r="T20" s="668">
        <v>0</v>
      </c>
      <c r="U20" s="668">
        <v>0</v>
      </c>
      <c r="V20" s="668">
        <v>0</v>
      </c>
      <c r="W20" s="668">
        <v>0</v>
      </c>
      <c r="X20" s="668">
        <v>0</v>
      </c>
      <c r="Y20" s="668">
        <v>0</v>
      </c>
      <c r="Z20" s="668">
        <v>0</v>
      </c>
      <c r="AA20" s="668">
        <v>0</v>
      </c>
    </row>
    <row r="21" spans="1:27">
      <c r="A21" s="431">
        <v>2.6</v>
      </c>
      <c r="B21" s="448" t="s">
        <v>569</v>
      </c>
      <c r="C21" s="696" t="s">
        <v>989</v>
      </c>
      <c r="D21" s="668" t="s">
        <v>989</v>
      </c>
      <c r="E21" s="668" t="s">
        <v>989</v>
      </c>
      <c r="F21" s="668" t="s">
        <v>989</v>
      </c>
      <c r="G21" s="668" t="s">
        <v>989</v>
      </c>
      <c r="H21" s="668" t="s">
        <v>989</v>
      </c>
      <c r="I21" s="668" t="s">
        <v>989</v>
      </c>
      <c r="J21" s="668" t="s">
        <v>989</v>
      </c>
      <c r="K21" s="668" t="s">
        <v>989</v>
      </c>
      <c r="L21" s="668" t="s">
        <v>989</v>
      </c>
      <c r="M21" s="668" t="s">
        <v>989</v>
      </c>
      <c r="N21" s="668" t="s">
        <v>989</v>
      </c>
      <c r="O21" s="668" t="s">
        <v>989</v>
      </c>
      <c r="P21" s="668" t="s">
        <v>989</v>
      </c>
      <c r="Q21" s="668" t="s">
        <v>989</v>
      </c>
      <c r="R21" s="668" t="s">
        <v>989</v>
      </c>
      <c r="S21" s="668" t="s">
        <v>989</v>
      </c>
      <c r="T21" s="668" t="s">
        <v>989</v>
      </c>
      <c r="U21" s="668" t="s">
        <v>989</v>
      </c>
      <c r="V21" s="668" t="s">
        <v>989</v>
      </c>
      <c r="W21" s="668" t="s">
        <v>989</v>
      </c>
      <c r="X21" s="668" t="s">
        <v>989</v>
      </c>
      <c r="Y21" s="668" t="s">
        <v>989</v>
      </c>
      <c r="Z21" s="668" t="s">
        <v>989</v>
      </c>
      <c r="AA21" s="668" t="s">
        <v>989</v>
      </c>
    </row>
    <row r="22" spans="1:27" s="699" customFormat="1">
      <c r="A22" s="698">
        <v>3</v>
      </c>
      <c r="B22" s="434" t="s">
        <v>571</v>
      </c>
      <c r="C22" s="669">
        <v>157985440.9673</v>
      </c>
      <c r="D22" s="669">
        <v>156957993.78979999</v>
      </c>
      <c r="E22" s="697" t="s">
        <v>989</v>
      </c>
      <c r="F22" s="697" t="s">
        <v>989</v>
      </c>
      <c r="G22" s="697" t="s">
        <v>989</v>
      </c>
      <c r="H22" s="669">
        <v>1015539.2275</v>
      </c>
      <c r="I22" s="697" t="s">
        <v>989</v>
      </c>
      <c r="J22" s="697" t="s">
        <v>989</v>
      </c>
      <c r="K22" s="697" t="s">
        <v>989</v>
      </c>
      <c r="L22" s="669">
        <v>11907.95</v>
      </c>
      <c r="M22" s="697" t="s">
        <v>989</v>
      </c>
      <c r="N22" s="697" t="s">
        <v>989</v>
      </c>
      <c r="O22" s="697" t="s">
        <v>989</v>
      </c>
      <c r="P22" s="697" t="s">
        <v>989</v>
      </c>
      <c r="Q22" s="697" t="s">
        <v>989</v>
      </c>
      <c r="R22" s="697" t="s">
        <v>989</v>
      </c>
      <c r="S22" s="697" t="s">
        <v>989</v>
      </c>
      <c r="T22" s="669">
        <v>0</v>
      </c>
      <c r="U22" s="697" t="s">
        <v>989</v>
      </c>
      <c r="V22" s="697" t="s">
        <v>989</v>
      </c>
      <c r="W22" s="697" t="s">
        <v>989</v>
      </c>
      <c r="X22" s="697" t="s">
        <v>989</v>
      </c>
      <c r="Y22" s="697" t="s">
        <v>989</v>
      </c>
      <c r="Z22" s="697" t="s">
        <v>989</v>
      </c>
      <c r="AA22" s="697" t="s">
        <v>989</v>
      </c>
    </row>
    <row r="23" spans="1:27">
      <c r="A23" s="431">
        <v>3.1</v>
      </c>
      <c r="B23" s="448" t="s">
        <v>564</v>
      </c>
      <c r="C23" s="696" t="s">
        <v>989</v>
      </c>
      <c r="D23" s="669" t="s">
        <v>989</v>
      </c>
      <c r="E23" s="697" t="s">
        <v>989</v>
      </c>
      <c r="F23" s="697" t="s">
        <v>989</v>
      </c>
      <c r="G23" s="697" t="s">
        <v>989</v>
      </c>
      <c r="H23" s="669" t="s">
        <v>989</v>
      </c>
      <c r="I23" s="697" t="s">
        <v>989</v>
      </c>
      <c r="J23" s="697" t="s">
        <v>989</v>
      </c>
      <c r="K23" s="697" t="s">
        <v>989</v>
      </c>
      <c r="L23" s="669" t="s">
        <v>989</v>
      </c>
      <c r="M23" s="697" t="s">
        <v>989</v>
      </c>
      <c r="N23" s="697" t="s">
        <v>989</v>
      </c>
      <c r="O23" s="697" t="s">
        <v>989</v>
      </c>
      <c r="P23" s="697"/>
      <c r="Q23" s="697" t="s">
        <v>989</v>
      </c>
      <c r="R23" s="697" t="s">
        <v>989</v>
      </c>
      <c r="S23" s="697" t="s">
        <v>989</v>
      </c>
      <c r="T23" s="669" t="s">
        <v>989</v>
      </c>
      <c r="U23" s="697" t="s">
        <v>989</v>
      </c>
      <c r="V23" s="697" t="s">
        <v>989</v>
      </c>
      <c r="W23" s="697" t="s">
        <v>989</v>
      </c>
      <c r="X23" s="697" t="s">
        <v>989</v>
      </c>
      <c r="Y23" s="697" t="s">
        <v>989</v>
      </c>
      <c r="Z23" s="697" t="s">
        <v>989</v>
      </c>
      <c r="AA23" s="697" t="s">
        <v>989</v>
      </c>
    </row>
    <row r="24" spans="1:27">
      <c r="A24" s="431">
        <v>3.2</v>
      </c>
      <c r="B24" s="448" t="s">
        <v>565</v>
      </c>
      <c r="C24" s="696" t="s">
        <v>989</v>
      </c>
      <c r="D24" s="668" t="s">
        <v>989</v>
      </c>
      <c r="E24" s="697" t="s">
        <v>989</v>
      </c>
      <c r="F24" s="697" t="s">
        <v>989</v>
      </c>
      <c r="G24" s="697" t="s">
        <v>989</v>
      </c>
      <c r="H24" s="669" t="s">
        <v>989</v>
      </c>
      <c r="I24" s="697" t="s">
        <v>989</v>
      </c>
      <c r="J24" s="697" t="s">
        <v>989</v>
      </c>
      <c r="K24" s="697" t="s">
        <v>989</v>
      </c>
      <c r="L24" s="669" t="s">
        <v>989</v>
      </c>
      <c r="M24" s="697" t="s">
        <v>989</v>
      </c>
      <c r="N24" s="697" t="s">
        <v>989</v>
      </c>
      <c r="O24" s="697" t="s">
        <v>989</v>
      </c>
      <c r="P24" s="697" t="s">
        <v>989</v>
      </c>
      <c r="Q24" s="697" t="s">
        <v>989</v>
      </c>
      <c r="R24" s="697" t="s">
        <v>989</v>
      </c>
      <c r="S24" s="697" t="s">
        <v>989</v>
      </c>
      <c r="T24" s="669" t="s">
        <v>989</v>
      </c>
      <c r="U24" s="697" t="s">
        <v>989</v>
      </c>
      <c r="V24" s="697" t="s">
        <v>989</v>
      </c>
      <c r="W24" s="697" t="s">
        <v>989</v>
      </c>
      <c r="X24" s="697" t="s">
        <v>989</v>
      </c>
      <c r="Y24" s="697" t="s">
        <v>989</v>
      </c>
      <c r="Z24" s="697" t="s">
        <v>989</v>
      </c>
      <c r="AA24" s="697" t="s">
        <v>989</v>
      </c>
    </row>
    <row r="25" spans="1:27">
      <c r="A25" s="431">
        <v>3.3</v>
      </c>
      <c r="B25" s="448" t="s">
        <v>566</v>
      </c>
      <c r="C25" s="696">
        <v>670000</v>
      </c>
      <c r="D25" s="668">
        <v>670000</v>
      </c>
      <c r="E25" s="697" t="s">
        <v>989</v>
      </c>
      <c r="F25" s="697" t="s">
        <v>989</v>
      </c>
      <c r="G25" s="697" t="s">
        <v>989</v>
      </c>
      <c r="H25" s="669">
        <v>0</v>
      </c>
      <c r="I25" s="697" t="s">
        <v>989</v>
      </c>
      <c r="J25" s="697" t="s">
        <v>989</v>
      </c>
      <c r="K25" s="697" t="s">
        <v>989</v>
      </c>
      <c r="L25" s="669">
        <v>0</v>
      </c>
      <c r="M25" s="697" t="s">
        <v>989</v>
      </c>
      <c r="N25" s="697" t="s">
        <v>989</v>
      </c>
      <c r="O25" s="697" t="s">
        <v>989</v>
      </c>
      <c r="P25" s="697" t="s">
        <v>989</v>
      </c>
      <c r="Q25" s="697" t="s">
        <v>989</v>
      </c>
      <c r="R25" s="697" t="s">
        <v>989</v>
      </c>
      <c r="S25" s="697" t="s">
        <v>989</v>
      </c>
      <c r="T25" s="669">
        <v>0</v>
      </c>
      <c r="U25" s="697" t="s">
        <v>989</v>
      </c>
      <c r="V25" s="697" t="s">
        <v>989</v>
      </c>
      <c r="W25" s="697" t="s">
        <v>989</v>
      </c>
      <c r="X25" s="697" t="s">
        <v>989</v>
      </c>
      <c r="Y25" s="697" t="s">
        <v>989</v>
      </c>
      <c r="Z25" s="697" t="s">
        <v>989</v>
      </c>
      <c r="AA25" s="697" t="s">
        <v>989</v>
      </c>
    </row>
    <row r="26" spans="1:27">
      <c r="A26" s="431">
        <v>3.4</v>
      </c>
      <c r="B26" s="448" t="s">
        <v>567</v>
      </c>
      <c r="C26" s="696">
        <v>7064721.5537</v>
      </c>
      <c r="D26" s="668">
        <v>7064721.5537</v>
      </c>
      <c r="E26" s="697" t="s">
        <v>989</v>
      </c>
      <c r="F26" s="697" t="s">
        <v>989</v>
      </c>
      <c r="G26" s="697" t="s">
        <v>989</v>
      </c>
      <c r="H26" s="669">
        <v>0</v>
      </c>
      <c r="I26" s="697" t="s">
        <v>989</v>
      </c>
      <c r="J26" s="697" t="s">
        <v>989</v>
      </c>
      <c r="K26" s="697" t="s">
        <v>989</v>
      </c>
      <c r="L26" s="669">
        <v>0</v>
      </c>
      <c r="M26" s="697" t="s">
        <v>989</v>
      </c>
      <c r="N26" s="697" t="s">
        <v>989</v>
      </c>
      <c r="O26" s="697" t="s">
        <v>989</v>
      </c>
      <c r="P26" s="697" t="s">
        <v>989</v>
      </c>
      <c r="Q26" s="697" t="s">
        <v>989</v>
      </c>
      <c r="R26" s="697" t="s">
        <v>989</v>
      </c>
      <c r="S26" s="697" t="s">
        <v>989</v>
      </c>
      <c r="T26" s="669">
        <v>0</v>
      </c>
      <c r="U26" s="697" t="s">
        <v>989</v>
      </c>
      <c r="V26" s="697" t="s">
        <v>989</v>
      </c>
      <c r="W26" s="697" t="s">
        <v>989</v>
      </c>
      <c r="X26" s="697" t="s">
        <v>989</v>
      </c>
      <c r="Y26" s="697" t="s">
        <v>989</v>
      </c>
      <c r="Z26" s="697" t="s">
        <v>989</v>
      </c>
      <c r="AA26" s="697" t="s">
        <v>989</v>
      </c>
    </row>
    <row r="27" spans="1:27">
      <c r="A27" s="431">
        <v>3.5</v>
      </c>
      <c r="B27" s="448" t="s">
        <v>568</v>
      </c>
      <c r="C27" s="696">
        <v>84834366.403600007</v>
      </c>
      <c r="D27" s="668">
        <v>84686189.456100002</v>
      </c>
      <c r="E27" s="697" t="s">
        <v>989</v>
      </c>
      <c r="F27" s="697" t="s">
        <v>989</v>
      </c>
      <c r="G27" s="697" t="s">
        <v>989</v>
      </c>
      <c r="H27" s="668">
        <v>148176.94750000001</v>
      </c>
      <c r="I27" s="697" t="s">
        <v>989</v>
      </c>
      <c r="J27" s="697" t="s">
        <v>989</v>
      </c>
      <c r="K27" s="697" t="s">
        <v>989</v>
      </c>
      <c r="L27" s="669">
        <v>0</v>
      </c>
      <c r="M27" s="697" t="s">
        <v>989</v>
      </c>
      <c r="N27" s="697" t="s">
        <v>989</v>
      </c>
      <c r="O27" s="697" t="s">
        <v>989</v>
      </c>
      <c r="P27" s="697" t="s">
        <v>989</v>
      </c>
      <c r="Q27" s="697" t="s">
        <v>989</v>
      </c>
      <c r="R27" s="697" t="s">
        <v>989</v>
      </c>
      <c r="S27" s="697" t="s">
        <v>989</v>
      </c>
      <c r="T27" s="669">
        <v>0</v>
      </c>
      <c r="U27" s="697" t="s">
        <v>989</v>
      </c>
      <c r="V27" s="697" t="s">
        <v>989</v>
      </c>
      <c r="W27" s="697" t="s">
        <v>989</v>
      </c>
      <c r="X27" s="697" t="s">
        <v>989</v>
      </c>
      <c r="Y27" s="697" t="s">
        <v>989</v>
      </c>
      <c r="Z27" s="697" t="s">
        <v>989</v>
      </c>
      <c r="AA27" s="697" t="s">
        <v>989</v>
      </c>
    </row>
    <row r="28" spans="1:27">
      <c r="A28" s="431">
        <v>3.6</v>
      </c>
      <c r="B28" s="448" t="s">
        <v>569</v>
      </c>
      <c r="C28" s="696">
        <v>65416353.009999998</v>
      </c>
      <c r="D28" s="668">
        <v>64537082.780000001</v>
      </c>
      <c r="E28" s="697" t="s">
        <v>989</v>
      </c>
      <c r="F28" s="697" t="s">
        <v>989</v>
      </c>
      <c r="G28" s="697" t="s">
        <v>989</v>
      </c>
      <c r="H28" s="668">
        <v>867362.28</v>
      </c>
      <c r="I28" s="697" t="s">
        <v>989</v>
      </c>
      <c r="J28" s="697" t="s">
        <v>989</v>
      </c>
      <c r="K28" s="697" t="s">
        <v>989</v>
      </c>
      <c r="L28" s="668">
        <v>11907.95</v>
      </c>
      <c r="M28" s="697" t="s">
        <v>989</v>
      </c>
      <c r="N28" s="697" t="s">
        <v>989</v>
      </c>
      <c r="O28" s="697" t="s">
        <v>989</v>
      </c>
      <c r="P28" s="697" t="s">
        <v>989</v>
      </c>
      <c r="Q28" s="697" t="s">
        <v>989</v>
      </c>
      <c r="R28" s="697" t="s">
        <v>989</v>
      </c>
      <c r="S28" s="697" t="s">
        <v>989</v>
      </c>
      <c r="T28" s="669">
        <v>0</v>
      </c>
      <c r="U28" s="697" t="s">
        <v>989</v>
      </c>
      <c r="V28" s="697" t="s">
        <v>989</v>
      </c>
      <c r="W28" s="697" t="s">
        <v>989</v>
      </c>
      <c r="X28" s="697" t="s">
        <v>989</v>
      </c>
      <c r="Y28" s="697" t="s">
        <v>989</v>
      </c>
      <c r="Z28" s="697" t="s">
        <v>989</v>
      </c>
      <c r="AA28" s="697" t="s">
        <v>989</v>
      </c>
    </row>
  </sheetData>
  <mergeCells count="7">
    <mergeCell ref="U6:AA6"/>
    <mergeCell ref="A5:B7"/>
    <mergeCell ref="C5:S5"/>
    <mergeCell ref="C6:C7"/>
    <mergeCell ref="D6:G6"/>
    <mergeCell ref="H6:K6"/>
    <mergeCell ref="M6:S6"/>
  </mergeCells>
  <pageMargins left="0.7" right="0.7" top="0.75" bottom="0.75" header="0.3" footer="0.3"/>
  <pageSetup paperSize="9"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P1" zoomScaleNormal="100" workbookViewId="0"/>
  </sheetViews>
  <sheetFormatPr defaultColWidth="9.21875" defaultRowHeight="12"/>
  <cols>
    <col min="1" max="1" width="11.77734375" style="441" bestFit="1" customWidth="1"/>
    <col min="2" max="2" width="90.21875" style="441" bestFit="1" customWidth="1"/>
    <col min="3" max="3" width="20.21875" style="441" customWidth="1"/>
    <col min="4" max="4" width="22.21875" style="441" customWidth="1"/>
    <col min="5" max="7" width="17.109375" style="441" customWidth="1"/>
    <col min="8" max="8" width="22.21875" style="441" customWidth="1"/>
    <col min="9" max="10" width="17.109375" style="441" customWidth="1"/>
    <col min="11" max="27" width="22.21875" style="441" customWidth="1"/>
    <col min="28" max="16384" width="9.21875" style="441"/>
  </cols>
  <sheetData>
    <row r="1" spans="1:27" ht="13.8">
      <c r="A1" s="383" t="s">
        <v>109</v>
      </c>
      <c r="B1" s="303" t="str">
        <f>Info!C2</f>
        <v>სს " პაშა ბანკი საქართველო"</v>
      </c>
    </row>
    <row r="2" spans="1:27">
      <c r="A2" s="383" t="s">
        <v>110</v>
      </c>
      <c r="B2" s="386">
        <f>'1. key ratios'!B2</f>
        <v>45199</v>
      </c>
    </row>
    <row r="3" spans="1:27">
      <c r="A3" s="385" t="s">
        <v>572</v>
      </c>
      <c r="C3" s="443"/>
    </row>
    <row r="4" spans="1:27" ht="12.6" thickBot="1">
      <c r="A4" s="385"/>
      <c r="B4" s="443"/>
      <c r="C4" s="443"/>
    </row>
    <row r="5" spans="1:27" ht="13.5" customHeight="1">
      <c r="A5" s="862" t="s">
        <v>902</v>
      </c>
      <c r="B5" s="863"/>
      <c r="C5" s="859" t="s">
        <v>573</v>
      </c>
      <c r="D5" s="860"/>
      <c r="E5" s="860"/>
      <c r="F5" s="860"/>
      <c r="G5" s="860"/>
      <c r="H5" s="860"/>
      <c r="I5" s="860"/>
      <c r="J5" s="860"/>
      <c r="K5" s="860"/>
      <c r="L5" s="860"/>
      <c r="M5" s="860"/>
      <c r="N5" s="860"/>
      <c r="O5" s="860"/>
      <c r="P5" s="860"/>
      <c r="Q5" s="860"/>
      <c r="R5" s="860"/>
      <c r="S5" s="860"/>
      <c r="T5" s="860"/>
      <c r="U5" s="860"/>
      <c r="V5" s="860"/>
      <c r="W5" s="860"/>
      <c r="X5" s="860"/>
      <c r="Y5" s="860"/>
      <c r="Z5" s="860"/>
      <c r="AA5" s="861"/>
    </row>
    <row r="6" spans="1:27" ht="12" customHeight="1">
      <c r="A6" s="864"/>
      <c r="B6" s="865"/>
      <c r="C6" s="868" t="s">
        <v>67</v>
      </c>
      <c r="D6" s="833" t="s">
        <v>893</v>
      </c>
      <c r="E6" s="833"/>
      <c r="F6" s="833"/>
      <c r="G6" s="833"/>
      <c r="H6" s="854" t="s">
        <v>892</v>
      </c>
      <c r="I6" s="855"/>
      <c r="J6" s="855"/>
      <c r="K6" s="855"/>
      <c r="L6" s="463"/>
      <c r="M6" s="837" t="s">
        <v>891</v>
      </c>
      <c r="N6" s="837"/>
      <c r="O6" s="837"/>
      <c r="P6" s="837"/>
      <c r="Q6" s="837"/>
      <c r="R6" s="837"/>
      <c r="S6" s="835"/>
      <c r="T6" s="463"/>
      <c r="U6" s="837" t="s">
        <v>890</v>
      </c>
      <c r="V6" s="837"/>
      <c r="W6" s="837"/>
      <c r="X6" s="837"/>
      <c r="Y6" s="837"/>
      <c r="Z6" s="837"/>
      <c r="AA6" s="858"/>
    </row>
    <row r="7" spans="1:27" ht="36">
      <c r="A7" s="866"/>
      <c r="B7" s="867"/>
      <c r="C7" s="869"/>
      <c r="D7" s="461"/>
      <c r="E7" s="438" t="s">
        <v>562</v>
      </c>
      <c r="F7" s="438" t="s">
        <v>888</v>
      </c>
      <c r="G7" s="438" t="s">
        <v>889</v>
      </c>
      <c r="H7" s="442"/>
      <c r="I7" s="438" t="s">
        <v>562</v>
      </c>
      <c r="J7" s="438" t="s">
        <v>888</v>
      </c>
      <c r="K7" s="438" t="s">
        <v>889</v>
      </c>
      <c r="L7" s="458"/>
      <c r="M7" s="438" t="s">
        <v>562</v>
      </c>
      <c r="N7" s="438" t="s">
        <v>901</v>
      </c>
      <c r="O7" s="438" t="s">
        <v>900</v>
      </c>
      <c r="P7" s="438" t="s">
        <v>899</v>
      </c>
      <c r="Q7" s="438" t="s">
        <v>898</v>
      </c>
      <c r="R7" s="438" t="s">
        <v>897</v>
      </c>
      <c r="S7" s="438" t="s">
        <v>883</v>
      </c>
      <c r="T7" s="458"/>
      <c r="U7" s="438" t="s">
        <v>562</v>
      </c>
      <c r="V7" s="438" t="s">
        <v>901</v>
      </c>
      <c r="W7" s="438" t="s">
        <v>900</v>
      </c>
      <c r="X7" s="438" t="s">
        <v>899</v>
      </c>
      <c r="Y7" s="438" t="s">
        <v>898</v>
      </c>
      <c r="Z7" s="438" t="s">
        <v>897</v>
      </c>
      <c r="AA7" s="438" t="s">
        <v>883</v>
      </c>
    </row>
    <row r="8" spans="1:27" s="699" customFormat="1">
      <c r="A8" s="483">
        <v>1</v>
      </c>
      <c r="B8" s="484" t="s">
        <v>563</v>
      </c>
      <c r="C8" s="700">
        <v>332985584.93180001</v>
      </c>
      <c r="D8" s="669">
        <v>278030032.33310002</v>
      </c>
      <c r="E8" s="669">
        <v>3872408.2560999999</v>
      </c>
      <c r="F8" s="669">
        <v>1833565.1174999999</v>
      </c>
      <c r="G8" s="669">
        <v>4228.6704</v>
      </c>
      <c r="H8" s="669">
        <v>17342717.144499999</v>
      </c>
      <c r="I8" s="669">
        <v>5622657.1924999999</v>
      </c>
      <c r="J8" s="669">
        <v>8344197.2781999996</v>
      </c>
      <c r="K8" s="669">
        <v>0</v>
      </c>
      <c r="L8" s="669">
        <v>35284932.970600002</v>
      </c>
      <c r="M8" s="669">
        <v>630871.7683</v>
      </c>
      <c r="N8" s="669">
        <v>1213350.0289</v>
      </c>
      <c r="O8" s="669">
        <v>2752749.5929000005</v>
      </c>
      <c r="P8" s="669">
        <v>8003304.3251</v>
      </c>
      <c r="Q8" s="669">
        <v>14718014.629699999</v>
      </c>
      <c r="R8" s="669">
        <v>6560756.0280999998</v>
      </c>
      <c r="S8" s="669">
        <v>0</v>
      </c>
      <c r="T8" s="669">
        <v>2327902.4835999999</v>
      </c>
      <c r="U8" s="669">
        <v>0</v>
      </c>
      <c r="V8" s="669">
        <v>0</v>
      </c>
      <c r="W8" s="669">
        <v>2327902.4835999999</v>
      </c>
      <c r="X8" s="669">
        <v>0</v>
      </c>
      <c r="Y8" s="669">
        <v>0</v>
      </c>
      <c r="Z8" s="669">
        <v>0</v>
      </c>
      <c r="AA8" s="725">
        <v>0</v>
      </c>
    </row>
    <row r="9" spans="1:27">
      <c r="A9" s="476">
        <v>1.1000000000000001</v>
      </c>
      <c r="B9" s="482" t="s">
        <v>574</v>
      </c>
      <c r="C9" s="702">
        <v>257509911.15599999</v>
      </c>
      <c r="D9" s="668">
        <v>211305294.29269999</v>
      </c>
      <c r="E9" s="668">
        <v>2453891.6560999998</v>
      </c>
      <c r="F9" s="668">
        <v>1833565.1174999999</v>
      </c>
      <c r="G9" s="668">
        <v>0</v>
      </c>
      <c r="H9" s="668">
        <v>12968185.364499999</v>
      </c>
      <c r="I9" s="668">
        <v>5161750.0324999997</v>
      </c>
      <c r="J9" s="668">
        <v>6945346.4282</v>
      </c>
      <c r="K9" s="668">
        <v>0</v>
      </c>
      <c r="L9" s="668">
        <v>30908529.015199997</v>
      </c>
      <c r="M9" s="668">
        <v>410328.82829999999</v>
      </c>
      <c r="N9" s="668">
        <v>1043392.0389</v>
      </c>
      <c r="O9" s="668">
        <v>1090844.4029000001</v>
      </c>
      <c r="P9" s="668">
        <v>6201953.2351000002</v>
      </c>
      <c r="Q9" s="668">
        <v>14668573.749700001</v>
      </c>
      <c r="R9" s="668">
        <v>6560756.0280999998</v>
      </c>
      <c r="S9" s="668">
        <v>0</v>
      </c>
      <c r="T9" s="668">
        <v>2327902.4835999999</v>
      </c>
      <c r="U9" s="668">
        <v>0</v>
      </c>
      <c r="V9" s="668">
        <v>0</v>
      </c>
      <c r="W9" s="668">
        <v>2327902.4835999999</v>
      </c>
      <c r="X9" s="668">
        <v>0</v>
      </c>
      <c r="Y9" s="668">
        <v>0</v>
      </c>
      <c r="Z9" s="668">
        <v>0</v>
      </c>
      <c r="AA9" s="701">
        <v>0</v>
      </c>
    </row>
    <row r="10" spans="1:27">
      <c r="A10" s="480" t="s">
        <v>158</v>
      </c>
      <c r="B10" s="481" t="s">
        <v>575</v>
      </c>
      <c r="C10" s="703">
        <v>178286954.08770001</v>
      </c>
      <c r="D10" s="668">
        <v>132612442.1705</v>
      </c>
      <c r="E10" s="668">
        <v>2453891.6560999998</v>
      </c>
      <c r="F10" s="668">
        <v>1833565.1174999999</v>
      </c>
      <c r="G10" s="668">
        <v>0</v>
      </c>
      <c r="H10" s="668">
        <v>12968185.364499999</v>
      </c>
      <c r="I10" s="668">
        <v>5161750.0324999997</v>
      </c>
      <c r="J10" s="668">
        <v>6945346.4282</v>
      </c>
      <c r="K10" s="668">
        <v>0</v>
      </c>
      <c r="L10" s="668">
        <v>30378424.0691</v>
      </c>
      <c r="M10" s="668">
        <v>410328.82829999999</v>
      </c>
      <c r="N10" s="668">
        <v>673985.09279999998</v>
      </c>
      <c r="O10" s="668">
        <v>1090844.4029000001</v>
      </c>
      <c r="P10" s="668">
        <v>6201953.2351000002</v>
      </c>
      <c r="Q10" s="668">
        <v>14507875.749700001</v>
      </c>
      <c r="R10" s="668">
        <v>6560756.0280999998</v>
      </c>
      <c r="S10" s="668">
        <v>0</v>
      </c>
      <c r="T10" s="668">
        <v>2327902.4835999999</v>
      </c>
      <c r="U10" s="668">
        <v>0</v>
      </c>
      <c r="V10" s="668">
        <v>0</v>
      </c>
      <c r="W10" s="668">
        <v>2327902.4835999999</v>
      </c>
      <c r="X10" s="668">
        <v>0</v>
      </c>
      <c r="Y10" s="668">
        <v>0</v>
      </c>
      <c r="Z10" s="668">
        <v>0</v>
      </c>
      <c r="AA10" s="701">
        <v>0</v>
      </c>
    </row>
    <row r="11" spans="1:27">
      <c r="A11" s="478" t="s">
        <v>576</v>
      </c>
      <c r="B11" s="479" t="s">
        <v>577</v>
      </c>
      <c r="C11" s="704">
        <v>117816397.49680001</v>
      </c>
      <c r="D11" s="668">
        <v>91070919.533299997</v>
      </c>
      <c r="E11" s="668">
        <v>0</v>
      </c>
      <c r="F11" s="668">
        <v>1833565.1174999999</v>
      </c>
      <c r="G11" s="668">
        <v>0</v>
      </c>
      <c r="H11" s="668">
        <v>12737625.382099999</v>
      </c>
      <c r="I11" s="668">
        <v>5161750.0324999997</v>
      </c>
      <c r="J11" s="668">
        <v>6711931.3512000004</v>
      </c>
      <c r="K11" s="668">
        <v>0</v>
      </c>
      <c r="L11" s="668">
        <v>14007852.5814</v>
      </c>
      <c r="M11" s="668">
        <v>410328.82829999999</v>
      </c>
      <c r="N11" s="668">
        <v>133279.18</v>
      </c>
      <c r="O11" s="668">
        <v>1091048.2128999999</v>
      </c>
      <c r="P11" s="668">
        <v>3800709.0992000001</v>
      </c>
      <c r="Q11" s="668">
        <v>5387577.8990000002</v>
      </c>
      <c r="R11" s="668">
        <v>2309508.4468999999</v>
      </c>
      <c r="S11" s="668">
        <v>0</v>
      </c>
      <c r="T11" s="668">
        <v>0</v>
      </c>
      <c r="U11" s="668">
        <v>0</v>
      </c>
      <c r="V11" s="668">
        <v>0</v>
      </c>
      <c r="W11" s="668">
        <v>0</v>
      </c>
      <c r="X11" s="668">
        <v>0</v>
      </c>
      <c r="Y11" s="668">
        <v>0</v>
      </c>
      <c r="Z11" s="668">
        <v>0</v>
      </c>
      <c r="AA11" s="701">
        <v>0</v>
      </c>
    </row>
    <row r="12" spans="1:27">
      <c r="A12" s="478" t="s">
        <v>578</v>
      </c>
      <c r="B12" s="479" t="s">
        <v>579</v>
      </c>
      <c r="C12" s="704">
        <v>13728682.2543</v>
      </c>
      <c r="D12" s="668">
        <v>6725264.0691999998</v>
      </c>
      <c r="E12" s="668">
        <v>0</v>
      </c>
      <c r="F12" s="668">
        <v>0</v>
      </c>
      <c r="G12" s="668">
        <v>0</v>
      </c>
      <c r="H12" s="668">
        <v>0</v>
      </c>
      <c r="I12" s="668">
        <v>0</v>
      </c>
      <c r="J12" s="668">
        <v>0</v>
      </c>
      <c r="K12" s="668">
        <v>0</v>
      </c>
      <c r="L12" s="668">
        <v>7003418.1851000004</v>
      </c>
      <c r="M12" s="668">
        <v>0</v>
      </c>
      <c r="N12" s="668">
        <v>0</v>
      </c>
      <c r="O12" s="668">
        <v>0</v>
      </c>
      <c r="P12" s="668">
        <v>2407050.2666000002</v>
      </c>
      <c r="Q12" s="668">
        <v>4596367.9184999997</v>
      </c>
      <c r="R12" s="668">
        <v>0</v>
      </c>
      <c r="S12" s="668">
        <v>0</v>
      </c>
      <c r="T12" s="668">
        <v>0</v>
      </c>
      <c r="U12" s="668">
        <v>0</v>
      </c>
      <c r="V12" s="668">
        <v>0</v>
      </c>
      <c r="W12" s="668">
        <v>0</v>
      </c>
      <c r="X12" s="668">
        <v>0</v>
      </c>
      <c r="Y12" s="668">
        <v>0</v>
      </c>
      <c r="Z12" s="668">
        <v>0</v>
      </c>
      <c r="AA12" s="701">
        <v>0</v>
      </c>
    </row>
    <row r="13" spans="1:27">
      <c r="A13" s="478" t="s">
        <v>580</v>
      </c>
      <c r="B13" s="479" t="s">
        <v>581</v>
      </c>
      <c r="C13" s="704">
        <v>11208649.840399999</v>
      </c>
      <c r="D13" s="668">
        <v>2190365.642</v>
      </c>
      <c r="E13" s="668">
        <v>1141712.6875</v>
      </c>
      <c r="F13" s="668">
        <v>0</v>
      </c>
      <c r="G13" s="668">
        <v>0</v>
      </c>
      <c r="H13" s="668">
        <v>233459.85819999999</v>
      </c>
      <c r="I13" s="668">
        <v>0</v>
      </c>
      <c r="J13" s="668">
        <v>233459.85819999999</v>
      </c>
      <c r="K13" s="668">
        <v>0</v>
      </c>
      <c r="L13" s="668">
        <v>8784824.3401999995</v>
      </c>
      <c r="M13" s="668">
        <v>0</v>
      </c>
      <c r="N13" s="668">
        <v>0</v>
      </c>
      <c r="O13" s="668">
        <v>0</v>
      </c>
      <c r="P13" s="668">
        <v>0</v>
      </c>
      <c r="Q13" s="668">
        <v>4527009.2022000002</v>
      </c>
      <c r="R13" s="668">
        <v>4257815.1380000003</v>
      </c>
      <c r="S13" s="668">
        <v>0</v>
      </c>
      <c r="T13" s="668">
        <v>0</v>
      </c>
      <c r="U13" s="668">
        <v>0</v>
      </c>
      <c r="V13" s="668">
        <v>0</v>
      </c>
      <c r="W13" s="668">
        <v>0</v>
      </c>
      <c r="X13" s="668">
        <v>0</v>
      </c>
      <c r="Y13" s="668">
        <v>0</v>
      </c>
      <c r="Z13" s="668">
        <v>0</v>
      </c>
      <c r="AA13" s="701">
        <v>0</v>
      </c>
    </row>
    <row r="14" spans="1:27">
      <c r="A14" s="478" t="s">
        <v>582</v>
      </c>
      <c r="B14" s="479" t="s">
        <v>583</v>
      </c>
      <c r="C14" s="704">
        <v>35780071.509199999</v>
      </c>
      <c r="D14" s="668">
        <v>32846771.272599999</v>
      </c>
      <c r="E14" s="668">
        <v>1317586.926</v>
      </c>
      <c r="F14" s="668">
        <v>0</v>
      </c>
      <c r="G14" s="668">
        <v>0</v>
      </c>
      <c r="H14" s="668">
        <v>0</v>
      </c>
      <c r="I14" s="668">
        <v>0</v>
      </c>
      <c r="J14" s="668">
        <v>0</v>
      </c>
      <c r="K14" s="668">
        <v>0</v>
      </c>
      <c r="L14" s="668">
        <v>605397.75300000003</v>
      </c>
      <c r="M14" s="668">
        <v>0</v>
      </c>
      <c r="N14" s="668">
        <v>540896.09279999998</v>
      </c>
      <c r="O14" s="668">
        <v>0</v>
      </c>
      <c r="P14" s="668">
        <v>0</v>
      </c>
      <c r="Q14" s="668">
        <v>0</v>
      </c>
      <c r="R14" s="668">
        <v>0</v>
      </c>
      <c r="S14" s="668">
        <v>0</v>
      </c>
      <c r="T14" s="668">
        <v>2327902.4835999999</v>
      </c>
      <c r="U14" s="668">
        <v>0</v>
      </c>
      <c r="V14" s="668">
        <v>0</v>
      </c>
      <c r="W14" s="668">
        <v>2327902.4835999999</v>
      </c>
      <c r="X14" s="668">
        <v>0</v>
      </c>
      <c r="Y14" s="668">
        <v>0</v>
      </c>
      <c r="Z14" s="668">
        <v>0</v>
      </c>
      <c r="AA14" s="701">
        <v>0</v>
      </c>
    </row>
    <row r="15" spans="1:27">
      <c r="A15" s="477">
        <v>1.2</v>
      </c>
      <c r="B15" s="475" t="s">
        <v>896</v>
      </c>
      <c r="C15" s="702">
        <v>9920712.8189000003</v>
      </c>
      <c r="D15" s="668">
        <v>1770747.8744999999</v>
      </c>
      <c r="E15" s="668">
        <v>80120.611199999999</v>
      </c>
      <c r="F15" s="668">
        <v>9186.5920999999998</v>
      </c>
      <c r="G15" s="668">
        <v>0</v>
      </c>
      <c r="H15" s="668">
        <v>67861.770799999998</v>
      </c>
      <c r="I15" s="668">
        <v>36841.454100000003</v>
      </c>
      <c r="J15" s="668">
        <v>24602.903900000001</v>
      </c>
      <c r="K15" s="668">
        <v>0</v>
      </c>
      <c r="L15" s="668">
        <v>6707496.3008000003</v>
      </c>
      <c r="M15" s="668">
        <v>40794.352400000003</v>
      </c>
      <c r="N15" s="668">
        <v>390788.52010000002</v>
      </c>
      <c r="O15" s="668">
        <v>108150.79309999989</v>
      </c>
      <c r="P15" s="668">
        <v>1095170.997</v>
      </c>
      <c r="Q15" s="668">
        <v>3825906.5617</v>
      </c>
      <c r="R15" s="668">
        <v>1132510.3333000001</v>
      </c>
      <c r="S15" s="668">
        <v>0</v>
      </c>
      <c r="T15" s="668">
        <v>1374606.8728</v>
      </c>
      <c r="U15" s="668">
        <v>0</v>
      </c>
      <c r="V15" s="668">
        <v>0</v>
      </c>
      <c r="W15" s="668">
        <v>1374606.8728</v>
      </c>
      <c r="X15" s="668">
        <v>0</v>
      </c>
      <c r="Y15" s="668">
        <v>0</v>
      </c>
      <c r="Z15" s="668">
        <v>0</v>
      </c>
      <c r="AA15" s="701">
        <v>0</v>
      </c>
    </row>
    <row r="16" spans="1:27">
      <c r="A16" s="476">
        <v>1.3</v>
      </c>
      <c r="B16" s="475" t="s">
        <v>584</v>
      </c>
      <c r="C16" s="705" t="s">
        <v>989</v>
      </c>
      <c r="D16" s="706" t="s">
        <v>989</v>
      </c>
      <c r="E16" s="706" t="s">
        <v>989</v>
      </c>
      <c r="F16" s="706" t="s">
        <v>989</v>
      </c>
      <c r="G16" s="706" t="s">
        <v>989</v>
      </c>
      <c r="H16" s="706" t="s">
        <v>989</v>
      </c>
      <c r="I16" s="706" t="s">
        <v>989</v>
      </c>
      <c r="J16" s="706" t="s">
        <v>989</v>
      </c>
      <c r="K16" s="706" t="s">
        <v>989</v>
      </c>
      <c r="L16" s="706" t="s">
        <v>989</v>
      </c>
      <c r="M16" s="706" t="s">
        <v>989</v>
      </c>
      <c r="N16" s="706" t="s">
        <v>989</v>
      </c>
      <c r="O16" s="706" t="s">
        <v>989</v>
      </c>
      <c r="P16" s="706" t="s">
        <v>989</v>
      </c>
      <c r="Q16" s="706" t="s">
        <v>989</v>
      </c>
      <c r="R16" s="706" t="s">
        <v>989</v>
      </c>
      <c r="S16" s="706" t="s">
        <v>989</v>
      </c>
      <c r="T16" s="706" t="s">
        <v>989</v>
      </c>
      <c r="U16" s="706" t="s">
        <v>989</v>
      </c>
      <c r="V16" s="706" t="s">
        <v>989</v>
      </c>
      <c r="W16" s="706" t="s">
        <v>989</v>
      </c>
      <c r="X16" s="706" t="s">
        <v>989</v>
      </c>
      <c r="Y16" s="706" t="s">
        <v>989</v>
      </c>
      <c r="Z16" s="706" t="s">
        <v>989</v>
      </c>
      <c r="AA16" s="707" t="s">
        <v>989</v>
      </c>
    </row>
    <row r="17" spans="1:27" ht="24">
      <c r="A17" s="472" t="s">
        <v>585</v>
      </c>
      <c r="B17" s="474" t="s">
        <v>586</v>
      </c>
      <c r="C17" s="708">
        <v>179913980.36590001</v>
      </c>
      <c r="D17" s="668">
        <v>134279254.55050001</v>
      </c>
      <c r="E17" s="668">
        <v>1721300.2919999999</v>
      </c>
      <c r="F17" s="668">
        <v>1833565.1174999999</v>
      </c>
      <c r="G17" s="668">
        <v>0</v>
      </c>
      <c r="H17" s="668">
        <v>12765877.8047</v>
      </c>
      <c r="I17" s="668">
        <v>5153039.7992000002</v>
      </c>
      <c r="J17" s="668">
        <v>6750257.8777999999</v>
      </c>
      <c r="K17" s="668">
        <v>0</v>
      </c>
      <c r="L17" s="668">
        <v>29923034.956599999</v>
      </c>
      <c r="M17" s="668">
        <v>407943.52360000001</v>
      </c>
      <c r="N17" s="668">
        <v>660609.43059999996</v>
      </c>
      <c r="O17" s="668">
        <v>3295218.0954999998</v>
      </c>
      <c r="P17" s="668">
        <v>5923178.6369000003</v>
      </c>
      <c r="Q17" s="668">
        <v>13129429.783</v>
      </c>
      <c r="R17" s="668">
        <v>5574516.9100000001</v>
      </c>
      <c r="S17" s="668">
        <v>0</v>
      </c>
      <c r="T17" s="668">
        <v>2267510.2999999998</v>
      </c>
      <c r="U17" s="668">
        <v>0</v>
      </c>
      <c r="V17" s="668">
        <v>0</v>
      </c>
      <c r="W17" s="668">
        <v>2267510.2999999998</v>
      </c>
      <c r="X17" s="668">
        <v>0</v>
      </c>
      <c r="Y17" s="668">
        <v>0</v>
      </c>
      <c r="Z17" s="668">
        <v>0</v>
      </c>
      <c r="AA17" s="701">
        <v>0</v>
      </c>
    </row>
    <row r="18" spans="1:27" ht="24">
      <c r="A18" s="470" t="s">
        <v>587</v>
      </c>
      <c r="B18" s="471" t="s">
        <v>588</v>
      </c>
      <c r="C18" s="709">
        <v>168985813.83340001</v>
      </c>
      <c r="D18" s="668">
        <v>123351088.01800001</v>
      </c>
      <c r="E18" s="668">
        <v>1721300.2919999999</v>
      </c>
      <c r="F18" s="668">
        <v>1833565.1174999999</v>
      </c>
      <c r="G18" s="668">
        <v>0</v>
      </c>
      <c r="H18" s="668">
        <v>12765877.8047</v>
      </c>
      <c r="I18" s="668">
        <v>5153039.7992000002</v>
      </c>
      <c r="J18" s="668">
        <v>6750257.8777999999</v>
      </c>
      <c r="K18" s="668">
        <v>0</v>
      </c>
      <c r="L18" s="668">
        <v>29923034.956599999</v>
      </c>
      <c r="M18" s="668">
        <v>407943.52360000001</v>
      </c>
      <c r="N18" s="668">
        <v>660609.43059999996</v>
      </c>
      <c r="O18" s="668">
        <v>3295218.0954999998</v>
      </c>
      <c r="P18" s="668">
        <v>5923178.6369000003</v>
      </c>
      <c r="Q18" s="668">
        <v>13129429.783</v>
      </c>
      <c r="R18" s="668">
        <v>5574516.9100000001</v>
      </c>
      <c r="S18" s="668">
        <v>0</v>
      </c>
      <c r="T18" s="668">
        <v>2267510.2999999998</v>
      </c>
      <c r="U18" s="668">
        <v>0</v>
      </c>
      <c r="V18" s="668">
        <v>0</v>
      </c>
      <c r="W18" s="668">
        <v>2267510.2999999998</v>
      </c>
      <c r="X18" s="668">
        <v>0</v>
      </c>
      <c r="Y18" s="668">
        <v>0</v>
      </c>
      <c r="Z18" s="668">
        <v>0</v>
      </c>
      <c r="AA18" s="701">
        <v>0</v>
      </c>
    </row>
    <row r="19" spans="1:27">
      <c r="A19" s="472" t="s">
        <v>589</v>
      </c>
      <c r="B19" s="473" t="s">
        <v>590</v>
      </c>
      <c r="C19" s="710">
        <v>211918192.00659999</v>
      </c>
      <c r="D19" s="668">
        <v>168209160.59810001</v>
      </c>
      <c r="E19" s="668">
        <v>138704.27340000001</v>
      </c>
      <c r="F19" s="668">
        <v>1847316.3130000001</v>
      </c>
      <c r="G19" s="668">
        <v>0</v>
      </c>
      <c r="H19" s="668">
        <v>24448334.968499999</v>
      </c>
      <c r="I19" s="668">
        <v>13854182.6457</v>
      </c>
      <c r="J19" s="668">
        <v>8559998.9355999995</v>
      </c>
      <c r="K19" s="668">
        <v>0</v>
      </c>
      <c r="L19" s="668">
        <v>19260696.440000001</v>
      </c>
      <c r="M19" s="668">
        <v>457059.03100000002</v>
      </c>
      <c r="N19" s="668">
        <v>306275.89049999998</v>
      </c>
      <c r="O19" s="668">
        <v>826684.21010000003</v>
      </c>
      <c r="P19" s="668">
        <v>8907274.2514999993</v>
      </c>
      <c r="Q19" s="668">
        <v>5877519.3244000003</v>
      </c>
      <c r="R19" s="668">
        <v>1956130.5839</v>
      </c>
      <c r="S19" s="668">
        <v>0</v>
      </c>
      <c r="T19" s="668">
        <v>0</v>
      </c>
      <c r="U19" s="668">
        <v>0</v>
      </c>
      <c r="V19" s="668">
        <v>0</v>
      </c>
      <c r="W19" s="668">
        <v>0</v>
      </c>
      <c r="X19" s="668">
        <v>0</v>
      </c>
      <c r="Y19" s="668">
        <v>0</v>
      </c>
      <c r="Z19" s="668">
        <v>0</v>
      </c>
      <c r="AA19" s="701">
        <v>0</v>
      </c>
    </row>
    <row r="20" spans="1:27">
      <c r="A20" s="470" t="s">
        <v>591</v>
      </c>
      <c r="B20" s="471" t="s">
        <v>592</v>
      </c>
      <c r="C20" s="709">
        <v>191207991.17640001</v>
      </c>
      <c r="D20" s="668">
        <v>147948635.87630001</v>
      </c>
      <c r="E20" s="668">
        <v>138704.27340000001</v>
      </c>
      <c r="F20" s="668">
        <v>1847316.3130000001</v>
      </c>
      <c r="G20" s="668">
        <v>0</v>
      </c>
      <c r="H20" s="668">
        <v>24448332.290199999</v>
      </c>
      <c r="I20" s="668">
        <v>13854179.967399999</v>
      </c>
      <c r="J20" s="668">
        <v>8559998.9355999995</v>
      </c>
      <c r="K20" s="668">
        <v>0</v>
      </c>
      <c r="L20" s="668">
        <v>18811023.0099</v>
      </c>
      <c r="M20" s="668">
        <v>366833.86660000001</v>
      </c>
      <c r="N20" s="668">
        <v>110639.48330000001</v>
      </c>
      <c r="O20" s="668">
        <v>826684.21010000003</v>
      </c>
      <c r="P20" s="668">
        <v>8907274.2514999993</v>
      </c>
      <c r="Q20" s="668">
        <v>5877519.3244000003</v>
      </c>
      <c r="R20" s="668">
        <v>1956130.5839</v>
      </c>
      <c r="S20" s="668">
        <v>0</v>
      </c>
      <c r="T20" s="668">
        <v>0</v>
      </c>
      <c r="U20" s="668">
        <v>0</v>
      </c>
      <c r="V20" s="668">
        <v>0</v>
      </c>
      <c r="W20" s="668">
        <v>0</v>
      </c>
      <c r="X20" s="668">
        <v>0</v>
      </c>
      <c r="Y20" s="668">
        <v>0</v>
      </c>
      <c r="Z20" s="668">
        <v>0</v>
      </c>
      <c r="AA20" s="701">
        <v>0</v>
      </c>
    </row>
    <row r="21" spans="1:27">
      <c r="A21" s="469">
        <v>1.4</v>
      </c>
      <c r="B21" s="468" t="s">
        <v>681</v>
      </c>
      <c r="C21" s="711" t="s">
        <v>989</v>
      </c>
      <c r="D21" s="668" t="s">
        <v>989</v>
      </c>
      <c r="E21" s="668" t="s">
        <v>989</v>
      </c>
      <c r="F21" s="668" t="s">
        <v>989</v>
      </c>
      <c r="G21" s="668" t="s">
        <v>989</v>
      </c>
      <c r="H21" s="668" t="s">
        <v>989</v>
      </c>
      <c r="I21" s="668" t="s">
        <v>989</v>
      </c>
      <c r="J21" s="668" t="s">
        <v>989</v>
      </c>
      <c r="K21" s="668" t="s">
        <v>989</v>
      </c>
      <c r="L21" s="668" t="s">
        <v>989</v>
      </c>
      <c r="M21" s="668" t="s">
        <v>989</v>
      </c>
      <c r="N21" s="668" t="s">
        <v>989</v>
      </c>
      <c r="O21" s="668" t="s">
        <v>989</v>
      </c>
      <c r="P21" s="668" t="s">
        <v>989</v>
      </c>
      <c r="Q21" s="668" t="s">
        <v>989</v>
      </c>
      <c r="R21" s="668" t="s">
        <v>989</v>
      </c>
      <c r="S21" s="668" t="s">
        <v>989</v>
      </c>
      <c r="T21" s="668" t="s">
        <v>989</v>
      </c>
      <c r="U21" s="668" t="s">
        <v>989</v>
      </c>
      <c r="V21" s="668" t="s">
        <v>989</v>
      </c>
      <c r="W21" s="668" t="s">
        <v>989</v>
      </c>
      <c r="X21" s="668" t="s">
        <v>989</v>
      </c>
      <c r="Y21" s="668" t="s">
        <v>989</v>
      </c>
      <c r="Z21" s="668" t="s">
        <v>989</v>
      </c>
      <c r="AA21" s="701" t="s">
        <v>989</v>
      </c>
    </row>
    <row r="22" spans="1:27" ht="12.6" thickBot="1">
      <c r="A22" s="467">
        <v>1.5</v>
      </c>
      <c r="B22" s="466" t="s">
        <v>682</v>
      </c>
      <c r="C22" s="712">
        <v>568349.84539999999</v>
      </c>
      <c r="D22" s="713">
        <v>568349.84539999999</v>
      </c>
      <c r="E22" s="713">
        <v>0</v>
      </c>
      <c r="F22" s="713">
        <v>0</v>
      </c>
      <c r="G22" s="713">
        <v>0</v>
      </c>
      <c r="H22" s="713">
        <v>0</v>
      </c>
      <c r="I22" s="713">
        <v>0</v>
      </c>
      <c r="J22" s="713">
        <v>0</v>
      </c>
      <c r="K22" s="713">
        <v>0</v>
      </c>
      <c r="L22" s="713">
        <v>0</v>
      </c>
      <c r="M22" s="713">
        <v>0</v>
      </c>
      <c r="N22" s="713">
        <v>0</v>
      </c>
      <c r="O22" s="713">
        <v>0</v>
      </c>
      <c r="P22" s="713">
        <v>0</v>
      </c>
      <c r="Q22" s="713">
        <v>0</v>
      </c>
      <c r="R22" s="713">
        <v>0</v>
      </c>
      <c r="S22" s="713">
        <v>0</v>
      </c>
      <c r="T22" s="713">
        <v>0</v>
      </c>
      <c r="U22" s="713">
        <v>0</v>
      </c>
      <c r="V22" s="713">
        <v>0</v>
      </c>
      <c r="W22" s="713">
        <v>0</v>
      </c>
      <c r="X22" s="713">
        <v>0</v>
      </c>
      <c r="Y22" s="713">
        <v>0</v>
      </c>
      <c r="Z22" s="713">
        <v>0</v>
      </c>
      <c r="AA22" s="714">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paperSize="9" scale="1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A7" zoomScaleNormal="100" workbookViewId="0"/>
  </sheetViews>
  <sheetFormatPr defaultColWidth="9.21875" defaultRowHeight="12"/>
  <cols>
    <col min="1" max="1" width="11.77734375" style="441" bestFit="1" customWidth="1"/>
    <col min="2" max="2" width="93.44140625" style="441" customWidth="1"/>
    <col min="3" max="3" width="14.6640625" style="441" customWidth="1"/>
    <col min="4" max="5" width="16.109375" style="441" customWidth="1"/>
    <col min="6" max="6" width="16.109375" style="457" customWidth="1"/>
    <col min="7" max="7" width="25.21875" style="457" customWidth="1"/>
    <col min="8" max="8" width="16.109375" style="441" customWidth="1"/>
    <col min="9" max="11" width="16.109375" style="457" customWidth="1"/>
    <col min="12" max="12" width="26.21875" style="457" customWidth="1"/>
    <col min="13" max="16384" width="9.21875" style="441"/>
  </cols>
  <sheetData>
    <row r="1" spans="1:12" ht="13.8">
      <c r="A1" s="383" t="s">
        <v>109</v>
      </c>
      <c r="B1" s="303" t="str">
        <f>Info!C2</f>
        <v>სს " პაშა ბანკი საქართველო"</v>
      </c>
      <c r="F1" s="441"/>
      <c r="G1" s="441"/>
      <c r="I1" s="441"/>
      <c r="J1" s="441"/>
      <c r="K1" s="441"/>
      <c r="L1" s="441"/>
    </row>
    <row r="2" spans="1:12">
      <c r="A2" s="383" t="s">
        <v>110</v>
      </c>
      <c r="B2" s="386">
        <f>'1. key ratios'!B2</f>
        <v>45199</v>
      </c>
      <c r="F2" s="441"/>
      <c r="G2" s="441"/>
      <c r="I2" s="441"/>
      <c r="J2" s="441"/>
      <c r="K2" s="441"/>
      <c r="L2" s="441"/>
    </row>
    <row r="3" spans="1:12">
      <c r="A3" s="385" t="s">
        <v>595</v>
      </c>
      <c r="F3" s="441"/>
      <c r="G3" s="441"/>
      <c r="I3" s="441"/>
      <c r="J3" s="441"/>
      <c r="K3" s="441"/>
      <c r="L3" s="441"/>
    </row>
    <row r="4" spans="1:12">
      <c r="F4" s="441"/>
      <c r="G4" s="441"/>
      <c r="I4" s="441"/>
      <c r="J4" s="441"/>
      <c r="K4" s="441"/>
      <c r="L4" s="441"/>
    </row>
    <row r="5" spans="1:12" ht="37.5" customHeight="1">
      <c r="A5" s="821" t="s">
        <v>596</v>
      </c>
      <c r="B5" s="822"/>
      <c r="C5" s="870" t="s">
        <v>597</v>
      </c>
      <c r="D5" s="871"/>
      <c r="E5" s="871"/>
      <c r="F5" s="871"/>
      <c r="G5" s="871"/>
      <c r="H5" s="870" t="s">
        <v>908</v>
      </c>
      <c r="I5" s="872"/>
      <c r="J5" s="872"/>
      <c r="K5" s="872"/>
      <c r="L5" s="873"/>
    </row>
    <row r="6" spans="1:12" ht="39.450000000000003" customHeight="1">
      <c r="A6" s="825"/>
      <c r="B6" s="826"/>
      <c r="C6" s="390"/>
      <c r="D6" s="439" t="s">
        <v>893</v>
      </c>
      <c r="E6" s="439" t="s">
        <v>892</v>
      </c>
      <c r="F6" s="439" t="s">
        <v>891</v>
      </c>
      <c r="G6" s="439" t="s">
        <v>890</v>
      </c>
      <c r="H6" s="458"/>
      <c r="I6" s="439" t="s">
        <v>893</v>
      </c>
      <c r="J6" s="439" t="s">
        <v>892</v>
      </c>
      <c r="K6" s="439" t="s">
        <v>891</v>
      </c>
      <c r="L6" s="439" t="s">
        <v>890</v>
      </c>
    </row>
    <row r="7" spans="1:12">
      <c r="A7" s="431">
        <v>1</v>
      </c>
      <c r="B7" s="444" t="s">
        <v>519</v>
      </c>
      <c r="C7" s="715">
        <v>7688097.5579000004</v>
      </c>
      <c r="D7" s="668">
        <v>6976318.1399999997</v>
      </c>
      <c r="E7" s="668">
        <v>251301.27</v>
      </c>
      <c r="F7" s="716">
        <v>460478.14789999998</v>
      </c>
      <c r="G7" s="716">
        <v>0</v>
      </c>
      <c r="H7" s="668">
        <v>779153.4739999997</v>
      </c>
      <c r="I7" s="716">
        <v>278077.6807999998</v>
      </c>
      <c r="J7" s="716">
        <v>36555.825299999997</v>
      </c>
      <c r="K7" s="716">
        <v>464519.96789999993</v>
      </c>
      <c r="L7" s="716">
        <v>0</v>
      </c>
    </row>
    <row r="8" spans="1:12">
      <c r="A8" s="431">
        <v>2</v>
      </c>
      <c r="B8" s="444" t="s">
        <v>520</v>
      </c>
      <c r="C8" s="715">
        <v>64644296.763999999</v>
      </c>
      <c r="D8" s="668">
        <v>64310799.578299999</v>
      </c>
      <c r="E8" s="668">
        <v>30348.84</v>
      </c>
      <c r="F8" s="716">
        <v>303148.34570000001</v>
      </c>
      <c r="G8" s="716">
        <v>0</v>
      </c>
      <c r="H8" s="668">
        <v>1587438.0589000017</v>
      </c>
      <c r="I8" s="716">
        <v>1276207.7474000016</v>
      </c>
      <c r="J8" s="716">
        <v>6913.6057999999994</v>
      </c>
      <c r="K8" s="716">
        <v>304316.70570000005</v>
      </c>
      <c r="L8" s="716">
        <v>0</v>
      </c>
    </row>
    <row r="9" spans="1:12">
      <c r="A9" s="431">
        <v>3</v>
      </c>
      <c r="B9" s="444" t="s">
        <v>869</v>
      </c>
      <c r="C9" s="715">
        <v>18627.77</v>
      </c>
      <c r="D9" s="668">
        <v>18627.77</v>
      </c>
      <c r="E9" s="668">
        <v>0</v>
      </c>
      <c r="F9" s="717">
        <v>0</v>
      </c>
      <c r="G9" s="717">
        <v>0</v>
      </c>
      <c r="H9" s="668">
        <v>990.53190000000006</v>
      </c>
      <c r="I9" s="716">
        <v>990.53190000000006</v>
      </c>
      <c r="J9" s="716">
        <v>0</v>
      </c>
      <c r="K9" s="716">
        <v>0</v>
      </c>
      <c r="L9" s="717">
        <v>0</v>
      </c>
    </row>
    <row r="10" spans="1:12">
      <c r="A10" s="431">
        <v>4</v>
      </c>
      <c r="B10" s="444" t="s">
        <v>521</v>
      </c>
      <c r="C10" s="715">
        <v>26195829.577799998</v>
      </c>
      <c r="D10" s="668">
        <v>16421699.0153</v>
      </c>
      <c r="E10" s="668">
        <v>6945346.4282</v>
      </c>
      <c r="F10" s="717">
        <v>2828784.1343</v>
      </c>
      <c r="G10" s="717">
        <v>0</v>
      </c>
      <c r="H10" s="668">
        <v>379448.81319999998</v>
      </c>
      <c r="I10" s="716">
        <v>80006.870500000005</v>
      </c>
      <c r="J10" s="716">
        <v>24602.903900000001</v>
      </c>
      <c r="K10" s="716">
        <v>274839.03879999998</v>
      </c>
      <c r="L10" s="717">
        <v>0</v>
      </c>
    </row>
    <row r="11" spans="1:12">
      <c r="A11" s="431">
        <v>5</v>
      </c>
      <c r="B11" s="444" t="s">
        <v>522</v>
      </c>
      <c r="C11" s="715">
        <v>40689469.995099999</v>
      </c>
      <c r="D11" s="668">
        <v>39829801.741999999</v>
      </c>
      <c r="E11" s="668">
        <v>859668.25309999997</v>
      </c>
      <c r="F11" s="717">
        <v>0</v>
      </c>
      <c r="G11" s="717">
        <v>0</v>
      </c>
      <c r="H11" s="668">
        <v>77062.421799999996</v>
      </c>
      <c r="I11" s="716">
        <v>70663.2255</v>
      </c>
      <c r="J11" s="716">
        <v>6399.1962999999996</v>
      </c>
      <c r="K11" s="716">
        <v>0</v>
      </c>
      <c r="L11" s="717">
        <v>0</v>
      </c>
    </row>
    <row r="12" spans="1:12">
      <c r="A12" s="431">
        <v>6</v>
      </c>
      <c r="B12" s="444" t="s">
        <v>523</v>
      </c>
      <c r="C12" s="715">
        <v>2049850.1394</v>
      </c>
      <c r="D12" s="668">
        <v>1497017.5433</v>
      </c>
      <c r="E12" s="668">
        <v>71769.56</v>
      </c>
      <c r="F12" s="717">
        <v>481063.03610000003</v>
      </c>
      <c r="G12" s="717">
        <v>0</v>
      </c>
      <c r="H12" s="668">
        <v>287731.41679999995</v>
      </c>
      <c r="I12" s="716">
        <v>34807.333700000003</v>
      </c>
      <c r="J12" s="716">
        <v>12112.0067</v>
      </c>
      <c r="K12" s="716">
        <v>240812.07639999993</v>
      </c>
      <c r="L12" s="717">
        <v>0</v>
      </c>
    </row>
    <row r="13" spans="1:12">
      <c r="A13" s="431">
        <v>7</v>
      </c>
      <c r="B13" s="444" t="s">
        <v>524</v>
      </c>
      <c r="C13" s="715">
        <v>749076.12250000006</v>
      </c>
      <c r="D13" s="668">
        <v>726156.08539999998</v>
      </c>
      <c r="E13" s="668">
        <v>9114.7800000000007</v>
      </c>
      <c r="F13" s="717">
        <v>13805.257100000001</v>
      </c>
      <c r="G13" s="717">
        <v>0</v>
      </c>
      <c r="H13" s="668">
        <v>25300.775600000001</v>
      </c>
      <c r="I13" s="716">
        <v>6756.7290999999996</v>
      </c>
      <c r="J13" s="716">
        <v>1926.9065000000001</v>
      </c>
      <c r="K13" s="716">
        <v>16617.14</v>
      </c>
      <c r="L13" s="717">
        <v>0</v>
      </c>
    </row>
    <row r="14" spans="1:12">
      <c r="A14" s="431">
        <v>8</v>
      </c>
      <c r="B14" s="444" t="s">
        <v>525</v>
      </c>
      <c r="C14" s="715">
        <v>5814458.8295</v>
      </c>
      <c r="D14" s="668">
        <v>4040669.9328999999</v>
      </c>
      <c r="E14" s="668">
        <v>10941.08</v>
      </c>
      <c r="F14" s="717">
        <v>1762847.8166</v>
      </c>
      <c r="G14" s="717">
        <v>0</v>
      </c>
      <c r="H14" s="668">
        <v>243912.50559999997</v>
      </c>
      <c r="I14" s="716">
        <v>20641.153799999996</v>
      </c>
      <c r="J14" s="716">
        <v>2856.2736000000004</v>
      </c>
      <c r="K14" s="716">
        <v>220415.07819999999</v>
      </c>
      <c r="L14" s="717">
        <v>0</v>
      </c>
    </row>
    <row r="15" spans="1:12">
      <c r="A15" s="431">
        <v>9</v>
      </c>
      <c r="B15" s="444" t="s">
        <v>526</v>
      </c>
      <c r="C15" s="715">
        <v>704498.40049999999</v>
      </c>
      <c r="D15" s="668">
        <v>561814.85649999999</v>
      </c>
      <c r="E15" s="668">
        <v>5815.71</v>
      </c>
      <c r="F15" s="717">
        <v>136867.834</v>
      </c>
      <c r="G15" s="717">
        <v>0</v>
      </c>
      <c r="H15" s="668">
        <v>28362.077700000002</v>
      </c>
      <c r="I15" s="716">
        <v>10145.100700000003</v>
      </c>
      <c r="J15" s="716">
        <v>1796.5209999999997</v>
      </c>
      <c r="K15" s="716">
        <v>16420.455999999998</v>
      </c>
      <c r="L15" s="717">
        <v>0</v>
      </c>
    </row>
    <row r="16" spans="1:12">
      <c r="A16" s="431">
        <v>10</v>
      </c>
      <c r="B16" s="444" t="s">
        <v>527</v>
      </c>
      <c r="C16" s="715">
        <v>214225.06479999999</v>
      </c>
      <c r="D16" s="668">
        <v>214225.06479999999</v>
      </c>
      <c r="E16" s="668">
        <v>0</v>
      </c>
      <c r="F16" s="717">
        <v>0</v>
      </c>
      <c r="G16" s="717">
        <v>0</v>
      </c>
      <c r="H16" s="668">
        <v>1436.3035</v>
      </c>
      <c r="I16" s="716">
        <v>1436.3035</v>
      </c>
      <c r="J16" s="716">
        <v>0</v>
      </c>
      <c r="K16" s="716">
        <v>0</v>
      </c>
      <c r="L16" s="717">
        <v>0</v>
      </c>
    </row>
    <row r="17" spans="1:12">
      <c r="A17" s="431">
        <v>11</v>
      </c>
      <c r="B17" s="444" t="s">
        <v>528</v>
      </c>
      <c r="C17" s="715">
        <v>11333759.149800001</v>
      </c>
      <c r="D17" s="668">
        <v>11325501.4298</v>
      </c>
      <c r="E17" s="668">
        <v>2487.92</v>
      </c>
      <c r="F17" s="717">
        <v>5769.8</v>
      </c>
      <c r="G17" s="717">
        <v>0</v>
      </c>
      <c r="H17" s="668">
        <v>108910.79870000003</v>
      </c>
      <c r="I17" s="716">
        <v>101831.75340000002</v>
      </c>
      <c r="J17" s="716">
        <v>1297.9753000000001</v>
      </c>
      <c r="K17" s="716">
        <v>5781.0700000000006</v>
      </c>
      <c r="L17" s="717">
        <v>0</v>
      </c>
    </row>
    <row r="18" spans="1:12">
      <c r="A18" s="431">
        <v>12</v>
      </c>
      <c r="B18" s="444" t="s">
        <v>529</v>
      </c>
      <c r="C18" s="715">
        <v>8478293.4101</v>
      </c>
      <c r="D18" s="668">
        <v>7470371.5345999999</v>
      </c>
      <c r="E18" s="668">
        <v>318394.53999999998</v>
      </c>
      <c r="F18" s="717">
        <v>689527.33550000004</v>
      </c>
      <c r="G18" s="717">
        <v>0</v>
      </c>
      <c r="H18" s="668">
        <v>723565.75619999983</v>
      </c>
      <c r="I18" s="716">
        <v>296467.24039999984</v>
      </c>
      <c r="J18" s="716">
        <v>69480.787799999991</v>
      </c>
      <c r="K18" s="716">
        <v>357617.728</v>
      </c>
      <c r="L18" s="717">
        <v>0</v>
      </c>
    </row>
    <row r="19" spans="1:12">
      <c r="A19" s="431">
        <v>13</v>
      </c>
      <c r="B19" s="444" t="s">
        <v>530</v>
      </c>
      <c r="C19" s="715">
        <v>1626396.4972000001</v>
      </c>
      <c r="D19" s="668">
        <v>1017547.8344000001</v>
      </c>
      <c r="E19" s="668">
        <v>29275.05</v>
      </c>
      <c r="F19" s="717">
        <v>579573.6128</v>
      </c>
      <c r="G19" s="717">
        <v>0</v>
      </c>
      <c r="H19" s="668">
        <v>339433.01209999999</v>
      </c>
      <c r="I19" s="716">
        <v>43764.353599999988</v>
      </c>
      <c r="J19" s="716">
        <v>6652.8247999999985</v>
      </c>
      <c r="K19" s="716">
        <v>289015.83370000002</v>
      </c>
      <c r="L19" s="717">
        <v>0</v>
      </c>
    </row>
    <row r="20" spans="1:12">
      <c r="A20" s="431">
        <v>14</v>
      </c>
      <c r="B20" s="444" t="s">
        <v>531</v>
      </c>
      <c r="C20" s="715">
        <v>26454285.698199999</v>
      </c>
      <c r="D20" s="668">
        <v>7472973.8198999995</v>
      </c>
      <c r="E20" s="668">
        <v>5170771.5925000003</v>
      </c>
      <c r="F20" s="717">
        <v>13810540.285800001</v>
      </c>
      <c r="G20" s="717">
        <v>0</v>
      </c>
      <c r="H20" s="668">
        <v>4295177.4434999991</v>
      </c>
      <c r="I20" s="716">
        <v>156783.1131000001</v>
      </c>
      <c r="J20" s="716">
        <v>39288.239600000001</v>
      </c>
      <c r="K20" s="716">
        <v>4099106.0907999994</v>
      </c>
      <c r="L20" s="717">
        <v>0</v>
      </c>
    </row>
    <row r="21" spans="1:12">
      <c r="A21" s="431">
        <v>15</v>
      </c>
      <c r="B21" s="444" t="s">
        <v>532</v>
      </c>
      <c r="C21" s="715">
        <v>11892029.713400001</v>
      </c>
      <c r="D21" s="668">
        <v>3086327.4537</v>
      </c>
      <c r="E21" s="668">
        <v>23697.22</v>
      </c>
      <c r="F21" s="717">
        <v>8782005.0396999996</v>
      </c>
      <c r="G21" s="717">
        <v>0</v>
      </c>
      <c r="H21" s="668">
        <v>1521153.3905</v>
      </c>
      <c r="I21" s="716">
        <v>36126.328199999989</v>
      </c>
      <c r="J21" s="716">
        <v>4090.2553000000003</v>
      </c>
      <c r="K21" s="716">
        <v>1480936.807</v>
      </c>
      <c r="L21" s="717">
        <v>0</v>
      </c>
    </row>
    <row r="22" spans="1:12">
      <c r="A22" s="431">
        <v>16</v>
      </c>
      <c r="B22" s="444" t="s">
        <v>533</v>
      </c>
      <c r="C22" s="715">
        <v>96308.85</v>
      </c>
      <c r="D22" s="668">
        <v>65558.070000000007</v>
      </c>
      <c r="E22" s="668">
        <v>5962.7</v>
      </c>
      <c r="F22" s="717">
        <v>24788.080000000002</v>
      </c>
      <c r="G22" s="717">
        <v>0</v>
      </c>
      <c r="H22" s="668">
        <v>28495.388999999999</v>
      </c>
      <c r="I22" s="716">
        <v>1653.3748000000003</v>
      </c>
      <c r="J22" s="716">
        <v>1721.8742</v>
      </c>
      <c r="K22" s="716">
        <v>25120.14</v>
      </c>
      <c r="L22" s="717">
        <v>0</v>
      </c>
    </row>
    <row r="23" spans="1:12">
      <c r="A23" s="431">
        <v>17</v>
      </c>
      <c r="B23" s="444" t="s">
        <v>534</v>
      </c>
      <c r="C23" s="715">
        <v>8975924.7671000008</v>
      </c>
      <c r="D23" s="668">
        <v>8970494.2771000005</v>
      </c>
      <c r="E23" s="668">
        <v>4165.79</v>
      </c>
      <c r="F23" s="717">
        <v>1264.7</v>
      </c>
      <c r="G23" s="717">
        <v>0</v>
      </c>
      <c r="H23" s="668">
        <v>68088.9139</v>
      </c>
      <c r="I23" s="716">
        <v>66424.027900000001</v>
      </c>
      <c r="J23" s="716">
        <v>400.18599999999998</v>
      </c>
      <c r="K23" s="716">
        <v>1264.7</v>
      </c>
      <c r="L23" s="717">
        <v>0</v>
      </c>
    </row>
    <row r="24" spans="1:12">
      <c r="A24" s="431">
        <v>18</v>
      </c>
      <c r="B24" s="444" t="s">
        <v>535</v>
      </c>
      <c r="C24" s="715">
        <v>52163582.492799997</v>
      </c>
      <c r="D24" s="668">
        <v>52073989.4428</v>
      </c>
      <c r="E24" s="668">
        <v>21064.21</v>
      </c>
      <c r="F24" s="717">
        <v>68528.84</v>
      </c>
      <c r="G24" s="717">
        <v>0</v>
      </c>
      <c r="H24" s="668">
        <v>756023.14009999996</v>
      </c>
      <c r="I24" s="716">
        <v>683513.17999999993</v>
      </c>
      <c r="J24" s="716">
        <v>3884.8500999999997</v>
      </c>
      <c r="K24" s="716">
        <v>68625.109999999986</v>
      </c>
      <c r="L24" s="717">
        <v>0</v>
      </c>
    </row>
    <row r="25" spans="1:12">
      <c r="A25" s="431">
        <v>19</v>
      </c>
      <c r="B25" s="444" t="s">
        <v>536</v>
      </c>
      <c r="C25" s="715">
        <v>5325125.3575999998</v>
      </c>
      <c r="D25" s="668">
        <v>5315447.7740000002</v>
      </c>
      <c r="E25" s="668">
        <v>3050.01</v>
      </c>
      <c r="F25" s="717">
        <v>6627.5735999999997</v>
      </c>
      <c r="G25" s="717">
        <v>0</v>
      </c>
      <c r="H25" s="668">
        <v>38082.611800000006</v>
      </c>
      <c r="I25" s="716">
        <v>30855.586900000006</v>
      </c>
      <c r="J25" s="716">
        <v>599.45130000000006</v>
      </c>
      <c r="K25" s="716">
        <v>6627.5735999999997</v>
      </c>
      <c r="L25" s="717">
        <v>0</v>
      </c>
    </row>
    <row r="26" spans="1:12">
      <c r="A26" s="431">
        <v>20</v>
      </c>
      <c r="B26" s="444" t="s">
        <v>537</v>
      </c>
      <c r="C26" s="715">
        <v>1587302.73</v>
      </c>
      <c r="D26" s="668">
        <v>1465251.3</v>
      </c>
      <c r="E26" s="668">
        <v>25116.73</v>
      </c>
      <c r="F26" s="717">
        <v>96934.7</v>
      </c>
      <c r="G26" s="717">
        <v>0</v>
      </c>
      <c r="H26" s="668">
        <v>166166.06670000002</v>
      </c>
      <c r="I26" s="716">
        <v>61317.473200000008</v>
      </c>
      <c r="J26" s="716">
        <v>7397.6034999999974</v>
      </c>
      <c r="K26" s="716">
        <v>97450.99</v>
      </c>
      <c r="L26" s="717">
        <v>0</v>
      </c>
    </row>
    <row r="27" spans="1:12">
      <c r="A27" s="431">
        <v>21</v>
      </c>
      <c r="B27" s="444" t="s">
        <v>538</v>
      </c>
      <c r="C27" s="715">
        <v>347501.11989999999</v>
      </c>
      <c r="D27" s="668">
        <v>337433.32</v>
      </c>
      <c r="E27" s="668">
        <v>3323.66</v>
      </c>
      <c r="F27" s="717">
        <v>6744.1399000000001</v>
      </c>
      <c r="G27" s="717">
        <v>0</v>
      </c>
      <c r="H27" s="668">
        <v>23928.511399999996</v>
      </c>
      <c r="I27" s="716">
        <v>16549.140799999997</v>
      </c>
      <c r="J27" s="716">
        <v>634.3107</v>
      </c>
      <c r="K27" s="716">
        <v>6745.0598999999993</v>
      </c>
      <c r="L27" s="717">
        <v>0</v>
      </c>
    </row>
    <row r="28" spans="1:12">
      <c r="A28" s="431">
        <v>22</v>
      </c>
      <c r="B28" s="444" t="s">
        <v>539</v>
      </c>
      <c r="C28" s="715">
        <v>360740.39</v>
      </c>
      <c r="D28" s="668">
        <v>301030.28000000003</v>
      </c>
      <c r="E28" s="668">
        <v>8939.2000000000007</v>
      </c>
      <c r="F28" s="717">
        <v>50770.91</v>
      </c>
      <c r="G28" s="717">
        <v>0</v>
      </c>
      <c r="H28" s="668">
        <v>66718.902600000001</v>
      </c>
      <c r="I28" s="716">
        <v>13315.730300000001</v>
      </c>
      <c r="J28" s="716">
        <v>2049.3323</v>
      </c>
      <c r="K28" s="716">
        <v>51353.84</v>
      </c>
      <c r="L28" s="717">
        <v>0</v>
      </c>
    </row>
    <row r="29" spans="1:12">
      <c r="A29" s="431">
        <v>23</v>
      </c>
      <c r="B29" s="444" t="s">
        <v>540</v>
      </c>
      <c r="C29" s="715">
        <v>11816731.241900001</v>
      </c>
      <c r="D29" s="668">
        <v>8907744.4384000003</v>
      </c>
      <c r="E29" s="668">
        <v>271789.11070000002</v>
      </c>
      <c r="F29" s="717">
        <v>2637197.6927999998</v>
      </c>
      <c r="G29" s="717">
        <v>0</v>
      </c>
      <c r="H29" s="668">
        <v>881930.18909999984</v>
      </c>
      <c r="I29" s="716">
        <v>288335.03809999995</v>
      </c>
      <c r="J29" s="716">
        <v>61532.749599999966</v>
      </c>
      <c r="K29" s="716">
        <v>532062.40139999986</v>
      </c>
      <c r="L29" s="717">
        <v>0</v>
      </c>
    </row>
    <row r="30" spans="1:12">
      <c r="A30" s="431">
        <v>24</v>
      </c>
      <c r="B30" s="444" t="s">
        <v>541</v>
      </c>
      <c r="C30" s="715">
        <v>10421788.632999999</v>
      </c>
      <c r="D30" s="668">
        <v>8088169.3893999998</v>
      </c>
      <c r="E30" s="668">
        <v>0</v>
      </c>
      <c r="F30" s="717">
        <v>5716.7600000002421</v>
      </c>
      <c r="G30" s="717">
        <v>2327902.4835999999</v>
      </c>
      <c r="H30" s="668">
        <v>1443296.2471999999</v>
      </c>
      <c r="I30" s="716">
        <v>62859.784400000004</v>
      </c>
      <c r="J30" s="716">
        <v>0</v>
      </c>
      <c r="K30" s="716">
        <v>5829.5900000000838</v>
      </c>
      <c r="L30" s="717">
        <v>1374606.8728</v>
      </c>
    </row>
    <row r="31" spans="1:12">
      <c r="A31" s="431">
        <v>25</v>
      </c>
      <c r="B31" s="444" t="s">
        <v>542</v>
      </c>
      <c r="C31" s="715">
        <v>6509686.5915999999</v>
      </c>
      <c r="D31" s="668">
        <v>5295194.2380999997</v>
      </c>
      <c r="E31" s="668">
        <v>375859.32</v>
      </c>
      <c r="F31" s="717">
        <v>838633.03350000002</v>
      </c>
      <c r="G31" s="717">
        <v>0</v>
      </c>
      <c r="H31" s="668">
        <v>1178530.2973000002</v>
      </c>
      <c r="I31" s="716">
        <v>266629.57040000008</v>
      </c>
      <c r="J31" s="716">
        <v>63893.503400000016</v>
      </c>
      <c r="K31" s="716">
        <v>848007.22349999996</v>
      </c>
      <c r="L31" s="717">
        <v>0</v>
      </c>
    </row>
    <row r="32" spans="1:12">
      <c r="A32" s="431">
        <v>26</v>
      </c>
      <c r="B32" s="444" t="s">
        <v>598</v>
      </c>
      <c r="C32" s="715">
        <v>26827698.067699999</v>
      </c>
      <c r="D32" s="668">
        <v>22239868.0024</v>
      </c>
      <c r="E32" s="668">
        <v>2894514.17</v>
      </c>
      <c r="F32" s="717">
        <v>1693315.8953</v>
      </c>
      <c r="G32" s="717">
        <v>0</v>
      </c>
      <c r="H32" s="668">
        <v>3636907.9216000037</v>
      </c>
      <c r="I32" s="716">
        <v>1369634.249100005</v>
      </c>
      <c r="J32" s="716">
        <v>563185.22719999973</v>
      </c>
      <c r="K32" s="716">
        <v>1704088.4452999991</v>
      </c>
      <c r="L32" s="717">
        <v>0</v>
      </c>
    </row>
    <row r="33" spans="1:12" s="699" customFormat="1">
      <c r="A33" s="434">
        <v>27</v>
      </c>
      <c r="B33" s="718" t="s">
        <v>67</v>
      </c>
      <c r="C33" s="719">
        <f>SUM(C7:C32)</f>
        <v>332985584.93180001</v>
      </c>
      <c r="D33" s="719">
        <f t="shared" ref="D33:L33" si="0">SUM(D7:D32)</f>
        <v>278030032.33309996</v>
      </c>
      <c r="E33" s="719">
        <f t="shared" si="0"/>
        <v>17342717.144500002</v>
      </c>
      <c r="F33" s="719">
        <f t="shared" si="0"/>
        <v>35284932.970600002</v>
      </c>
      <c r="G33" s="719">
        <f t="shared" si="0"/>
        <v>2327902.4835999999</v>
      </c>
      <c r="H33" s="719">
        <f t="shared" si="0"/>
        <v>18687244.970699999</v>
      </c>
      <c r="I33" s="719">
        <f t="shared" si="0"/>
        <v>5275792.6215000069</v>
      </c>
      <c r="J33" s="719">
        <f t="shared" si="0"/>
        <v>919272.41019999969</v>
      </c>
      <c r="K33" s="719">
        <f t="shared" si="0"/>
        <v>11117573.066199999</v>
      </c>
      <c r="L33" s="719">
        <f t="shared" si="0"/>
        <v>1374606.8728</v>
      </c>
    </row>
    <row r="35" spans="1:12">
      <c r="B35" s="485"/>
      <c r="C35" s="485"/>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paperSize="9" scale="2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heetViews>
  <sheetFormatPr defaultColWidth="8.77734375" defaultRowHeight="12"/>
  <cols>
    <col min="1" max="1" width="11.77734375" style="391" bestFit="1" customWidth="1"/>
    <col min="2" max="2" width="65.88671875" style="391" customWidth="1"/>
    <col min="3" max="3" width="20.44140625" style="391" customWidth="1"/>
    <col min="4" max="4" width="21.33203125" style="391" customWidth="1"/>
    <col min="5" max="11" width="28.21875" style="391" customWidth="1"/>
    <col min="12" max="16384" width="8.77734375" style="391"/>
  </cols>
  <sheetData>
    <row r="1" spans="1:11" s="384" customFormat="1" ht="13.8">
      <c r="A1" s="383" t="s">
        <v>109</v>
      </c>
      <c r="B1" s="303" t="str">
        <f>Info!C2</f>
        <v>სს " პაშა ბანკი საქართველო"</v>
      </c>
      <c r="C1" s="441"/>
      <c r="D1" s="441"/>
      <c r="E1" s="441"/>
      <c r="F1" s="441"/>
      <c r="G1" s="441"/>
      <c r="H1" s="441"/>
      <c r="I1" s="441"/>
      <c r="J1" s="441"/>
      <c r="K1" s="441"/>
    </row>
    <row r="2" spans="1:11" s="384" customFormat="1">
      <c r="A2" s="383" t="s">
        <v>110</v>
      </c>
      <c r="B2" s="386">
        <f>'1. key ratios'!B2</f>
        <v>45199</v>
      </c>
      <c r="C2" s="441"/>
      <c r="D2" s="441"/>
      <c r="E2" s="441"/>
      <c r="F2" s="441"/>
      <c r="G2" s="441"/>
      <c r="H2" s="441"/>
      <c r="I2" s="441"/>
      <c r="J2" s="441"/>
      <c r="K2" s="441"/>
    </row>
    <row r="3" spans="1:11" s="384" customFormat="1">
      <c r="A3" s="385" t="s">
        <v>599</v>
      </c>
      <c r="B3" s="441"/>
      <c r="C3" s="441"/>
      <c r="D3" s="441"/>
      <c r="E3" s="441"/>
      <c r="F3" s="441"/>
      <c r="G3" s="441"/>
      <c r="H3" s="441"/>
      <c r="I3" s="441"/>
      <c r="J3" s="441"/>
      <c r="K3" s="441"/>
    </row>
    <row r="4" spans="1:11">
      <c r="A4" s="489"/>
      <c r="B4" s="489"/>
      <c r="C4" s="488" t="s">
        <v>503</v>
      </c>
      <c r="D4" s="488" t="s">
        <v>504</v>
      </c>
      <c r="E4" s="488" t="s">
        <v>505</v>
      </c>
      <c r="F4" s="488" t="s">
        <v>506</v>
      </c>
      <c r="G4" s="488" t="s">
        <v>507</v>
      </c>
      <c r="H4" s="488" t="s">
        <v>508</v>
      </c>
      <c r="I4" s="488" t="s">
        <v>509</v>
      </c>
      <c r="J4" s="488" t="s">
        <v>510</v>
      </c>
      <c r="K4" s="488" t="s">
        <v>511</v>
      </c>
    </row>
    <row r="5" spans="1:11" ht="103.95" customHeight="1">
      <c r="A5" s="874" t="s">
        <v>907</v>
      </c>
      <c r="B5" s="875"/>
      <c r="C5" s="487" t="s">
        <v>600</v>
      </c>
      <c r="D5" s="487" t="s">
        <v>593</v>
      </c>
      <c r="E5" s="487" t="s">
        <v>594</v>
      </c>
      <c r="F5" s="487" t="s">
        <v>906</v>
      </c>
      <c r="G5" s="487" t="s">
        <v>601</v>
      </c>
      <c r="H5" s="487" t="s">
        <v>602</v>
      </c>
      <c r="I5" s="487" t="s">
        <v>603</v>
      </c>
      <c r="J5" s="487" t="s">
        <v>604</v>
      </c>
      <c r="K5" s="487" t="s">
        <v>605</v>
      </c>
    </row>
    <row r="6" spans="1:11">
      <c r="A6" s="431">
        <v>1</v>
      </c>
      <c r="B6" s="431" t="s">
        <v>606</v>
      </c>
      <c r="C6" s="668">
        <v>1533754.5944999999</v>
      </c>
      <c r="D6" s="668" t="s">
        <v>989</v>
      </c>
      <c r="E6" s="668">
        <v>568349.84539999999</v>
      </c>
      <c r="F6" s="668" t="s">
        <v>989</v>
      </c>
      <c r="G6" s="668">
        <v>159729939.17120001</v>
      </c>
      <c r="H6" s="668" t="s">
        <v>989</v>
      </c>
      <c r="I6" s="668">
        <v>59253488.603500001</v>
      </c>
      <c r="J6" s="668">
        <v>18694269.5198</v>
      </c>
      <c r="K6" s="668">
        <v>93205783.197400004</v>
      </c>
    </row>
    <row r="7" spans="1:11">
      <c r="A7" s="431">
        <v>2</v>
      </c>
      <c r="B7" s="431" t="s">
        <v>607</v>
      </c>
      <c r="C7" s="668" t="s">
        <v>989</v>
      </c>
      <c r="D7" s="668" t="s">
        <v>989</v>
      </c>
      <c r="E7" s="668" t="s">
        <v>989</v>
      </c>
      <c r="F7" s="668" t="s">
        <v>989</v>
      </c>
      <c r="G7" s="668">
        <v>141.94990000000001</v>
      </c>
      <c r="H7" s="668" t="s">
        <v>989</v>
      </c>
      <c r="I7" s="668">
        <v>29114398.363000002</v>
      </c>
      <c r="J7" s="668">
        <v>2765964.7765000002</v>
      </c>
      <c r="K7" s="668">
        <v>23290059.971700002</v>
      </c>
    </row>
    <row r="8" spans="1:11">
      <c r="A8" s="431">
        <v>3</v>
      </c>
      <c r="B8" s="431" t="s">
        <v>571</v>
      </c>
      <c r="C8" s="668">
        <v>8974.6821</v>
      </c>
      <c r="D8" s="668" t="s">
        <v>989</v>
      </c>
      <c r="E8" s="668">
        <v>824.72069999999997</v>
      </c>
      <c r="F8" s="668" t="s">
        <v>989</v>
      </c>
      <c r="G8" s="668">
        <v>6712324.3463000003</v>
      </c>
      <c r="H8" s="668" t="s">
        <v>989</v>
      </c>
      <c r="I8" s="668">
        <v>3574888.2237</v>
      </c>
      <c r="J8" s="668">
        <v>14134214.671599999</v>
      </c>
      <c r="K8" s="668">
        <v>133554214.3229</v>
      </c>
    </row>
    <row r="9" spans="1:11">
      <c r="A9" s="431">
        <v>4</v>
      </c>
      <c r="B9" s="448" t="s">
        <v>905</v>
      </c>
      <c r="C9" s="720" t="s">
        <v>989</v>
      </c>
      <c r="D9" s="720" t="s">
        <v>989</v>
      </c>
      <c r="E9" s="720" t="s">
        <v>989</v>
      </c>
      <c r="F9" s="720" t="s">
        <v>989</v>
      </c>
      <c r="G9" s="720">
        <v>32588987.579799999</v>
      </c>
      <c r="H9" s="720" t="s">
        <v>989</v>
      </c>
      <c r="I9" s="720">
        <v>446973.20870000002</v>
      </c>
      <c r="J9" s="720">
        <v>39786.101799999997</v>
      </c>
      <c r="K9" s="720">
        <v>4537088.5639000004</v>
      </c>
    </row>
    <row r="10" spans="1:11">
      <c r="A10" s="431">
        <v>5</v>
      </c>
      <c r="B10" s="448" t="s">
        <v>904</v>
      </c>
      <c r="C10" s="720" t="s">
        <v>989</v>
      </c>
      <c r="D10" s="720" t="s">
        <v>989</v>
      </c>
      <c r="E10" s="720" t="s">
        <v>989</v>
      </c>
      <c r="F10" s="720" t="s">
        <v>989</v>
      </c>
      <c r="G10" s="720" t="s">
        <v>989</v>
      </c>
      <c r="H10" s="720" t="s">
        <v>989</v>
      </c>
      <c r="I10" s="720" t="s">
        <v>989</v>
      </c>
      <c r="J10" s="720" t="s">
        <v>989</v>
      </c>
      <c r="K10" s="720" t="s">
        <v>989</v>
      </c>
    </row>
    <row r="11" spans="1:11">
      <c r="A11" s="431">
        <v>6</v>
      </c>
      <c r="B11" s="448" t="s">
        <v>903</v>
      </c>
      <c r="C11" s="720" t="s">
        <v>989</v>
      </c>
      <c r="D11" s="720" t="s">
        <v>989</v>
      </c>
      <c r="E11" s="720" t="s">
        <v>989</v>
      </c>
      <c r="F11" s="720" t="s">
        <v>989</v>
      </c>
      <c r="G11" s="720">
        <v>0</v>
      </c>
      <c r="H11" s="720" t="s">
        <v>989</v>
      </c>
      <c r="I11" s="720">
        <v>0</v>
      </c>
      <c r="J11" s="720">
        <v>0</v>
      </c>
      <c r="K11" s="720">
        <v>11907.95</v>
      </c>
    </row>
    <row r="13" spans="1:11" ht="13.8">
      <c r="B13" s="486"/>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paperSize="9" scale="2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L1" zoomScale="60" zoomScaleNormal="60" workbookViewId="0"/>
  </sheetViews>
  <sheetFormatPr defaultColWidth="8.77734375" defaultRowHeight="14.4"/>
  <cols>
    <col min="1" max="1" width="10" style="490" bestFit="1" customWidth="1"/>
    <col min="2" max="2" width="71.77734375" style="490" customWidth="1"/>
    <col min="3" max="3" width="11" style="490" bestFit="1" customWidth="1"/>
    <col min="4" max="5" width="15.33203125" style="490" bestFit="1" customWidth="1"/>
    <col min="6" max="6" width="20.109375" style="490" bestFit="1" customWidth="1"/>
    <col min="7" max="7" width="37.6640625" style="490" bestFit="1" customWidth="1"/>
    <col min="8" max="8" width="11" style="490" bestFit="1" customWidth="1"/>
    <col min="9" max="10" width="15.33203125" style="490" bestFit="1" customWidth="1"/>
    <col min="11" max="11" width="20.109375" style="490" bestFit="1" customWidth="1"/>
    <col min="12" max="12" width="18.33203125" style="490" customWidth="1"/>
    <col min="13" max="13" width="14.6640625" style="490" customWidth="1"/>
    <col min="14" max="15" width="15.33203125" style="490" bestFit="1" customWidth="1"/>
    <col min="16" max="16" width="20.109375" style="490" bestFit="1" customWidth="1"/>
    <col min="17" max="17" width="20.77734375" style="490" customWidth="1"/>
    <col min="18" max="18" width="18.109375" style="490" bestFit="1" customWidth="1"/>
    <col min="19" max="19" width="18.6640625" style="490" customWidth="1"/>
    <col min="20" max="20" width="24.44140625" style="490" customWidth="1"/>
    <col min="21" max="21" width="24.77734375" style="490" customWidth="1"/>
    <col min="22" max="22" width="19.5546875" style="490" customWidth="1"/>
    <col min="23" max="16384" width="8.77734375" style="490"/>
  </cols>
  <sheetData>
    <row r="1" spans="1:22">
      <c r="A1" s="383" t="s">
        <v>109</v>
      </c>
      <c r="B1" s="303" t="str">
        <f>Info!C2</f>
        <v>სს " პაშა ბანკი საქართველო"</v>
      </c>
    </row>
    <row r="2" spans="1:22">
      <c r="A2" s="383" t="s">
        <v>110</v>
      </c>
      <c r="B2" s="386">
        <f>'1. key ratios'!B2</f>
        <v>45199</v>
      </c>
    </row>
    <row r="3" spans="1:22">
      <c r="A3" s="385" t="s">
        <v>690</v>
      </c>
      <c r="B3" s="441"/>
    </row>
    <row r="4" spans="1:22">
      <c r="A4" s="385"/>
      <c r="B4" s="441"/>
    </row>
    <row r="5" spans="1:22" ht="24" customHeight="1">
      <c r="A5" s="876" t="s">
        <v>717</v>
      </c>
      <c r="B5" s="876"/>
      <c r="C5" s="878" t="s">
        <v>909</v>
      </c>
      <c r="D5" s="878"/>
      <c r="E5" s="878"/>
      <c r="F5" s="878"/>
      <c r="G5" s="878"/>
      <c r="H5" s="878" t="s">
        <v>597</v>
      </c>
      <c r="I5" s="878"/>
      <c r="J5" s="878"/>
      <c r="K5" s="878"/>
      <c r="L5" s="878"/>
      <c r="M5" s="878" t="s">
        <v>908</v>
      </c>
      <c r="N5" s="878"/>
      <c r="O5" s="878"/>
      <c r="P5" s="878"/>
      <c r="Q5" s="878"/>
      <c r="R5" s="877" t="s">
        <v>716</v>
      </c>
      <c r="S5" s="877" t="s">
        <v>720</v>
      </c>
      <c r="T5" s="877" t="s">
        <v>719</v>
      </c>
      <c r="U5" s="877" t="s">
        <v>957</v>
      </c>
      <c r="V5" s="877" t="s">
        <v>958</v>
      </c>
    </row>
    <row r="6" spans="1:22" ht="54.45" customHeight="1">
      <c r="A6" s="876"/>
      <c r="B6" s="876"/>
      <c r="C6" s="499"/>
      <c r="D6" s="439" t="s">
        <v>893</v>
      </c>
      <c r="E6" s="439" t="s">
        <v>892</v>
      </c>
      <c r="F6" s="439" t="s">
        <v>891</v>
      </c>
      <c r="G6" s="439" t="s">
        <v>890</v>
      </c>
      <c r="H6" s="499"/>
      <c r="I6" s="439" t="s">
        <v>893</v>
      </c>
      <c r="J6" s="439" t="s">
        <v>892</v>
      </c>
      <c r="K6" s="439" t="s">
        <v>891</v>
      </c>
      <c r="L6" s="439" t="s">
        <v>890</v>
      </c>
      <c r="M6" s="499"/>
      <c r="N6" s="439" t="s">
        <v>893</v>
      </c>
      <c r="O6" s="439" t="s">
        <v>892</v>
      </c>
      <c r="P6" s="439" t="s">
        <v>891</v>
      </c>
      <c r="Q6" s="439" t="s">
        <v>890</v>
      </c>
      <c r="R6" s="877"/>
      <c r="S6" s="877"/>
      <c r="T6" s="877"/>
      <c r="U6" s="877"/>
      <c r="V6" s="877"/>
    </row>
    <row r="7" spans="1:22">
      <c r="A7" s="494">
        <v>1</v>
      </c>
      <c r="B7" s="498" t="s">
        <v>691</v>
      </c>
      <c r="C7" s="720" t="s">
        <v>989</v>
      </c>
      <c r="D7" s="720" t="s">
        <v>989</v>
      </c>
      <c r="E7" s="720" t="s">
        <v>989</v>
      </c>
      <c r="F7" s="720" t="s">
        <v>989</v>
      </c>
      <c r="G7" s="720"/>
      <c r="H7" s="720" t="s">
        <v>989</v>
      </c>
      <c r="I7" s="720" t="s">
        <v>989</v>
      </c>
      <c r="J7" s="720" t="s">
        <v>989</v>
      </c>
      <c r="K7" s="720" t="s">
        <v>989</v>
      </c>
      <c r="L7" s="720"/>
      <c r="M7" s="720" t="s">
        <v>989</v>
      </c>
      <c r="N7" s="720" t="s">
        <v>989</v>
      </c>
      <c r="O7" s="720" t="s">
        <v>989</v>
      </c>
      <c r="P7" s="720" t="s">
        <v>989</v>
      </c>
      <c r="Q7" s="720"/>
      <c r="R7" s="720">
        <v>0</v>
      </c>
      <c r="S7" s="720" t="s">
        <v>989</v>
      </c>
      <c r="T7" s="720" t="s">
        <v>989</v>
      </c>
      <c r="U7" s="720" t="s">
        <v>989</v>
      </c>
      <c r="V7" s="720" t="s">
        <v>989</v>
      </c>
    </row>
    <row r="8" spans="1:22">
      <c r="A8" s="494">
        <v>2</v>
      </c>
      <c r="B8" s="497" t="s">
        <v>692</v>
      </c>
      <c r="C8" s="720">
        <v>22763844.6745</v>
      </c>
      <c r="D8" s="720">
        <v>18151643.6745</v>
      </c>
      <c r="E8" s="720">
        <v>1911161.78</v>
      </c>
      <c r="F8" s="720">
        <v>2701039.22</v>
      </c>
      <c r="G8" s="720"/>
      <c r="H8" s="720">
        <v>22715112.290600002</v>
      </c>
      <c r="I8" s="720">
        <v>18115909.400600001</v>
      </c>
      <c r="J8" s="720">
        <v>1930933.16</v>
      </c>
      <c r="K8" s="720">
        <v>2668269.73</v>
      </c>
      <c r="L8" s="720"/>
      <c r="M8" s="720">
        <v>3579149.6628999999</v>
      </c>
      <c r="N8" s="720">
        <v>693469.51740000001</v>
      </c>
      <c r="O8" s="720">
        <v>184640.92550000001</v>
      </c>
      <c r="P8" s="720">
        <v>2701039.22</v>
      </c>
      <c r="Q8" s="720"/>
      <c r="R8" s="720">
        <v>6166</v>
      </c>
      <c r="S8" s="747">
        <v>0.1956</v>
      </c>
      <c r="T8" s="747">
        <v>0.2349</v>
      </c>
      <c r="U8" s="747">
        <v>0.18379999999999999</v>
      </c>
      <c r="V8" s="720">
        <v>26.930599999999998</v>
      </c>
    </row>
    <row r="9" spans="1:22">
      <c r="A9" s="494">
        <v>3</v>
      </c>
      <c r="B9" s="497" t="s">
        <v>693</v>
      </c>
      <c r="C9" s="720" t="s">
        <v>989</v>
      </c>
      <c r="D9" s="720" t="s">
        <v>989</v>
      </c>
      <c r="E9" s="720" t="s">
        <v>989</v>
      </c>
      <c r="F9" s="720" t="s">
        <v>989</v>
      </c>
      <c r="G9" s="720"/>
      <c r="H9" s="720" t="s">
        <v>989</v>
      </c>
      <c r="I9" s="720" t="s">
        <v>989</v>
      </c>
      <c r="J9" s="720" t="s">
        <v>989</v>
      </c>
      <c r="K9" s="720" t="s">
        <v>989</v>
      </c>
      <c r="L9" s="720"/>
      <c r="M9" s="720" t="s">
        <v>989</v>
      </c>
      <c r="N9" s="720" t="s">
        <v>989</v>
      </c>
      <c r="O9" s="720" t="s">
        <v>989</v>
      </c>
      <c r="P9" s="720" t="s">
        <v>989</v>
      </c>
      <c r="Q9" s="720"/>
      <c r="R9" s="750">
        <v>0</v>
      </c>
      <c r="S9" s="747" t="s">
        <v>989</v>
      </c>
      <c r="T9" s="747" t="s">
        <v>989</v>
      </c>
      <c r="U9" s="747" t="s">
        <v>989</v>
      </c>
      <c r="V9" s="750" t="s">
        <v>989</v>
      </c>
    </row>
    <row r="10" spans="1:22">
      <c r="A10" s="494">
        <v>4</v>
      </c>
      <c r="B10" s="497" t="s">
        <v>694</v>
      </c>
      <c r="C10" s="720" t="s">
        <v>989</v>
      </c>
      <c r="D10" s="720" t="s">
        <v>989</v>
      </c>
      <c r="E10" s="720" t="s">
        <v>989</v>
      </c>
      <c r="F10" s="720" t="s">
        <v>989</v>
      </c>
      <c r="G10" s="720"/>
      <c r="H10" s="720" t="s">
        <v>989</v>
      </c>
      <c r="I10" s="720" t="s">
        <v>989</v>
      </c>
      <c r="J10" s="720" t="s">
        <v>989</v>
      </c>
      <c r="K10" s="720" t="s">
        <v>989</v>
      </c>
      <c r="L10" s="720"/>
      <c r="M10" s="720" t="s">
        <v>989</v>
      </c>
      <c r="N10" s="720" t="s">
        <v>989</v>
      </c>
      <c r="O10" s="720" t="s">
        <v>989</v>
      </c>
      <c r="P10" s="720" t="s">
        <v>989</v>
      </c>
      <c r="Q10" s="720"/>
      <c r="R10" s="750">
        <v>0</v>
      </c>
      <c r="S10" s="747" t="s">
        <v>989</v>
      </c>
      <c r="T10" s="747" t="s">
        <v>989</v>
      </c>
      <c r="U10" s="747" t="s">
        <v>989</v>
      </c>
      <c r="V10" s="750" t="s">
        <v>989</v>
      </c>
    </row>
    <row r="11" spans="1:22">
      <c r="A11" s="494">
        <v>5</v>
      </c>
      <c r="B11" s="497" t="s">
        <v>695</v>
      </c>
      <c r="C11" s="750">
        <v>10438.010399999999</v>
      </c>
      <c r="D11" s="750">
        <v>10438.010399999999</v>
      </c>
      <c r="E11" s="750">
        <v>0</v>
      </c>
      <c r="F11" s="750">
        <v>0</v>
      </c>
      <c r="G11" s="750"/>
      <c r="H11" s="750">
        <v>10450.010399999999</v>
      </c>
      <c r="I11" s="750">
        <v>10450.010399999999</v>
      </c>
      <c r="J11" s="750">
        <v>0</v>
      </c>
      <c r="K11" s="750">
        <v>0</v>
      </c>
      <c r="L11" s="750"/>
      <c r="M11" s="750">
        <v>0</v>
      </c>
      <c r="N11" s="750">
        <v>0</v>
      </c>
      <c r="O11" s="750">
        <v>0</v>
      </c>
      <c r="P11" s="750">
        <v>0</v>
      </c>
      <c r="Q11" s="750"/>
      <c r="R11" s="750">
        <v>48</v>
      </c>
      <c r="S11" s="751">
        <v>0.14369999999999999</v>
      </c>
      <c r="T11" s="751">
        <v>0.15409999999999999</v>
      </c>
      <c r="U11" s="751">
        <v>8.9200000000000002E-2</v>
      </c>
      <c r="V11" s="750">
        <v>1.3895999999999999</v>
      </c>
    </row>
    <row r="12" spans="1:22">
      <c r="A12" s="494">
        <v>6</v>
      </c>
      <c r="B12" s="497" t="s">
        <v>696</v>
      </c>
      <c r="C12" s="720">
        <v>38137068.350000001</v>
      </c>
      <c r="D12" s="720">
        <v>34107821.200000003</v>
      </c>
      <c r="E12" s="720">
        <v>2361235.81</v>
      </c>
      <c r="F12" s="720">
        <v>1668011.34</v>
      </c>
      <c r="G12" s="720"/>
      <c r="H12" s="720">
        <v>38061194.415399998</v>
      </c>
      <c r="I12" s="720">
        <v>33950464.189999998</v>
      </c>
      <c r="J12" s="720">
        <v>2443598.62</v>
      </c>
      <c r="K12" s="720">
        <v>1667131.6054</v>
      </c>
      <c r="L12" s="720"/>
      <c r="M12" s="720">
        <v>4442396.9357000003</v>
      </c>
      <c r="N12" s="720">
        <v>2107779.2464000001</v>
      </c>
      <c r="O12" s="720">
        <v>666769.71389999997</v>
      </c>
      <c r="P12" s="720">
        <v>1667847.9754000001</v>
      </c>
      <c r="Q12" s="720"/>
      <c r="R12" s="750">
        <v>27182</v>
      </c>
      <c r="S12" s="747">
        <v>0.36</v>
      </c>
      <c r="T12" s="747">
        <v>0.40489999999999998</v>
      </c>
      <c r="U12" s="747">
        <v>0.36</v>
      </c>
      <c r="V12" s="750">
        <v>418.90429999999998</v>
      </c>
    </row>
    <row r="13" spans="1:22">
      <c r="A13" s="494">
        <v>7</v>
      </c>
      <c r="B13" s="497" t="s">
        <v>697</v>
      </c>
      <c r="C13" s="720">
        <v>100681.20729999999</v>
      </c>
      <c r="D13" s="720">
        <v>100681.20729999999</v>
      </c>
      <c r="E13" s="720">
        <v>0</v>
      </c>
      <c r="F13" s="720">
        <v>0</v>
      </c>
      <c r="G13" s="720"/>
      <c r="H13" s="720">
        <v>100824.7374</v>
      </c>
      <c r="I13" s="720">
        <v>100824.7374</v>
      </c>
      <c r="J13" s="720">
        <v>0</v>
      </c>
      <c r="K13" s="720">
        <v>0</v>
      </c>
      <c r="L13" s="720"/>
      <c r="M13" s="720">
        <v>4798.7942999999996</v>
      </c>
      <c r="N13" s="720">
        <v>4798.7942999999996</v>
      </c>
      <c r="O13" s="720">
        <v>0</v>
      </c>
      <c r="P13" s="720">
        <v>0</v>
      </c>
      <c r="Q13" s="720"/>
      <c r="R13" s="750">
        <v>1</v>
      </c>
      <c r="S13" s="747" t="s">
        <v>989</v>
      </c>
      <c r="T13" s="747" t="s">
        <v>989</v>
      </c>
      <c r="U13" s="747">
        <v>0.10340000000000001</v>
      </c>
      <c r="V13" s="750">
        <v>27</v>
      </c>
    </row>
    <row r="14" spans="1:22">
      <c r="A14" s="492">
        <v>7.1</v>
      </c>
      <c r="B14" s="491" t="s">
        <v>698</v>
      </c>
      <c r="C14" s="720">
        <v>100681.20729999999</v>
      </c>
      <c r="D14" s="720">
        <v>100681.20729999999</v>
      </c>
      <c r="E14" s="720">
        <v>0</v>
      </c>
      <c r="F14" s="720">
        <v>0</v>
      </c>
      <c r="G14" s="720"/>
      <c r="H14" s="720">
        <v>100824.7374</v>
      </c>
      <c r="I14" s="720">
        <v>100824.7374</v>
      </c>
      <c r="J14" s="720">
        <v>0</v>
      </c>
      <c r="K14" s="720">
        <v>0</v>
      </c>
      <c r="L14" s="720"/>
      <c r="M14" s="720">
        <v>4798.7942999999996</v>
      </c>
      <c r="N14" s="720">
        <v>4798.7942999999996</v>
      </c>
      <c r="O14" s="720">
        <v>0</v>
      </c>
      <c r="P14" s="720">
        <v>0</v>
      </c>
      <c r="Q14" s="720"/>
      <c r="R14" s="750">
        <v>1</v>
      </c>
      <c r="S14" s="747" t="s">
        <v>989</v>
      </c>
      <c r="T14" s="747" t="s">
        <v>989</v>
      </c>
      <c r="U14" s="747">
        <v>0.10340000000000001</v>
      </c>
      <c r="V14" s="750">
        <v>27</v>
      </c>
    </row>
    <row r="15" spans="1:22" ht="24">
      <c r="A15" s="492">
        <v>7.2</v>
      </c>
      <c r="B15" s="491" t="s">
        <v>699</v>
      </c>
      <c r="C15" s="720" t="s">
        <v>989</v>
      </c>
      <c r="D15" s="720" t="s">
        <v>989</v>
      </c>
      <c r="E15" s="720" t="s">
        <v>989</v>
      </c>
      <c r="F15" s="720" t="s">
        <v>989</v>
      </c>
      <c r="G15" s="720"/>
      <c r="H15" s="720" t="s">
        <v>989</v>
      </c>
      <c r="I15" s="720" t="s">
        <v>989</v>
      </c>
      <c r="J15" s="720" t="s">
        <v>989</v>
      </c>
      <c r="K15" s="720" t="s">
        <v>989</v>
      </c>
      <c r="L15" s="720"/>
      <c r="M15" s="720" t="s">
        <v>989</v>
      </c>
      <c r="N15" s="720" t="s">
        <v>989</v>
      </c>
      <c r="O15" s="720" t="s">
        <v>989</v>
      </c>
      <c r="P15" s="720" t="s">
        <v>989</v>
      </c>
      <c r="Q15" s="720"/>
      <c r="R15" s="750">
        <v>0</v>
      </c>
      <c r="S15" s="747" t="s">
        <v>989</v>
      </c>
      <c r="T15" s="747" t="s">
        <v>989</v>
      </c>
      <c r="U15" s="747" t="s">
        <v>989</v>
      </c>
      <c r="V15" s="750" t="s">
        <v>989</v>
      </c>
    </row>
    <row r="16" spans="1:22">
      <c r="A16" s="492">
        <v>7.3</v>
      </c>
      <c r="B16" s="491" t="s">
        <v>700</v>
      </c>
      <c r="C16" s="720" t="s">
        <v>989</v>
      </c>
      <c r="D16" s="720" t="s">
        <v>989</v>
      </c>
      <c r="E16" s="720" t="s">
        <v>989</v>
      </c>
      <c r="F16" s="720" t="s">
        <v>989</v>
      </c>
      <c r="G16" s="720"/>
      <c r="H16" s="720" t="s">
        <v>989</v>
      </c>
      <c r="I16" s="720" t="s">
        <v>989</v>
      </c>
      <c r="J16" s="720" t="s">
        <v>989</v>
      </c>
      <c r="K16" s="720" t="s">
        <v>989</v>
      </c>
      <c r="L16" s="720"/>
      <c r="M16" s="720" t="s">
        <v>989</v>
      </c>
      <c r="N16" s="720" t="s">
        <v>989</v>
      </c>
      <c r="O16" s="720" t="s">
        <v>989</v>
      </c>
      <c r="P16" s="720" t="s">
        <v>989</v>
      </c>
      <c r="Q16" s="720"/>
      <c r="R16" s="750">
        <v>0</v>
      </c>
      <c r="S16" s="747" t="s">
        <v>989</v>
      </c>
      <c r="T16" s="747" t="s">
        <v>989</v>
      </c>
      <c r="U16" s="747" t="s">
        <v>989</v>
      </c>
      <c r="V16" s="750" t="s">
        <v>989</v>
      </c>
    </row>
    <row r="17" spans="1:22">
      <c r="A17" s="494">
        <v>8</v>
      </c>
      <c r="B17" s="497" t="s">
        <v>701</v>
      </c>
      <c r="C17" s="720" t="s">
        <v>989</v>
      </c>
      <c r="D17" s="720" t="s">
        <v>989</v>
      </c>
      <c r="E17" s="720" t="s">
        <v>989</v>
      </c>
      <c r="F17" s="720" t="s">
        <v>989</v>
      </c>
      <c r="G17" s="720"/>
      <c r="H17" s="720" t="s">
        <v>989</v>
      </c>
      <c r="I17" s="720" t="s">
        <v>989</v>
      </c>
      <c r="J17" s="720" t="s">
        <v>989</v>
      </c>
      <c r="K17" s="720" t="s">
        <v>989</v>
      </c>
      <c r="L17" s="720"/>
      <c r="M17" s="720" t="s">
        <v>989</v>
      </c>
      <c r="N17" s="720" t="s">
        <v>989</v>
      </c>
      <c r="O17" s="720" t="s">
        <v>989</v>
      </c>
      <c r="P17" s="720" t="s">
        <v>989</v>
      </c>
      <c r="Q17" s="720"/>
      <c r="R17" s="750">
        <v>0</v>
      </c>
      <c r="S17" s="747" t="s">
        <v>989</v>
      </c>
      <c r="T17" s="747" t="s">
        <v>989</v>
      </c>
      <c r="U17" s="747" t="s">
        <v>989</v>
      </c>
      <c r="V17" s="750" t="s">
        <v>989</v>
      </c>
    </row>
    <row r="18" spans="1:22">
      <c r="A18" s="496">
        <v>9</v>
      </c>
      <c r="B18" s="495" t="s">
        <v>702</v>
      </c>
      <c r="C18" s="721" t="s">
        <v>989</v>
      </c>
      <c r="D18" s="721" t="s">
        <v>989</v>
      </c>
      <c r="E18" s="721" t="s">
        <v>989</v>
      </c>
      <c r="F18" s="721" t="s">
        <v>989</v>
      </c>
      <c r="G18" s="721"/>
      <c r="H18" s="721" t="s">
        <v>989</v>
      </c>
      <c r="I18" s="721" t="s">
        <v>989</v>
      </c>
      <c r="J18" s="721" t="s">
        <v>989</v>
      </c>
      <c r="K18" s="721" t="s">
        <v>989</v>
      </c>
      <c r="L18" s="721"/>
      <c r="M18" s="721" t="s">
        <v>989</v>
      </c>
      <c r="N18" s="721" t="s">
        <v>989</v>
      </c>
      <c r="O18" s="721" t="s">
        <v>989</v>
      </c>
      <c r="P18" s="721" t="s">
        <v>989</v>
      </c>
      <c r="Q18" s="721"/>
      <c r="R18" s="754">
        <v>0</v>
      </c>
      <c r="S18" s="748" t="s">
        <v>989</v>
      </c>
      <c r="T18" s="748" t="s">
        <v>989</v>
      </c>
      <c r="U18" s="748" t="s">
        <v>989</v>
      </c>
      <c r="V18" s="754" t="s">
        <v>989</v>
      </c>
    </row>
    <row r="19" spans="1:22" s="724" customFormat="1">
      <c r="A19" s="722">
        <v>10</v>
      </c>
      <c r="B19" s="493" t="s">
        <v>718</v>
      </c>
      <c r="C19" s="723">
        <v>61012032.242200002</v>
      </c>
      <c r="D19" s="723">
        <v>52370584.092200004</v>
      </c>
      <c r="E19" s="723">
        <v>4272397.59</v>
      </c>
      <c r="F19" s="723">
        <v>4369050.5599999996</v>
      </c>
      <c r="G19" s="723"/>
      <c r="H19" s="723">
        <v>60887581.4538</v>
      </c>
      <c r="I19" s="723">
        <v>52177648.338399999</v>
      </c>
      <c r="J19" s="723">
        <v>4374531.78</v>
      </c>
      <c r="K19" s="723">
        <v>4335401.3354000002</v>
      </c>
      <c r="L19" s="723"/>
      <c r="M19" s="723">
        <v>8026345.3929000003</v>
      </c>
      <c r="N19" s="723">
        <v>2806047.5581</v>
      </c>
      <c r="O19" s="723">
        <v>851410.63939999999</v>
      </c>
      <c r="P19" s="723">
        <v>4368887.1954000005</v>
      </c>
      <c r="Q19" s="723"/>
      <c r="R19" s="755">
        <v>33397</v>
      </c>
      <c r="S19" s="749">
        <v>0.34200000000000003</v>
      </c>
      <c r="T19" s="749">
        <v>0.38619999999999999</v>
      </c>
      <c r="U19" s="749">
        <v>0.29380000000000001</v>
      </c>
      <c r="V19" s="755">
        <v>271.9391</v>
      </c>
    </row>
    <row r="20" spans="1:22" ht="24">
      <c r="A20" s="492">
        <v>10.1</v>
      </c>
      <c r="B20" s="491" t="s">
        <v>721</v>
      </c>
      <c r="C20" s="720">
        <v>704.11</v>
      </c>
      <c r="D20" s="720">
        <v>704.11</v>
      </c>
      <c r="E20" s="720" t="s">
        <v>989</v>
      </c>
      <c r="F20" s="720" t="s">
        <v>989</v>
      </c>
      <c r="G20" s="720"/>
      <c r="H20" s="720">
        <v>703.11</v>
      </c>
      <c r="I20" s="720">
        <v>703.11</v>
      </c>
      <c r="J20" s="720" t="s">
        <v>989</v>
      </c>
      <c r="K20" s="720" t="s">
        <v>989</v>
      </c>
      <c r="L20" s="720"/>
      <c r="M20" s="720">
        <v>48.775100000000002</v>
      </c>
      <c r="N20" s="720">
        <v>48.775100000000002</v>
      </c>
      <c r="O20" s="720" t="s">
        <v>989</v>
      </c>
      <c r="P20" s="720" t="s">
        <v>989</v>
      </c>
      <c r="Q20" s="720"/>
      <c r="R20" s="750">
        <v>1</v>
      </c>
      <c r="S20" s="747"/>
      <c r="T20" s="747"/>
      <c r="U20" s="747">
        <v>0.36</v>
      </c>
      <c r="V20" s="750">
        <v>271</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zoomScale="70" zoomScaleNormal="70" workbookViewId="0"/>
  </sheetViews>
  <sheetFormatPr defaultRowHeight="14.4"/>
  <cols>
    <col min="1" max="1" width="8.77734375" style="418"/>
    <col min="2" max="2" width="69.21875" style="403" customWidth="1"/>
    <col min="3" max="3" width="13.6640625" customWidth="1"/>
    <col min="4" max="4" width="14.44140625" customWidth="1"/>
    <col min="5" max="8" width="13.21875" customWidth="1"/>
  </cols>
  <sheetData>
    <row r="1" spans="1:8">
      <c r="A1" s="13" t="s">
        <v>109</v>
      </c>
      <c r="B1" s="303" t="str">
        <f>Info!C2</f>
        <v>სს " პაშა ბანკი საქართველო"</v>
      </c>
      <c r="C1" s="12"/>
      <c r="D1" s="1"/>
      <c r="E1" s="1"/>
      <c r="F1" s="1"/>
      <c r="G1" s="1"/>
    </row>
    <row r="2" spans="1:8">
      <c r="A2" s="13" t="s">
        <v>110</v>
      </c>
      <c r="B2" s="339">
        <f>'1. key ratios'!B2</f>
        <v>45199</v>
      </c>
      <c r="C2" s="12"/>
      <c r="D2" s="1"/>
      <c r="E2" s="1"/>
      <c r="F2" s="1"/>
      <c r="G2" s="1"/>
    </row>
    <row r="3" spans="1:8" ht="15" thickBot="1">
      <c r="A3" s="13"/>
      <c r="B3" s="12"/>
      <c r="C3" s="12"/>
      <c r="D3" s="1"/>
      <c r="E3" s="1"/>
      <c r="F3" s="1"/>
      <c r="G3" s="1"/>
    </row>
    <row r="4" spans="1:8" ht="21" customHeight="1">
      <c r="A4" s="768" t="s">
        <v>26</v>
      </c>
      <c r="B4" s="770" t="s">
        <v>730</v>
      </c>
      <c r="C4" s="772" t="s">
        <v>115</v>
      </c>
      <c r="D4" s="772"/>
      <c r="E4" s="772"/>
      <c r="F4" s="772" t="s">
        <v>116</v>
      </c>
      <c r="G4" s="772"/>
      <c r="H4" s="773"/>
    </row>
    <row r="5" spans="1:8" ht="21" customHeight="1">
      <c r="A5" s="769"/>
      <c r="B5" s="771"/>
      <c r="C5" s="607" t="s">
        <v>27</v>
      </c>
      <c r="D5" s="607" t="s">
        <v>89</v>
      </c>
      <c r="E5" s="607" t="s">
        <v>67</v>
      </c>
      <c r="F5" s="607" t="s">
        <v>27</v>
      </c>
      <c r="G5" s="607" t="s">
        <v>89</v>
      </c>
      <c r="H5" s="608" t="s">
        <v>67</v>
      </c>
    </row>
    <row r="6" spans="1:8" ht="26.55" customHeight="1">
      <c r="A6" s="769"/>
      <c r="B6" s="609" t="s">
        <v>96</v>
      </c>
      <c r="C6" s="774"/>
      <c r="D6" s="775"/>
      <c r="E6" s="775"/>
      <c r="F6" s="775"/>
      <c r="G6" s="775"/>
      <c r="H6" s="776"/>
    </row>
    <row r="7" spans="1:8" ht="22.95" customHeight="1">
      <c r="A7" s="610">
        <v>1</v>
      </c>
      <c r="B7" s="599" t="s">
        <v>844</v>
      </c>
      <c r="C7" s="611">
        <f>SUM(C8:C10)</f>
        <v>21225461.954899997</v>
      </c>
      <c r="D7" s="611">
        <f>SUM(D8:D10)</f>
        <v>71901430.112100005</v>
      </c>
      <c r="E7" s="612">
        <f>C7+D7</f>
        <v>93126892.067000002</v>
      </c>
      <c r="F7" s="611">
        <f>SUM(F8:F10)</f>
        <v>8014744.7357999999</v>
      </c>
      <c r="G7" s="611">
        <f>SUM(G8:G10)</f>
        <v>84980909.40169999</v>
      </c>
      <c r="H7" s="613">
        <f>F7+G7</f>
        <v>92995654.137499988</v>
      </c>
    </row>
    <row r="8" spans="1:8">
      <c r="A8" s="610">
        <v>1.1000000000000001</v>
      </c>
      <c r="B8" s="573" t="s">
        <v>97</v>
      </c>
      <c r="C8" s="611">
        <v>1677536.55</v>
      </c>
      <c r="D8" s="611">
        <v>1162071.8522000001</v>
      </c>
      <c r="E8" s="612">
        <f t="shared" ref="E8:E36" si="0">C8+D8</f>
        <v>2839608.4022000004</v>
      </c>
      <c r="F8" s="611">
        <v>1362025.69</v>
      </c>
      <c r="G8" s="611">
        <v>2002807.0584</v>
      </c>
      <c r="H8" s="613">
        <f t="shared" ref="H8:H36" si="1">F8+G8</f>
        <v>3364832.7483999999</v>
      </c>
    </row>
    <row r="9" spans="1:8">
      <c r="A9" s="610">
        <v>1.2</v>
      </c>
      <c r="B9" s="573" t="s">
        <v>98</v>
      </c>
      <c r="C9" s="611">
        <v>2069939.62</v>
      </c>
      <c r="D9" s="611">
        <v>46493463.001699999</v>
      </c>
      <c r="E9" s="612">
        <f t="shared" si="0"/>
        <v>48563402.621699996</v>
      </c>
      <c r="F9" s="611">
        <v>667822.34</v>
      </c>
      <c r="G9" s="611">
        <v>44306396.056999996</v>
      </c>
      <c r="H9" s="613">
        <f t="shared" si="1"/>
        <v>44974218.397</v>
      </c>
    </row>
    <row r="10" spans="1:8">
      <c r="A10" s="610">
        <v>1.3</v>
      </c>
      <c r="B10" s="573" t="s">
        <v>99</v>
      </c>
      <c r="C10" s="611">
        <v>17477985.784899998</v>
      </c>
      <c r="D10" s="611">
        <v>24245895.258200001</v>
      </c>
      <c r="E10" s="612">
        <f t="shared" si="0"/>
        <v>41723881.043099999</v>
      </c>
      <c r="F10" s="611">
        <v>5984896.7057999996</v>
      </c>
      <c r="G10" s="611">
        <v>38671706.286300004</v>
      </c>
      <c r="H10" s="613">
        <f t="shared" si="1"/>
        <v>44656602.9921</v>
      </c>
    </row>
    <row r="11" spans="1:8">
      <c r="A11" s="610">
        <v>2</v>
      </c>
      <c r="B11" s="575" t="s">
        <v>731</v>
      </c>
      <c r="C11" s="611">
        <f>C12</f>
        <v>814453.66999999993</v>
      </c>
      <c r="D11" s="611">
        <f>D12</f>
        <v>0</v>
      </c>
      <c r="E11" s="612">
        <f t="shared" si="0"/>
        <v>814453.66999999993</v>
      </c>
      <c r="F11" s="611">
        <f>F12</f>
        <v>3738403.23</v>
      </c>
      <c r="G11" s="611">
        <f>G12</f>
        <v>0</v>
      </c>
      <c r="H11" s="613">
        <f t="shared" si="1"/>
        <v>3738403.23</v>
      </c>
    </row>
    <row r="12" spans="1:8">
      <c r="A12" s="610">
        <v>2.1</v>
      </c>
      <c r="B12" s="563" t="s">
        <v>732</v>
      </c>
      <c r="C12" s="611">
        <v>814453.66999999993</v>
      </c>
      <c r="D12" s="611">
        <v>0</v>
      </c>
      <c r="E12" s="612">
        <f t="shared" si="0"/>
        <v>814453.66999999993</v>
      </c>
      <c r="F12" s="611">
        <v>3738403.23</v>
      </c>
      <c r="G12" s="611"/>
      <c r="H12" s="613">
        <f t="shared" si="1"/>
        <v>3738403.23</v>
      </c>
    </row>
    <row r="13" spans="1:8" ht="26.55" customHeight="1">
      <c r="A13" s="610">
        <v>3</v>
      </c>
      <c r="B13" s="564" t="s">
        <v>733</v>
      </c>
      <c r="C13" s="611"/>
      <c r="D13" s="611"/>
      <c r="E13" s="612">
        <f t="shared" si="0"/>
        <v>0</v>
      </c>
      <c r="F13" s="611"/>
      <c r="G13" s="611"/>
      <c r="H13" s="613">
        <f t="shared" si="1"/>
        <v>0</v>
      </c>
    </row>
    <row r="14" spans="1:8" ht="26.55" customHeight="1">
      <c r="A14" s="610">
        <v>4</v>
      </c>
      <c r="B14" s="565" t="s">
        <v>734</v>
      </c>
      <c r="C14" s="611"/>
      <c r="D14" s="611"/>
      <c r="E14" s="612">
        <f t="shared" si="0"/>
        <v>0</v>
      </c>
      <c r="F14" s="611"/>
      <c r="G14" s="611"/>
      <c r="H14" s="613">
        <f t="shared" si="1"/>
        <v>0</v>
      </c>
    </row>
    <row r="15" spans="1:8" ht="24.45" customHeight="1">
      <c r="A15" s="610">
        <v>5</v>
      </c>
      <c r="B15" s="565" t="s">
        <v>735</v>
      </c>
      <c r="C15" s="614">
        <f>SUM(C16:C18)</f>
        <v>0</v>
      </c>
      <c r="D15" s="614">
        <f>SUM(D16:D18)</f>
        <v>0</v>
      </c>
      <c r="E15" s="615">
        <f t="shared" si="0"/>
        <v>0</v>
      </c>
      <c r="F15" s="614">
        <f>SUM(F16:F18)</f>
        <v>0</v>
      </c>
      <c r="G15" s="614">
        <f>SUM(G16:G18)</f>
        <v>0</v>
      </c>
      <c r="H15" s="616">
        <f t="shared" si="1"/>
        <v>0</v>
      </c>
    </row>
    <row r="16" spans="1:8">
      <c r="A16" s="610">
        <v>5.0999999999999996</v>
      </c>
      <c r="B16" s="566" t="s">
        <v>736</v>
      </c>
      <c r="C16" s="611"/>
      <c r="D16" s="611"/>
      <c r="E16" s="612">
        <f t="shared" si="0"/>
        <v>0</v>
      </c>
      <c r="F16" s="611"/>
      <c r="G16" s="611"/>
      <c r="H16" s="613">
        <f t="shared" si="1"/>
        <v>0</v>
      </c>
    </row>
    <row r="17" spans="1:8">
      <c r="A17" s="610">
        <v>5.2</v>
      </c>
      <c r="B17" s="566" t="s">
        <v>570</v>
      </c>
      <c r="C17" s="611"/>
      <c r="D17" s="611"/>
      <c r="E17" s="612">
        <f t="shared" si="0"/>
        <v>0</v>
      </c>
      <c r="F17" s="611"/>
      <c r="G17" s="611"/>
      <c r="H17" s="613">
        <f t="shared" si="1"/>
        <v>0</v>
      </c>
    </row>
    <row r="18" spans="1:8">
      <c r="A18" s="610">
        <v>5.3</v>
      </c>
      <c r="B18" s="566" t="s">
        <v>737</v>
      </c>
      <c r="C18" s="611"/>
      <c r="D18" s="611"/>
      <c r="E18" s="612">
        <f t="shared" si="0"/>
        <v>0</v>
      </c>
      <c r="F18" s="611"/>
      <c r="G18" s="611"/>
      <c r="H18" s="613">
        <f t="shared" si="1"/>
        <v>0</v>
      </c>
    </row>
    <row r="19" spans="1:8">
      <c r="A19" s="610">
        <v>6</v>
      </c>
      <c r="B19" s="564" t="s">
        <v>738</v>
      </c>
      <c r="C19" s="611">
        <f>SUM(C20:C21)</f>
        <v>190040519.68989998</v>
      </c>
      <c r="D19" s="611">
        <f>SUM(D20:D21)</f>
        <v>184276258.93979996</v>
      </c>
      <c r="E19" s="612">
        <f t="shared" si="0"/>
        <v>374316778.62969995</v>
      </c>
      <c r="F19" s="611">
        <f>SUM(F20:F21)</f>
        <v>170382214.4619</v>
      </c>
      <c r="G19" s="611">
        <f>SUM(G20:G21)</f>
        <v>197014366.2189</v>
      </c>
      <c r="H19" s="613">
        <f t="shared" si="1"/>
        <v>367396580.68079996</v>
      </c>
    </row>
    <row r="20" spans="1:8">
      <c r="A20" s="610">
        <v>6.1</v>
      </c>
      <c r="B20" s="566" t="s">
        <v>570</v>
      </c>
      <c r="C20" s="611">
        <v>51117268.263599999</v>
      </c>
      <c r="D20" s="611">
        <v>8901170.4047999997</v>
      </c>
      <c r="E20" s="612">
        <f t="shared" si="0"/>
        <v>60018438.668399997</v>
      </c>
      <c r="F20" s="611">
        <v>22506306.1664</v>
      </c>
      <c r="G20" s="611">
        <v>5055162.6283</v>
      </c>
      <c r="H20" s="613">
        <f t="shared" si="1"/>
        <v>27561468.7947</v>
      </c>
    </row>
    <row r="21" spans="1:8">
      <c r="A21" s="610">
        <v>6.2</v>
      </c>
      <c r="B21" s="566" t="s">
        <v>737</v>
      </c>
      <c r="C21" s="611">
        <v>138923251.42629999</v>
      </c>
      <c r="D21" s="611">
        <v>175375088.53499997</v>
      </c>
      <c r="E21" s="612">
        <f t="shared" si="0"/>
        <v>314298339.96129996</v>
      </c>
      <c r="F21" s="611">
        <v>147875908.29550001</v>
      </c>
      <c r="G21" s="611">
        <v>191959203.59059998</v>
      </c>
      <c r="H21" s="613">
        <f t="shared" si="1"/>
        <v>339835111.88609999</v>
      </c>
    </row>
    <row r="22" spans="1:8">
      <c r="A22" s="610">
        <v>7</v>
      </c>
      <c r="B22" s="567" t="s">
        <v>739</v>
      </c>
      <c r="C22" s="611"/>
      <c r="D22" s="611"/>
      <c r="E22" s="612">
        <f t="shared" si="0"/>
        <v>0</v>
      </c>
      <c r="F22" s="611"/>
      <c r="G22" s="611"/>
      <c r="H22" s="613">
        <f t="shared" si="1"/>
        <v>0</v>
      </c>
    </row>
    <row r="23" spans="1:8">
      <c r="A23" s="610">
        <v>8</v>
      </c>
      <c r="B23" s="567" t="s">
        <v>740</v>
      </c>
      <c r="C23" s="611">
        <v>3516866.86</v>
      </c>
      <c r="D23" s="611"/>
      <c r="E23" s="612">
        <f t="shared" si="0"/>
        <v>3516866.86</v>
      </c>
      <c r="F23" s="611">
        <v>371930</v>
      </c>
      <c r="G23" s="611"/>
      <c r="H23" s="613">
        <f t="shared" si="1"/>
        <v>371930</v>
      </c>
    </row>
    <row r="24" spans="1:8">
      <c r="A24" s="610">
        <v>9</v>
      </c>
      <c r="B24" s="565" t="s">
        <v>741</v>
      </c>
      <c r="C24" s="611">
        <f>SUM(C25:C26)</f>
        <v>5141641.96</v>
      </c>
      <c r="D24" s="611">
        <f>SUM(D25:D26)</f>
        <v>0</v>
      </c>
      <c r="E24" s="612">
        <f t="shared" si="0"/>
        <v>5141641.96</v>
      </c>
      <c r="F24" s="611">
        <f>SUM(F25:F26)</f>
        <v>6503298.25</v>
      </c>
      <c r="G24" s="611">
        <f>SUM(G25:G26)</f>
        <v>0</v>
      </c>
      <c r="H24" s="613">
        <f t="shared" si="1"/>
        <v>6503298.25</v>
      </c>
    </row>
    <row r="25" spans="1:8">
      <c r="A25" s="610">
        <v>9.1</v>
      </c>
      <c r="B25" s="568" t="s">
        <v>742</v>
      </c>
      <c r="C25" s="611">
        <v>5141641.96</v>
      </c>
      <c r="D25" s="611"/>
      <c r="E25" s="612">
        <f t="shared" si="0"/>
        <v>5141641.96</v>
      </c>
      <c r="F25" s="611">
        <v>6503298.25</v>
      </c>
      <c r="G25" s="611"/>
      <c r="H25" s="613">
        <f t="shared" si="1"/>
        <v>6503298.25</v>
      </c>
    </row>
    <row r="26" spans="1:8">
      <c r="A26" s="610">
        <v>9.1999999999999993</v>
      </c>
      <c r="B26" s="568" t="s">
        <v>743</v>
      </c>
      <c r="C26" s="611"/>
      <c r="D26" s="611"/>
      <c r="E26" s="612">
        <f t="shared" si="0"/>
        <v>0</v>
      </c>
      <c r="F26" s="611"/>
      <c r="G26" s="611"/>
      <c r="H26" s="613">
        <f t="shared" si="1"/>
        <v>0</v>
      </c>
    </row>
    <row r="27" spans="1:8">
      <c r="A27" s="610">
        <v>10</v>
      </c>
      <c r="B27" s="565" t="s">
        <v>37</v>
      </c>
      <c r="C27" s="611">
        <f>SUM(C28:C29)</f>
        <v>5291279.91</v>
      </c>
      <c r="D27" s="611">
        <f>SUM(D28:D29)</f>
        <v>0</v>
      </c>
      <c r="E27" s="612">
        <f t="shared" si="0"/>
        <v>5291279.91</v>
      </c>
      <c r="F27" s="611">
        <f>SUM(F28:F29)</f>
        <v>4637309.6100000003</v>
      </c>
      <c r="G27" s="611">
        <f>SUM(G28:G29)</f>
        <v>0</v>
      </c>
      <c r="H27" s="613">
        <f t="shared" si="1"/>
        <v>4637309.6100000003</v>
      </c>
    </row>
    <row r="28" spans="1:8">
      <c r="A28" s="610">
        <v>10.1</v>
      </c>
      <c r="B28" s="568" t="s">
        <v>744</v>
      </c>
      <c r="C28" s="611"/>
      <c r="D28" s="611"/>
      <c r="E28" s="612">
        <f t="shared" si="0"/>
        <v>0</v>
      </c>
      <c r="F28" s="611"/>
      <c r="G28" s="611"/>
      <c r="H28" s="613">
        <f t="shared" si="1"/>
        <v>0</v>
      </c>
    </row>
    <row r="29" spans="1:8">
      <c r="A29" s="610">
        <v>10.199999999999999</v>
      </c>
      <c r="B29" s="568" t="s">
        <v>745</v>
      </c>
      <c r="C29" s="611">
        <v>5291279.91</v>
      </c>
      <c r="D29" s="611"/>
      <c r="E29" s="612">
        <f t="shared" si="0"/>
        <v>5291279.91</v>
      </c>
      <c r="F29" s="611">
        <v>4637309.6100000003</v>
      </c>
      <c r="G29" s="611"/>
      <c r="H29" s="613">
        <f t="shared" si="1"/>
        <v>4637309.6100000003</v>
      </c>
    </row>
    <row r="30" spans="1:8">
      <c r="A30" s="610">
        <v>11</v>
      </c>
      <c r="B30" s="565" t="s">
        <v>746</v>
      </c>
      <c r="C30" s="611">
        <f>SUM(C31:C32)</f>
        <v>0</v>
      </c>
      <c r="D30" s="611">
        <f>SUM(D31:D32)</f>
        <v>0</v>
      </c>
      <c r="E30" s="612">
        <f t="shared" si="0"/>
        <v>0</v>
      </c>
      <c r="F30" s="611">
        <f>SUM(F31:F32)</f>
        <v>0</v>
      </c>
      <c r="G30" s="611">
        <f>SUM(G31:G32)</f>
        <v>0</v>
      </c>
      <c r="H30" s="613">
        <f t="shared" si="1"/>
        <v>0</v>
      </c>
    </row>
    <row r="31" spans="1:8">
      <c r="A31" s="610">
        <v>11.1</v>
      </c>
      <c r="B31" s="568" t="s">
        <v>747</v>
      </c>
      <c r="C31" s="611"/>
      <c r="D31" s="611"/>
      <c r="E31" s="612">
        <f t="shared" si="0"/>
        <v>0</v>
      </c>
      <c r="F31" s="611"/>
      <c r="G31" s="611"/>
      <c r="H31" s="613">
        <f t="shared" si="1"/>
        <v>0</v>
      </c>
    </row>
    <row r="32" spans="1:8">
      <c r="A32" s="610">
        <v>11.2</v>
      </c>
      <c r="B32" s="568" t="s">
        <v>748</v>
      </c>
      <c r="C32" s="611"/>
      <c r="D32" s="611"/>
      <c r="E32" s="612">
        <f t="shared" si="0"/>
        <v>0</v>
      </c>
      <c r="F32" s="611"/>
      <c r="G32" s="611"/>
      <c r="H32" s="613">
        <f t="shared" si="1"/>
        <v>0</v>
      </c>
    </row>
    <row r="33" spans="1:8">
      <c r="A33" s="610">
        <v>13</v>
      </c>
      <c r="B33" s="565" t="s">
        <v>100</v>
      </c>
      <c r="C33" s="611">
        <v>2704930.5926000001</v>
      </c>
      <c r="D33" s="611">
        <v>66733.2978</v>
      </c>
      <c r="E33" s="612">
        <f t="shared" si="0"/>
        <v>2771663.8903999999</v>
      </c>
      <c r="F33" s="611">
        <v>1789649.23</v>
      </c>
      <c r="G33" s="611">
        <v>42984859.974893458</v>
      </c>
      <c r="H33" s="613">
        <f t="shared" si="1"/>
        <v>44774509.204893455</v>
      </c>
    </row>
    <row r="34" spans="1:8">
      <c r="A34" s="610">
        <v>13.1</v>
      </c>
      <c r="B34" s="569" t="s">
        <v>749</v>
      </c>
      <c r="C34" s="611"/>
      <c r="D34" s="611"/>
      <c r="E34" s="612">
        <f t="shared" si="0"/>
        <v>0</v>
      </c>
      <c r="F34" s="611"/>
      <c r="G34" s="611"/>
      <c r="H34" s="613">
        <f t="shared" si="1"/>
        <v>0</v>
      </c>
    </row>
    <row r="35" spans="1:8">
      <c r="A35" s="610">
        <v>13.2</v>
      </c>
      <c r="B35" s="569" t="s">
        <v>750</v>
      </c>
      <c r="C35" s="611"/>
      <c r="D35" s="611"/>
      <c r="E35" s="612">
        <f t="shared" si="0"/>
        <v>0</v>
      </c>
      <c r="F35" s="611"/>
      <c r="G35" s="611"/>
      <c r="H35" s="613">
        <f t="shared" si="1"/>
        <v>0</v>
      </c>
    </row>
    <row r="36" spans="1:8">
      <c r="A36" s="610">
        <v>14</v>
      </c>
      <c r="B36" s="570" t="s">
        <v>751</v>
      </c>
      <c r="C36" s="611">
        <f>SUM(C7,C11,C13,C14,C15,C19,C22,C23,C24,C27,C30,C33)</f>
        <v>228735154.63739997</v>
      </c>
      <c r="D36" s="611">
        <f>SUM(D7,D11,D13,D14,D15,D19,D22,D23,D24,D27,D30,D33)</f>
        <v>256244422.34969997</v>
      </c>
      <c r="E36" s="612">
        <f t="shared" si="0"/>
        <v>484979576.98709995</v>
      </c>
      <c r="F36" s="611">
        <f>SUM(F7,F11,F13,F14,F15,F19,F22,F23,F24,F27,F30,F33)</f>
        <v>195437549.51769999</v>
      </c>
      <c r="G36" s="611">
        <f>SUM(G7,G11,G13,G14,G15,G19,G22,G23,G24,G27,G30,G33)</f>
        <v>324980135.59549344</v>
      </c>
      <c r="H36" s="613">
        <f t="shared" si="1"/>
        <v>520417685.11319339</v>
      </c>
    </row>
    <row r="37" spans="1:8" ht="22.5" customHeight="1">
      <c r="A37" s="610"/>
      <c r="B37" s="571" t="s">
        <v>105</v>
      </c>
      <c r="C37" s="765"/>
      <c r="D37" s="766"/>
      <c r="E37" s="766"/>
      <c r="F37" s="766"/>
      <c r="G37" s="766"/>
      <c r="H37" s="767"/>
    </row>
    <row r="38" spans="1:8">
      <c r="A38" s="610">
        <v>15</v>
      </c>
      <c r="B38" s="567" t="s">
        <v>752</v>
      </c>
      <c r="C38" s="611">
        <f>C39</f>
        <v>624389.87</v>
      </c>
      <c r="D38" s="611">
        <f>D39</f>
        <v>0</v>
      </c>
      <c r="E38" s="612">
        <f>C38+D38</f>
        <v>624389.87</v>
      </c>
      <c r="F38" s="611">
        <f>F39</f>
        <v>4456905.6399999997</v>
      </c>
      <c r="G38" s="611">
        <f>G39</f>
        <v>0</v>
      </c>
      <c r="H38" s="613">
        <f>F38+G38</f>
        <v>4456905.6399999997</v>
      </c>
    </row>
    <row r="39" spans="1:8">
      <c r="A39" s="610">
        <v>15.1</v>
      </c>
      <c r="B39" s="563" t="s">
        <v>732</v>
      </c>
      <c r="C39" s="611">
        <v>624389.87</v>
      </c>
      <c r="D39" s="611"/>
      <c r="E39" s="612">
        <f t="shared" ref="E39:E53" si="2">C39+D39</f>
        <v>624389.87</v>
      </c>
      <c r="F39" s="611">
        <v>4456905.6399999997</v>
      </c>
      <c r="G39" s="611"/>
      <c r="H39" s="613">
        <f t="shared" ref="H39:H53" si="3">F39+G39</f>
        <v>4456905.6399999997</v>
      </c>
    </row>
    <row r="40" spans="1:8" ht="24" customHeight="1">
      <c r="A40" s="610">
        <v>16</v>
      </c>
      <c r="B40" s="567" t="s">
        <v>753</v>
      </c>
      <c r="C40" s="611"/>
      <c r="D40" s="611"/>
      <c r="E40" s="612">
        <f t="shared" si="2"/>
        <v>0</v>
      </c>
      <c r="F40" s="611"/>
      <c r="G40" s="611"/>
      <c r="H40" s="613">
        <f t="shared" si="3"/>
        <v>0</v>
      </c>
    </row>
    <row r="41" spans="1:8">
      <c r="A41" s="610">
        <v>17</v>
      </c>
      <c r="B41" s="567" t="s">
        <v>754</v>
      </c>
      <c r="C41" s="611">
        <f>SUM(C42:C45)</f>
        <v>98614923.810000002</v>
      </c>
      <c r="D41" s="611">
        <f>SUM(D42:D45)</f>
        <v>242396154.51100001</v>
      </c>
      <c r="E41" s="612">
        <f t="shared" si="2"/>
        <v>341011078.32099998</v>
      </c>
      <c r="F41" s="611">
        <f>SUM(F42:F45)</f>
        <v>81186341.629999995</v>
      </c>
      <c r="G41" s="611">
        <f>SUM(G42:G45)</f>
        <v>255374061.23520002</v>
      </c>
      <c r="H41" s="613">
        <f t="shared" si="3"/>
        <v>336560402.86520004</v>
      </c>
    </row>
    <row r="42" spans="1:8">
      <c r="A42" s="610">
        <v>17.100000000000001</v>
      </c>
      <c r="B42" s="572" t="s">
        <v>755</v>
      </c>
      <c r="C42" s="611">
        <v>98614923.810000002</v>
      </c>
      <c r="D42" s="611">
        <v>217129225.72389999</v>
      </c>
      <c r="E42" s="612">
        <f t="shared" si="2"/>
        <v>315744149.53390002</v>
      </c>
      <c r="F42" s="611">
        <v>65181445.189999998</v>
      </c>
      <c r="G42" s="611">
        <v>236729350.29330003</v>
      </c>
      <c r="H42" s="613">
        <f t="shared" si="3"/>
        <v>301910795.48330003</v>
      </c>
    </row>
    <row r="43" spans="1:8">
      <c r="A43" s="610">
        <v>17.2</v>
      </c>
      <c r="B43" s="573" t="s">
        <v>101</v>
      </c>
      <c r="C43" s="611">
        <v>0</v>
      </c>
      <c r="D43" s="611">
        <v>22008573.902199998</v>
      </c>
      <c r="E43" s="612">
        <f t="shared" si="2"/>
        <v>22008573.902199998</v>
      </c>
      <c r="F43" s="611">
        <v>16004896.439999999</v>
      </c>
      <c r="G43" s="611">
        <v>14543985.3144</v>
      </c>
      <c r="H43" s="613">
        <f t="shared" si="3"/>
        <v>30548881.7544</v>
      </c>
    </row>
    <row r="44" spans="1:8">
      <c r="A44" s="610">
        <v>17.3</v>
      </c>
      <c r="B44" s="572" t="s">
        <v>756</v>
      </c>
      <c r="C44" s="611"/>
      <c r="D44" s="611"/>
      <c r="E44" s="612">
        <f t="shared" si="2"/>
        <v>0</v>
      </c>
      <c r="F44" s="611"/>
      <c r="G44" s="611"/>
      <c r="H44" s="613">
        <f t="shared" si="3"/>
        <v>0</v>
      </c>
    </row>
    <row r="45" spans="1:8">
      <c r="A45" s="610">
        <v>17.399999999999999</v>
      </c>
      <c r="B45" s="572" t="s">
        <v>757</v>
      </c>
      <c r="C45" s="611">
        <v>0</v>
      </c>
      <c r="D45" s="611">
        <v>3258354.8848999999</v>
      </c>
      <c r="E45" s="612">
        <f t="shared" si="2"/>
        <v>3258354.8848999999</v>
      </c>
      <c r="F45" s="611">
        <v>0</v>
      </c>
      <c r="G45" s="611">
        <v>4100725.6274999999</v>
      </c>
      <c r="H45" s="613">
        <f t="shared" si="3"/>
        <v>4100725.6274999999</v>
      </c>
    </row>
    <row r="46" spans="1:8">
      <c r="A46" s="610">
        <v>18</v>
      </c>
      <c r="B46" s="565" t="s">
        <v>758</v>
      </c>
      <c r="C46" s="611">
        <v>883013.56090000004</v>
      </c>
      <c r="D46" s="611">
        <v>4037.3377</v>
      </c>
      <c r="E46" s="612">
        <f t="shared" si="2"/>
        <v>887050.89860000007</v>
      </c>
      <c r="F46" s="611">
        <v>452452.05560000002</v>
      </c>
      <c r="G46" s="611">
        <v>47677.932500000003</v>
      </c>
      <c r="H46" s="613">
        <f t="shared" si="3"/>
        <v>500129.98810000002</v>
      </c>
    </row>
    <row r="47" spans="1:8">
      <c r="A47" s="610">
        <v>19</v>
      </c>
      <c r="B47" s="565" t="s">
        <v>759</v>
      </c>
      <c r="C47" s="611">
        <f>SUM(C48:C49)</f>
        <v>0</v>
      </c>
      <c r="D47" s="611">
        <f>SUM(D48:D49)</f>
        <v>0</v>
      </c>
      <c r="E47" s="612">
        <f t="shared" si="2"/>
        <v>0</v>
      </c>
      <c r="F47" s="611">
        <f>SUM(F48:F49)</f>
        <v>0</v>
      </c>
      <c r="G47" s="611">
        <f>SUM(G48:G49)</f>
        <v>0</v>
      </c>
      <c r="H47" s="613">
        <f t="shared" si="3"/>
        <v>0</v>
      </c>
    </row>
    <row r="48" spans="1:8">
      <c r="A48" s="610">
        <v>19.100000000000001</v>
      </c>
      <c r="B48" s="574" t="s">
        <v>760</v>
      </c>
      <c r="C48" s="611"/>
      <c r="D48" s="611"/>
      <c r="E48" s="612">
        <f t="shared" si="2"/>
        <v>0</v>
      </c>
      <c r="F48" s="611"/>
      <c r="G48" s="611"/>
      <c r="H48" s="613">
        <f t="shared" si="3"/>
        <v>0</v>
      </c>
    </row>
    <row r="49" spans="1:11">
      <c r="A49" s="610">
        <v>19.2</v>
      </c>
      <c r="B49" s="574" t="s">
        <v>761</v>
      </c>
      <c r="C49" s="611"/>
      <c r="D49" s="611"/>
      <c r="E49" s="612">
        <f t="shared" si="2"/>
        <v>0</v>
      </c>
      <c r="F49" s="611"/>
      <c r="G49" s="611"/>
      <c r="H49" s="613">
        <f t="shared" si="3"/>
        <v>0</v>
      </c>
    </row>
    <row r="50" spans="1:11">
      <c r="A50" s="610">
        <v>20</v>
      </c>
      <c r="B50" s="570" t="s">
        <v>102</v>
      </c>
      <c r="C50" s="611">
        <v>0</v>
      </c>
      <c r="D50" s="611">
        <v>27729803.726</v>
      </c>
      <c r="E50" s="612">
        <f t="shared" si="2"/>
        <v>27729803.726</v>
      </c>
      <c r="F50" s="611">
        <v>0</v>
      </c>
      <c r="G50" s="611">
        <v>28100508.039999999</v>
      </c>
      <c r="H50" s="613">
        <f t="shared" si="3"/>
        <v>28100508.039999999</v>
      </c>
    </row>
    <row r="51" spans="1:11">
      <c r="A51" s="610">
        <v>21</v>
      </c>
      <c r="B51" s="575" t="s">
        <v>90</v>
      </c>
      <c r="C51" s="611">
        <v>4040788.87</v>
      </c>
      <c r="D51" s="611">
        <v>1165267.2645</v>
      </c>
      <c r="E51" s="612">
        <f t="shared" si="2"/>
        <v>5206056.1345000006</v>
      </c>
      <c r="F51" s="611">
        <v>3593390.29</v>
      </c>
      <c r="G51" s="611">
        <v>44937763.984100007</v>
      </c>
      <c r="H51" s="613">
        <f t="shared" si="3"/>
        <v>48531154.274100006</v>
      </c>
    </row>
    <row r="52" spans="1:11">
      <c r="A52" s="610">
        <v>21.1</v>
      </c>
      <c r="B52" s="573" t="s">
        <v>762</v>
      </c>
      <c r="C52" s="611"/>
      <c r="D52" s="611"/>
      <c r="E52" s="612">
        <f t="shared" si="2"/>
        <v>0</v>
      </c>
      <c r="F52" s="611"/>
      <c r="G52" s="611"/>
      <c r="H52" s="613">
        <f t="shared" si="3"/>
        <v>0</v>
      </c>
    </row>
    <row r="53" spans="1:11">
      <c r="A53" s="610">
        <v>22</v>
      </c>
      <c r="B53" s="570" t="s">
        <v>763</v>
      </c>
      <c r="C53" s="611">
        <f>SUM(C38,C40,C41,C46,C47,C50,C51)</f>
        <v>104163116.11090001</v>
      </c>
      <c r="D53" s="611">
        <f>SUM(D38,D40,D41,D46,D47,D50,D51)</f>
        <v>271295262.83920002</v>
      </c>
      <c r="E53" s="612">
        <f t="shared" si="2"/>
        <v>375458378.95010006</v>
      </c>
      <c r="F53" s="611">
        <f>SUM(F38,F40,F41,F46,F47,F50,F51)</f>
        <v>89689089.615600005</v>
      </c>
      <c r="G53" s="611">
        <f>SUM(G38,G40,G41,G46,G47,G50,G51)</f>
        <v>328460011.1918</v>
      </c>
      <c r="H53" s="613">
        <f t="shared" si="3"/>
        <v>418149100.80739999</v>
      </c>
    </row>
    <row r="54" spans="1:11" ht="24" customHeight="1">
      <c r="A54" s="610"/>
      <c r="B54" s="571" t="s">
        <v>764</v>
      </c>
      <c r="C54" s="765"/>
      <c r="D54" s="766"/>
      <c r="E54" s="766"/>
      <c r="F54" s="766"/>
      <c r="G54" s="766"/>
      <c r="H54" s="767"/>
    </row>
    <row r="55" spans="1:11">
      <c r="A55" s="610">
        <v>23</v>
      </c>
      <c r="B55" s="570" t="s">
        <v>106</v>
      </c>
      <c r="C55" s="611">
        <v>136800000</v>
      </c>
      <c r="D55" s="611"/>
      <c r="E55" s="612">
        <f>C55+D55</f>
        <v>136800000</v>
      </c>
      <c r="F55" s="611">
        <v>129000000</v>
      </c>
      <c r="G55" s="611"/>
      <c r="H55" s="613">
        <f>F55+G55</f>
        <v>129000000</v>
      </c>
    </row>
    <row r="56" spans="1:11">
      <c r="A56" s="610">
        <v>24</v>
      </c>
      <c r="B56" s="570" t="s">
        <v>765</v>
      </c>
      <c r="C56" s="611"/>
      <c r="D56" s="611"/>
      <c r="E56" s="612">
        <f t="shared" ref="E56:E69" si="4">C56+D56</f>
        <v>0</v>
      </c>
      <c r="F56" s="611"/>
      <c r="G56" s="611"/>
      <c r="H56" s="613">
        <f t="shared" ref="H56:H69" si="5">F56+G56</f>
        <v>0</v>
      </c>
    </row>
    <row r="57" spans="1:11">
      <c r="A57" s="610">
        <v>25</v>
      </c>
      <c r="B57" s="570" t="s">
        <v>103</v>
      </c>
      <c r="C57" s="611"/>
      <c r="D57" s="611"/>
      <c r="E57" s="612">
        <f t="shared" si="4"/>
        <v>0</v>
      </c>
      <c r="F57" s="611"/>
      <c r="G57" s="611"/>
      <c r="H57" s="613">
        <f t="shared" si="5"/>
        <v>0</v>
      </c>
    </row>
    <row r="58" spans="1:11">
      <c r="A58" s="610">
        <v>26</v>
      </c>
      <c r="B58" s="565" t="s">
        <v>766</v>
      </c>
      <c r="C58" s="611"/>
      <c r="D58" s="611"/>
      <c r="E58" s="612">
        <f t="shared" si="4"/>
        <v>0</v>
      </c>
      <c r="F58" s="611"/>
      <c r="G58" s="611"/>
      <c r="H58" s="613">
        <f t="shared" si="5"/>
        <v>0</v>
      </c>
    </row>
    <row r="59" spans="1:11">
      <c r="A59" s="610">
        <v>27</v>
      </c>
      <c r="B59" s="565" t="s">
        <v>767</v>
      </c>
      <c r="C59" s="611">
        <f>SUM(C60:C61)</f>
        <v>1154910.5</v>
      </c>
      <c r="D59" s="611">
        <f>SUM(D60:D61)</f>
        <v>0</v>
      </c>
      <c r="E59" s="612">
        <f t="shared" si="4"/>
        <v>1154910.5</v>
      </c>
      <c r="F59" s="611">
        <f>SUM(F60:F61)</f>
        <v>1154910.5</v>
      </c>
      <c r="G59" s="611"/>
      <c r="H59" s="613">
        <f t="shared" si="5"/>
        <v>1154910.5</v>
      </c>
    </row>
    <row r="60" spans="1:11">
      <c r="A60" s="610">
        <v>27.1</v>
      </c>
      <c r="B60" s="574" t="s">
        <v>768</v>
      </c>
      <c r="C60" s="611">
        <v>1154910.5</v>
      </c>
      <c r="D60" s="611"/>
      <c r="E60" s="612">
        <f t="shared" si="4"/>
        <v>1154910.5</v>
      </c>
      <c r="F60" s="611">
        <v>1154910.5</v>
      </c>
      <c r="G60" s="611"/>
      <c r="H60" s="613">
        <f t="shared" si="5"/>
        <v>1154910.5</v>
      </c>
    </row>
    <row r="61" spans="1:11">
      <c r="A61" s="610">
        <v>27.2</v>
      </c>
      <c r="B61" s="572" t="s">
        <v>769</v>
      </c>
      <c r="C61" s="611"/>
      <c r="D61" s="611"/>
      <c r="E61" s="612">
        <f t="shared" si="4"/>
        <v>0</v>
      </c>
      <c r="F61" s="611"/>
      <c r="G61" s="611"/>
      <c r="H61" s="613">
        <f t="shared" si="5"/>
        <v>0</v>
      </c>
    </row>
    <row r="62" spans="1:11">
      <c r="A62" s="610">
        <v>28</v>
      </c>
      <c r="B62" s="575" t="s">
        <v>770</v>
      </c>
      <c r="C62" s="611"/>
      <c r="D62" s="611"/>
      <c r="E62" s="612">
        <f t="shared" si="4"/>
        <v>0</v>
      </c>
      <c r="F62" s="611"/>
      <c r="G62" s="611"/>
      <c r="H62" s="613">
        <f t="shared" si="5"/>
        <v>0</v>
      </c>
    </row>
    <row r="63" spans="1:11">
      <c r="A63" s="610">
        <v>29</v>
      </c>
      <c r="B63" s="565" t="s">
        <v>771</v>
      </c>
      <c r="C63" s="611">
        <f>SUM(C64:C66)</f>
        <v>0</v>
      </c>
      <c r="D63" s="611">
        <f>SUM(D64:D66)</f>
        <v>0</v>
      </c>
      <c r="E63" s="612">
        <f t="shared" si="4"/>
        <v>0</v>
      </c>
      <c r="F63" s="611"/>
      <c r="G63" s="611"/>
      <c r="H63" s="613">
        <f t="shared" si="5"/>
        <v>0</v>
      </c>
    </row>
    <row r="64" spans="1:11">
      <c r="A64" s="610">
        <v>29.1</v>
      </c>
      <c r="B64" s="566" t="s">
        <v>772</v>
      </c>
      <c r="C64" s="611"/>
      <c r="D64" s="611"/>
      <c r="E64" s="612">
        <f t="shared" si="4"/>
        <v>0</v>
      </c>
      <c r="F64" s="611"/>
      <c r="G64" s="611"/>
      <c r="H64" s="613">
        <f t="shared" si="5"/>
        <v>0</v>
      </c>
      <c r="K64" s="654"/>
    </row>
    <row r="65" spans="1:8" ht="25.05" customHeight="1">
      <c r="A65" s="610">
        <v>29.2</v>
      </c>
      <c r="B65" s="574" t="s">
        <v>773</v>
      </c>
      <c r="C65" s="611"/>
      <c r="D65" s="611"/>
      <c r="E65" s="612">
        <f t="shared" si="4"/>
        <v>0</v>
      </c>
      <c r="F65" s="611"/>
      <c r="G65" s="611"/>
      <c r="H65" s="613">
        <f t="shared" si="5"/>
        <v>0</v>
      </c>
    </row>
    <row r="66" spans="1:8" ht="22.5" customHeight="1">
      <c r="A66" s="610">
        <v>29.3</v>
      </c>
      <c r="B66" s="568" t="s">
        <v>774</v>
      </c>
      <c r="C66" s="611"/>
      <c r="D66" s="611"/>
      <c r="E66" s="612">
        <f t="shared" si="4"/>
        <v>0</v>
      </c>
      <c r="F66" s="611"/>
      <c r="G66" s="611"/>
      <c r="H66" s="613">
        <f t="shared" si="5"/>
        <v>0</v>
      </c>
    </row>
    <row r="67" spans="1:8">
      <c r="A67" s="610">
        <v>30</v>
      </c>
      <c r="B67" s="565" t="s">
        <v>104</v>
      </c>
      <c r="C67" s="611">
        <v>-28433712.91</v>
      </c>
      <c r="D67" s="611"/>
      <c r="E67" s="612">
        <f t="shared" si="4"/>
        <v>-28433712.91</v>
      </c>
      <c r="F67" s="611">
        <v>-27886326.234709755</v>
      </c>
      <c r="G67" s="611"/>
      <c r="H67" s="613">
        <f t="shared" si="5"/>
        <v>-27886326.234709755</v>
      </c>
    </row>
    <row r="68" spans="1:8">
      <c r="A68" s="610">
        <v>31</v>
      </c>
      <c r="B68" s="617" t="s">
        <v>775</v>
      </c>
      <c r="C68" s="611">
        <f>SUM(C55,C56,C57,C58,C59,C62,C63,C67)</f>
        <v>109521197.59</v>
      </c>
      <c r="D68" s="611">
        <f>SUM(D55,D56,D57,D58,D59,D62,D63,D67)</f>
        <v>0</v>
      </c>
      <c r="E68" s="612">
        <f t="shared" si="4"/>
        <v>109521197.59</v>
      </c>
      <c r="F68" s="611">
        <f>SUM(F55,F56,F57,F58,F59,F62,F63,F67)</f>
        <v>102268584.26529025</v>
      </c>
      <c r="G68" s="611">
        <f>SUM(G55,G56,G57,G58,G59,G62,G63,G67)</f>
        <v>0</v>
      </c>
      <c r="H68" s="613">
        <f t="shared" si="5"/>
        <v>102268584.26529025</v>
      </c>
    </row>
    <row r="69" spans="1:8" ht="15" thickBot="1">
      <c r="A69" s="618">
        <v>32</v>
      </c>
      <c r="B69" s="619" t="s">
        <v>776</v>
      </c>
      <c r="C69" s="620">
        <f>SUM(C53,C68)</f>
        <v>213684313.70090002</v>
      </c>
      <c r="D69" s="620">
        <f>SUM(D53,D68)</f>
        <v>271295262.83920002</v>
      </c>
      <c r="E69" s="621">
        <f t="shared" si="4"/>
        <v>484979576.54010004</v>
      </c>
      <c r="F69" s="620">
        <f>SUM(F53,F68)</f>
        <v>191957673.88089025</v>
      </c>
      <c r="G69" s="620">
        <f>SUM(G53,G68)</f>
        <v>328460011.1918</v>
      </c>
      <c r="H69" s="622">
        <f t="shared" si="5"/>
        <v>520417685.07269025</v>
      </c>
    </row>
  </sheetData>
  <mergeCells count="7">
    <mergeCell ref="C37:H37"/>
    <mergeCell ref="C54:H54"/>
    <mergeCell ref="A4:A6"/>
    <mergeCell ref="B4:B5"/>
    <mergeCell ref="C4:E4"/>
    <mergeCell ref="F4:H4"/>
    <mergeCell ref="C6:H6"/>
  </mergeCells>
  <pageMargins left="0.7" right="0.7" top="0.75" bottom="0.75" header="0.3" footer="0.3"/>
  <pageSetup paperSize="9" scale="3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heetViews>
  <sheetFormatPr defaultColWidth="43.5546875" defaultRowHeight="12"/>
  <cols>
    <col min="1" max="1" width="8" style="151" customWidth="1"/>
    <col min="2" max="2" width="66.21875" style="152" customWidth="1"/>
    <col min="3" max="3" width="131.44140625" style="153" customWidth="1"/>
    <col min="4" max="5" width="10.21875" style="144" customWidth="1"/>
    <col min="6" max="6" width="67.6640625" style="144" customWidth="1"/>
    <col min="7" max="16384" width="43.5546875" style="144"/>
  </cols>
  <sheetData>
    <row r="1" spans="1:3" ht="13.2" thickTop="1" thickBot="1">
      <c r="A1" s="930" t="s">
        <v>188</v>
      </c>
      <c r="B1" s="931"/>
      <c r="C1" s="932"/>
    </row>
    <row r="2" spans="1:3" ht="26.25" customHeight="1">
      <c r="A2" s="392"/>
      <c r="B2" s="933" t="s">
        <v>189</v>
      </c>
      <c r="C2" s="933"/>
    </row>
    <row r="3" spans="1:3" s="149" customFormat="1" ht="11.25" customHeight="1">
      <c r="A3" s="148"/>
      <c r="B3" s="933" t="s">
        <v>264</v>
      </c>
      <c r="C3" s="933"/>
    </row>
    <row r="4" spans="1:3" ht="12" customHeight="1" thickBot="1">
      <c r="A4" s="912" t="s">
        <v>268</v>
      </c>
      <c r="B4" s="913"/>
      <c r="C4" s="914"/>
    </row>
    <row r="5" spans="1:3" ht="12.6" thickTop="1">
      <c r="A5" s="145"/>
      <c r="B5" s="915" t="s">
        <v>190</v>
      </c>
      <c r="C5" s="916"/>
    </row>
    <row r="6" spans="1:3">
      <c r="A6" s="392"/>
      <c r="B6" s="892" t="s">
        <v>265</v>
      </c>
      <c r="C6" s="893"/>
    </row>
    <row r="7" spans="1:3">
      <c r="A7" s="392"/>
      <c r="B7" s="892" t="s">
        <v>191</v>
      </c>
      <c r="C7" s="893"/>
    </row>
    <row r="8" spans="1:3">
      <c r="A8" s="392"/>
      <c r="B8" s="892" t="s">
        <v>266</v>
      </c>
      <c r="C8" s="893"/>
    </row>
    <row r="9" spans="1:3">
      <c r="A9" s="392"/>
      <c r="B9" s="936" t="s">
        <v>267</v>
      </c>
      <c r="C9" s="937"/>
    </row>
    <row r="10" spans="1:3">
      <c r="A10" s="392"/>
      <c r="B10" s="928" t="s">
        <v>192</v>
      </c>
      <c r="C10" s="929" t="s">
        <v>192</v>
      </c>
    </row>
    <row r="11" spans="1:3">
      <c r="A11" s="392"/>
      <c r="B11" s="928" t="s">
        <v>193</v>
      </c>
      <c r="C11" s="929" t="s">
        <v>193</v>
      </c>
    </row>
    <row r="12" spans="1:3">
      <c r="A12" s="392"/>
      <c r="B12" s="928" t="s">
        <v>194</v>
      </c>
      <c r="C12" s="929" t="s">
        <v>194</v>
      </c>
    </row>
    <row r="13" spans="1:3">
      <c r="A13" s="392"/>
      <c r="B13" s="928" t="s">
        <v>195</v>
      </c>
      <c r="C13" s="929" t="s">
        <v>195</v>
      </c>
    </row>
    <row r="14" spans="1:3">
      <c r="A14" s="392"/>
      <c r="B14" s="928" t="s">
        <v>196</v>
      </c>
      <c r="C14" s="929" t="s">
        <v>196</v>
      </c>
    </row>
    <row r="15" spans="1:3" ht="21.75" customHeight="1">
      <c r="A15" s="392"/>
      <c r="B15" s="928" t="s">
        <v>197</v>
      </c>
      <c r="C15" s="929" t="s">
        <v>197</v>
      </c>
    </row>
    <row r="16" spans="1:3">
      <c r="A16" s="392"/>
      <c r="B16" s="928" t="s">
        <v>198</v>
      </c>
      <c r="C16" s="929" t="s">
        <v>199</v>
      </c>
    </row>
    <row r="17" spans="1:6">
      <c r="A17" s="392"/>
      <c r="B17" s="928" t="s">
        <v>200</v>
      </c>
      <c r="C17" s="929" t="s">
        <v>201</v>
      </c>
    </row>
    <row r="18" spans="1:6">
      <c r="A18" s="392"/>
      <c r="B18" s="928" t="s">
        <v>202</v>
      </c>
      <c r="C18" s="929" t="s">
        <v>203</v>
      </c>
    </row>
    <row r="19" spans="1:6">
      <c r="A19" s="392"/>
      <c r="B19" s="928" t="s">
        <v>204</v>
      </c>
      <c r="C19" s="929" t="s">
        <v>204</v>
      </c>
    </row>
    <row r="20" spans="1:6">
      <c r="A20" s="392"/>
      <c r="B20" s="934" t="s">
        <v>960</v>
      </c>
      <c r="C20" s="935" t="s">
        <v>205</v>
      </c>
    </row>
    <row r="21" spans="1:6">
      <c r="A21" s="392"/>
      <c r="B21" s="928" t="s">
        <v>949</v>
      </c>
      <c r="C21" s="929" t="s">
        <v>206</v>
      </c>
    </row>
    <row r="22" spans="1:6" ht="23.25" customHeight="1">
      <c r="A22" s="392"/>
      <c r="B22" s="928" t="s">
        <v>207</v>
      </c>
      <c r="C22" s="929" t="s">
        <v>208</v>
      </c>
      <c r="F22" s="552"/>
    </row>
    <row r="23" spans="1:6">
      <c r="A23" s="392"/>
      <c r="B23" s="928" t="s">
        <v>209</v>
      </c>
      <c r="C23" s="929" t="s">
        <v>209</v>
      </c>
    </row>
    <row r="24" spans="1:6">
      <c r="A24" s="392"/>
      <c r="B24" s="928" t="s">
        <v>210</v>
      </c>
      <c r="C24" s="929" t="s">
        <v>211</v>
      </c>
    </row>
    <row r="25" spans="1:6" ht="12.6" thickBot="1">
      <c r="A25" s="146"/>
      <c r="B25" s="922" t="s">
        <v>212</v>
      </c>
      <c r="C25" s="923"/>
    </row>
    <row r="26" spans="1:6" ht="13.2" thickTop="1" thickBot="1">
      <c r="A26" s="912" t="s">
        <v>845</v>
      </c>
      <c r="B26" s="913"/>
      <c r="C26" s="914"/>
    </row>
    <row r="27" spans="1:6" ht="13.2" thickTop="1" thickBot="1">
      <c r="A27" s="147"/>
      <c r="B27" s="924" t="s">
        <v>846</v>
      </c>
      <c r="C27" s="925"/>
    </row>
    <row r="28" spans="1:6" ht="13.2" thickTop="1" thickBot="1">
      <c r="A28" s="912" t="s">
        <v>269</v>
      </c>
      <c r="B28" s="913"/>
      <c r="C28" s="914"/>
    </row>
    <row r="29" spans="1:6" ht="12.6" thickTop="1">
      <c r="A29" s="145"/>
      <c r="B29" s="926" t="s">
        <v>849</v>
      </c>
      <c r="C29" s="927" t="s">
        <v>213</v>
      </c>
    </row>
    <row r="30" spans="1:6">
      <c r="A30" s="392"/>
      <c r="B30" s="917" t="s">
        <v>217</v>
      </c>
      <c r="C30" s="918" t="s">
        <v>214</v>
      </c>
    </row>
    <row r="31" spans="1:6">
      <c r="A31" s="392"/>
      <c r="B31" s="917" t="s">
        <v>847</v>
      </c>
      <c r="C31" s="918" t="s">
        <v>215</v>
      </c>
    </row>
    <row r="32" spans="1:6">
      <c r="A32" s="392"/>
      <c r="B32" s="917" t="s">
        <v>848</v>
      </c>
      <c r="C32" s="918" t="s">
        <v>216</v>
      </c>
    </row>
    <row r="33" spans="1:3">
      <c r="A33" s="392"/>
      <c r="B33" s="917" t="s">
        <v>220</v>
      </c>
      <c r="C33" s="918" t="s">
        <v>221</v>
      </c>
    </row>
    <row r="34" spans="1:3">
      <c r="A34" s="392"/>
      <c r="B34" s="917" t="s">
        <v>850</v>
      </c>
      <c r="C34" s="918" t="s">
        <v>218</v>
      </c>
    </row>
    <row r="35" spans="1:3">
      <c r="A35" s="392"/>
      <c r="B35" s="917" t="s">
        <v>851</v>
      </c>
      <c r="C35" s="918" t="s">
        <v>219</v>
      </c>
    </row>
    <row r="36" spans="1:3">
      <c r="A36" s="392"/>
      <c r="B36" s="919" t="s">
        <v>852</v>
      </c>
      <c r="C36" s="920"/>
    </row>
    <row r="37" spans="1:3" ht="24.75" customHeight="1">
      <c r="A37" s="392"/>
      <c r="B37" s="917" t="s">
        <v>853</v>
      </c>
      <c r="C37" s="918" t="s">
        <v>222</v>
      </c>
    </row>
    <row r="38" spans="1:3" ht="23.25" customHeight="1">
      <c r="A38" s="392"/>
      <c r="B38" s="917" t="s">
        <v>854</v>
      </c>
      <c r="C38" s="918" t="s">
        <v>223</v>
      </c>
    </row>
    <row r="39" spans="1:3" ht="23.25" customHeight="1">
      <c r="A39" s="420"/>
      <c r="B39" s="919" t="s">
        <v>855</v>
      </c>
      <c r="C39" s="921"/>
    </row>
    <row r="40" spans="1:3" ht="12" customHeight="1">
      <c r="A40" s="392"/>
      <c r="B40" s="917" t="s">
        <v>856</v>
      </c>
      <c r="C40" s="918"/>
    </row>
    <row r="41" spans="1:3" ht="12.6" thickBot="1">
      <c r="A41" s="912" t="s">
        <v>270</v>
      </c>
      <c r="B41" s="913"/>
      <c r="C41" s="914"/>
    </row>
    <row r="42" spans="1:3" ht="12.6" thickTop="1">
      <c r="A42" s="145"/>
      <c r="B42" s="915" t="s">
        <v>300</v>
      </c>
      <c r="C42" s="916" t="s">
        <v>224</v>
      </c>
    </row>
    <row r="43" spans="1:3">
      <c r="A43" s="392"/>
      <c r="B43" s="892" t="s">
        <v>299</v>
      </c>
      <c r="C43" s="893"/>
    </row>
    <row r="44" spans="1:3" ht="23.25" customHeight="1" thickBot="1">
      <c r="A44" s="146"/>
      <c r="B44" s="910" t="s">
        <v>225</v>
      </c>
      <c r="C44" s="911" t="s">
        <v>226</v>
      </c>
    </row>
    <row r="45" spans="1:3" ht="11.25" customHeight="1" thickTop="1" thickBot="1">
      <c r="A45" s="912" t="s">
        <v>271</v>
      </c>
      <c r="B45" s="913"/>
      <c r="C45" s="914"/>
    </row>
    <row r="46" spans="1:3" ht="26.25" customHeight="1" thickTop="1">
      <c r="A46" s="392"/>
      <c r="B46" s="892" t="s">
        <v>272</v>
      </c>
      <c r="C46" s="893"/>
    </row>
    <row r="47" spans="1:3" ht="12.6" thickBot="1">
      <c r="A47" s="912" t="s">
        <v>273</v>
      </c>
      <c r="B47" s="913"/>
      <c r="C47" s="914"/>
    </row>
    <row r="48" spans="1:3" ht="12.6" thickTop="1">
      <c r="A48" s="145"/>
      <c r="B48" s="915" t="s">
        <v>227</v>
      </c>
      <c r="C48" s="916" t="s">
        <v>227</v>
      </c>
    </row>
    <row r="49" spans="1:3" ht="11.25" customHeight="1">
      <c r="A49" s="392"/>
      <c r="B49" s="892" t="s">
        <v>228</v>
      </c>
      <c r="C49" s="893" t="s">
        <v>228</v>
      </c>
    </row>
    <row r="50" spans="1:3">
      <c r="A50" s="392"/>
      <c r="B50" s="892" t="s">
        <v>229</v>
      </c>
      <c r="C50" s="893" t="s">
        <v>229</v>
      </c>
    </row>
    <row r="51" spans="1:3" ht="11.25" customHeight="1">
      <c r="A51" s="392"/>
      <c r="B51" s="892" t="s">
        <v>858</v>
      </c>
      <c r="C51" s="893" t="s">
        <v>230</v>
      </c>
    </row>
    <row r="52" spans="1:3" ht="33.6" customHeight="1">
      <c r="A52" s="392"/>
      <c r="B52" s="892" t="s">
        <v>231</v>
      </c>
      <c r="C52" s="893" t="s">
        <v>231</v>
      </c>
    </row>
    <row r="53" spans="1:3" ht="11.25" customHeight="1">
      <c r="A53" s="392"/>
      <c r="B53" s="892" t="s">
        <v>320</v>
      </c>
      <c r="C53" s="893" t="s">
        <v>232</v>
      </c>
    </row>
    <row r="54" spans="1:3" ht="11.25" customHeight="1" thickBot="1">
      <c r="A54" s="912" t="s">
        <v>274</v>
      </c>
      <c r="B54" s="913"/>
      <c r="C54" s="914"/>
    </row>
    <row r="55" spans="1:3" ht="12.6" thickTop="1">
      <c r="A55" s="145"/>
      <c r="B55" s="915" t="s">
        <v>227</v>
      </c>
      <c r="C55" s="916" t="s">
        <v>227</v>
      </c>
    </row>
    <row r="56" spans="1:3">
      <c r="A56" s="392"/>
      <c r="B56" s="892" t="s">
        <v>233</v>
      </c>
      <c r="C56" s="893" t="s">
        <v>233</v>
      </c>
    </row>
    <row r="57" spans="1:3">
      <c r="A57" s="392"/>
      <c r="B57" s="892" t="s">
        <v>277</v>
      </c>
      <c r="C57" s="893" t="s">
        <v>234</v>
      </c>
    </row>
    <row r="58" spans="1:3">
      <c r="A58" s="392"/>
      <c r="B58" s="892" t="s">
        <v>235</v>
      </c>
      <c r="C58" s="893" t="s">
        <v>235</v>
      </c>
    </row>
    <row r="59" spans="1:3">
      <c r="A59" s="392"/>
      <c r="B59" s="892" t="s">
        <v>236</v>
      </c>
      <c r="C59" s="893" t="s">
        <v>236</v>
      </c>
    </row>
    <row r="60" spans="1:3">
      <c r="A60" s="392"/>
      <c r="B60" s="892" t="s">
        <v>237</v>
      </c>
      <c r="C60" s="893" t="s">
        <v>237</v>
      </c>
    </row>
    <row r="61" spans="1:3">
      <c r="A61" s="392"/>
      <c r="B61" s="892" t="s">
        <v>278</v>
      </c>
      <c r="C61" s="893" t="s">
        <v>238</v>
      </c>
    </row>
    <row r="62" spans="1:3">
      <c r="A62" s="392"/>
      <c r="B62" s="892" t="s">
        <v>239</v>
      </c>
      <c r="C62" s="893" t="s">
        <v>239</v>
      </c>
    </row>
    <row r="63" spans="1:3" ht="12.6" thickBot="1">
      <c r="A63" s="146"/>
      <c r="B63" s="910" t="s">
        <v>240</v>
      </c>
      <c r="C63" s="911" t="s">
        <v>240</v>
      </c>
    </row>
    <row r="64" spans="1:3" ht="11.25" customHeight="1" thickTop="1">
      <c r="A64" s="898" t="s">
        <v>275</v>
      </c>
      <c r="B64" s="899"/>
      <c r="C64" s="900"/>
    </row>
    <row r="65" spans="1:3" ht="12.6" thickBot="1">
      <c r="A65" s="146"/>
      <c r="B65" s="910" t="s">
        <v>241</v>
      </c>
      <c r="C65" s="911" t="s">
        <v>241</v>
      </c>
    </row>
    <row r="66" spans="1:3" ht="11.25" customHeight="1" thickTop="1" thickBot="1">
      <c r="A66" s="912" t="s">
        <v>276</v>
      </c>
      <c r="B66" s="913"/>
      <c r="C66" s="914"/>
    </row>
    <row r="67" spans="1:3" ht="12.6" thickTop="1">
      <c r="A67" s="145"/>
      <c r="B67" s="915" t="s">
        <v>242</v>
      </c>
      <c r="C67" s="916" t="s">
        <v>242</v>
      </c>
    </row>
    <row r="68" spans="1:3">
      <c r="A68" s="392"/>
      <c r="B68" s="892" t="s">
        <v>860</v>
      </c>
      <c r="C68" s="893" t="s">
        <v>243</v>
      </c>
    </row>
    <row r="69" spans="1:3">
      <c r="A69" s="392"/>
      <c r="B69" s="892" t="s">
        <v>244</v>
      </c>
      <c r="C69" s="893" t="s">
        <v>244</v>
      </c>
    </row>
    <row r="70" spans="1:3" ht="55.05" customHeight="1">
      <c r="A70" s="392"/>
      <c r="B70" s="908" t="s">
        <v>689</v>
      </c>
      <c r="C70" s="909" t="s">
        <v>245</v>
      </c>
    </row>
    <row r="71" spans="1:3" ht="33.75" customHeight="1">
      <c r="A71" s="392"/>
      <c r="B71" s="908" t="s">
        <v>279</v>
      </c>
      <c r="C71" s="909" t="s">
        <v>246</v>
      </c>
    </row>
    <row r="72" spans="1:3" ht="15.75" customHeight="1">
      <c r="A72" s="392"/>
      <c r="B72" s="908" t="s">
        <v>861</v>
      </c>
      <c r="C72" s="909" t="s">
        <v>247</v>
      </c>
    </row>
    <row r="73" spans="1:3">
      <c r="A73" s="392"/>
      <c r="B73" s="892" t="s">
        <v>248</v>
      </c>
      <c r="C73" s="893" t="s">
        <v>248</v>
      </c>
    </row>
    <row r="74" spans="1:3" ht="12.6" thickBot="1">
      <c r="A74" s="146"/>
      <c r="B74" s="910" t="s">
        <v>249</v>
      </c>
      <c r="C74" s="911" t="s">
        <v>249</v>
      </c>
    </row>
    <row r="75" spans="1:3" ht="12.6" thickTop="1">
      <c r="A75" s="898" t="s">
        <v>303</v>
      </c>
      <c r="B75" s="899"/>
      <c r="C75" s="900"/>
    </row>
    <row r="76" spans="1:3">
      <c r="A76" s="392"/>
      <c r="B76" s="892" t="s">
        <v>241</v>
      </c>
      <c r="C76" s="893"/>
    </row>
    <row r="77" spans="1:3">
      <c r="A77" s="392"/>
      <c r="B77" s="892" t="s">
        <v>301</v>
      </c>
      <c r="C77" s="893"/>
    </row>
    <row r="78" spans="1:3">
      <c r="A78" s="392"/>
      <c r="B78" s="892" t="s">
        <v>302</v>
      </c>
      <c r="C78" s="893"/>
    </row>
    <row r="79" spans="1:3">
      <c r="A79" s="898" t="s">
        <v>304</v>
      </c>
      <c r="B79" s="899"/>
      <c r="C79" s="900"/>
    </row>
    <row r="80" spans="1:3">
      <c r="A80" s="392"/>
      <c r="B80" s="892" t="s">
        <v>241</v>
      </c>
      <c r="C80" s="893"/>
    </row>
    <row r="81" spans="1:3">
      <c r="A81" s="392"/>
      <c r="B81" s="892" t="s">
        <v>305</v>
      </c>
      <c r="C81" s="893"/>
    </row>
    <row r="82" spans="1:3" ht="79.5" customHeight="1">
      <c r="A82" s="392"/>
      <c r="B82" s="892" t="s">
        <v>319</v>
      </c>
      <c r="C82" s="893"/>
    </row>
    <row r="83" spans="1:3" ht="53.25" customHeight="1">
      <c r="A83" s="392"/>
      <c r="B83" s="892" t="s">
        <v>318</v>
      </c>
      <c r="C83" s="893"/>
    </row>
    <row r="84" spans="1:3">
      <c r="A84" s="392"/>
      <c r="B84" s="892" t="s">
        <v>306</v>
      </c>
      <c r="C84" s="893"/>
    </row>
    <row r="85" spans="1:3">
      <c r="A85" s="392"/>
      <c r="B85" s="892" t="s">
        <v>307</v>
      </c>
      <c r="C85" s="893"/>
    </row>
    <row r="86" spans="1:3">
      <c r="A86" s="392"/>
      <c r="B86" s="892" t="s">
        <v>308</v>
      </c>
      <c r="C86" s="893"/>
    </row>
    <row r="87" spans="1:3">
      <c r="A87" s="898" t="s">
        <v>309</v>
      </c>
      <c r="B87" s="899"/>
      <c r="C87" s="900"/>
    </row>
    <row r="88" spans="1:3">
      <c r="A88" s="392"/>
      <c r="B88" s="892" t="s">
        <v>241</v>
      </c>
      <c r="C88" s="893"/>
    </row>
    <row r="89" spans="1:3">
      <c r="A89" s="392"/>
      <c r="B89" s="892" t="s">
        <v>311</v>
      </c>
      <c r="C89" s="893"/>
    </row>
    <row r="90" spans="1:3" ht="12" customHeight="1">
      <c r="A90" s="392"/>
      <c r="B90" s="892" t="s">
        <v>312</v>
      </c>
      <c r="C90" s="893"/>
    </row>
    <row r="91" spans="1:3">
      <c r="A91" s="392"/>
      <c r="B91" s="892" t="s">
        <v>313</v>
      </c>
      <c r="C91" s="893"/>
    </row>
    <row r="92" spans="1:3" ht="24.75" customHeight="1">
      <c r="A92" s="392"/>
      <c r="B92" s="901" t="s">
        <v>349</v>
      </c>
      <c r="C92" s="902"/>
    </row>
    <row r="93" spans="1:3" ht="24" customHeight="1">
      <c r="A93" s="392"/>
      <c r="B93" s="901" t="s">
        <v>350</v>
      </c>
      <c r="C93" s="902"/>
    </row>
    <row r="94" spans="1:3" ht="13.5" customHeight="1">
      <c r="A94" s="392"/>
      <c r="B94" s="903" t="s">
        <v>314</v>
      </c>
      <c r="C94" s="904"/>
    </row>
    <row r="95" spans="1:3" ht="11.25" customHeight="1" thickBot="1">
      <c r="A95" s="905" t="s">
        <v>345</v>
      </c>
      <c r="B95" s="906"/>
      <c r="C95" s="907"/>
    </row>
    <row r="96" spans="1:3" ht="13.2" thickTop="1" thickBot="1">
      <c r="A96" s="897" t="s">
        <v>250</v>
      </c>
      <c r="B96" s="897"/>
      <c r="C96" s="897"/>
    </row>
    <row r="97" spans="1:3">
      <c r="A97" s="225">
        <v>2</v>
      </c>
      <c r="B97" s="380" t="s">
        <v>325</v>
      </c>
      <c r="C97" s="380" t="s">
        <v>346</v>
      </c>
    </row>
    <row r="98" spans="1:3">
      <c r="A98" s="150">
        <v>3</v>
      </c>
      <c r="B98" s="381" t="s">
        <v>326</v>
      </c>
      <c r="C98" s="382" t="s">
        <v>347</v>
      </c>
    </row>
    <row r="99" spans="1:3">
      <c r="A99" s="150">
        <v>4</v>
      </c>
      <c r="B99" s="381" t="s">
        <v>327</v>
      </c>
      <c r="C99" s="382" t="s">
        <v>351</v>
      </c>
    </row>
    <row r="100" spans="1:3" ht="11.25" customHeight="1">
      <c r="A100" s="150">
        <v>5</v>
      </c>
      <c r="B100" s="381" t="s">
        <v>328</v>
      </c>
      <c r="C100" s="382" t="s">
        <v>348</v>
      </c>
    </row>
    <row r="101" spans="1:3" ht="12" customHeight="1">
      <c r="A101" s="150">
        <v>6</v>
      </c>
      <c r="B101" s="381" t="s">
        <v>343</v>
      </c>
      <c r="C101" s="382" t="s">
        <v>329</v>
      </c>
    </row>
    <row r="102" spans="1:3" ht="12" customHeight="1">
      <c r="A102" s="150">
        <v>7</v>
      </c>
      <c r="B102" s="381" t="s">
        <v>330</v>
      </c>
      <c r="C102" s="382" t="s">
        <v>344</v>
      </c>
    </row>
    <row r="103" spans="1:3">
      <c r="A103" s="150">
        <v>8</v>
      </c>
      <c r="B103" s="381" t="s">
        <v>335</v>
      </c>
      <c r="C103" s="382" t="s">
        <v>355</v>
      </c>
    </row>
    <row r="104" spans="1:3" ht="11.25" customHeight="1">
      <c r="A104" s="898" t="s">
        <v>315</v>
      </c>
      <c r="B104" s="899"/>
      <c r="C104" s="900"/>
    </row>
    <row r="105" spans="1:3" ht="12" customHeight="1">
      <c r="A105" s="392"/>
      <c r="B105" s="892" t="s">
        <v>241</v>
      </c>
      <c r="C105" s="893"/>
    </row>
    <row r="106" spans="1:3">
      <c r="A106" s="898" t="s">
        <v>490</v>
      </c>
      <c r="B106" s="899"/>
      <c r="C106" s="900"/>
    </row>
    <row r="107" spans="1:3" ht="12" customHeight="1">
      <c r="A107" s="392"/>
      <c r="B107" s="892" t="s">
        <v>492</v>
      </c>
      <c r="C107" s="893"/>
    </row>
    <row r="108" spans="1:3">
      <c r="A108" s="392"/>
      <c r="B108" s="892" t="s">
        <v>493</v>
      </c>
      <c r="C108" s="893"/>
    </row>
    <row r="109" spans="1:3">
      <c r="A109" s="392"/>
      <c r="B109" s="892" t="s">
        <v>491</v>
      </c>
      <c r="C109" s="893"/>
    </row>
    <row r="110" spans="1:3">
      <c r="A110" s="890" t="s">
        <v>725</v>
      </c>
      <c r="B110" s="890"/>
      <c r="C110" s="890"/>
    </row>
    <row r="111" spans="1:3">
      <c r="A111" s="894" t="s">
        <v>188</v>
      </c>
      <c r="B111" s="894"/>
      <c r="C111" s="894"/>
    </row>
    <row r="112" spans="1:3">
      <c r="A112" s="528">
        <v>1</v>
      </c>
      <c r="B112" s="883" t="s">
        <v>608</v>
      </c>
      <c r="C112" s="884"/>
    </row>
    <row r="113" spans="1:3">
      <c r="A113" s="528">
        <v>2</v>
      </c>
      <c r="B113" s="895" t="s">
        <v>609</v>
      </c>
      <c r="C113" s="896"/>
    </row>
    <row r="114" spans="1:3">
      <c r="A114" s="528">
        <v>3</v>
      </c>
      <c r="B114" s="883" t="s">
        <v>935</v>
      </c>
      <c r="C114" s="884"/>
    </row>
    <row r="115" spans="1:3">
      <c r="A115" s="528">
        <v>4</v>
      </c>
      <c r="B115" s="883" t="s">
        <v>934</v>
      </c>
      <c r="C115" s="884"/>
    </row>
    <row r="116" spans="1:3">
      <c r="A116" s="528">
        <v>5</v>
      </c>
      <c r="B116" s="532" t="s">
        <v>933</v>
      </c>
      <c r="C116" s="531"/>
    </row>
    <row r="117" spans="1:3">
      <c r="A117" s="528">
        <v>6</v>
      </c>
      <c r="B117" s="883" t="s">
        <v>947</v>
      </c>
      <c r="C117" s="884"/>
    </row>
    <row r="118" spans="1:3" ht="48.45" customHeight="1">
      <c r="A118" s="528">
        <v>7</v>
      </c>
      <c r="B118" s="883" t="s">
        <v>948</v>
      </c>
      <c r="C118" s="884"/>
    </row>
    <row r="119" spans="1:3">
      <c r="A119" s="505">
        <v>8</v>
      </c>
      <c r="B119" s="500" t="s">
        <v>635</v>
      </c>
      <c r="C119" s="525" t="s">
        <v>932</v>
      </c>
    </row>
    <row r="120" spans="1:3" ht="24">
      <c r="A120" s="528">
        <v>9.01</v>
      </c>
      <c r="B120" s="500" t="s">
        <v>519</v>
      </c>
      <c r="C120" s="501" t="s">
        <v>684</v>
      </c>
    </row>
    <row r="121" spans="1:3" ht="36">
      <c r="A121" s="528">
        <v>9.02</v>
      </c>
      <c r="B121" s="500" t="s">
        <v>520</v>
      </c>
      <c r="C121" s="501" t="s">
        <v>687</v>
      </c>
    </row>
    <row r="122" spans="1:3">
      <c r="A122" s="528">
        <v>9.0299999999999994</v>
      </c>
      <c r="B122" s="501" t="s">
        <v>869</v>
      </c>
      <c r="C122" s="501" t="s">
        <v>610</v>
      </c>
    </row>
    <row r="123" spans="1:3">
      <c r="A123" s="528">
        <v>9.0399999999999991</v>
      </c>
      <c r="B123" s="500" t="s">
        <v>521</v>
      </c>
      <c r="C123" s="501" t="s">
        <v>611</v>
      </c>
    </row>
    <row r="124" spans="1:3">
      <c r="A124" s="528">
        <v>9.0500000000000007</v>
      </c>
      <c r="B124" s="500" t="s">
        <v>522</v>
      </c>
      <c r="C124" s="501" t="s">
        <v>612</v>
      </c>
    </row>
    <row r="125" spans="1:3" ht="24">
      <c r="A125" s="528">
        <v>9.06</v>
      </c>
      <c r="B125" s="500" t="s">
        <v>523</v>
      </c>
      <c r="C125" s="501" t="s">
        <v>613</v>
      </c>
    </row>
    <row r="126" spans="1:3">
      <c r="A126" s="528">
        <v>9.07</v>
      </c>
      <c r="B126" s="530" t="s">
        <v>524</v>
      </c>
      <c r="C126" s="501" t="s">
        <v>614</v>
      </c>
    </row>
    <row r="127" spans="1:3" ht="24">
      <c r="A127" s="528">
        <v>9.08</v>
      </c>
      <c r="B127" s="500" t="s">
        <v>525</v>
      </c>
      <c r="C127" s="501" t="s">
        <v>615</v>
      </c>
    </row>
    <row r="128" spans="1:3" ht="24">
      <c r="A128" s="528">
        <v>9.09</v>
      </c>
      <c r="B128" s="500" t="s">
        <v>526</v>
      </c>
      <c r="C128" s="501" t="s">
        <v>616</v>
      </c>
    </row>
    <row r="129" spans="1:3">
      <c r="A129" s="529">
        <v>9.1</v>
      </c>
      <c r="B129" s="500" t="s">
        <v>527</v>
      </c>
      <c r="C129" s="501" t="s">
        <v>617</v>
      </c>
    </row>
    <row r="130" spans="1:3">
      <c r="A130" s="528">
        <v>9.11</v>
      </c>
      <c r="B130" s="500" t="s">
        <v>528</v>
      </c>
      <c r="C130" s="501" t="s">
        <v>618</v>
      </c>
    </row>
    <row r="131" spans="1:3">
      <c r="A131" s="528">
        <v>9.1199999999999992</v>
      </c>
      <c r="B131" s="500" t="s">
        <v>529</v>
      </c>
      <c r="C131" s="501" t="s">
        <v>619</v>
      </c>
    </row>
    <row r="132" spans="1:3">
      <c r="A132" s="528">
        <v>9.1300000000000008</v>
      </c>
      <c r="B132" s="500" t="s">
        <v>530</v>
      </c>
      <c r="C132" s="501" t="s">
        <v>620</v>
      </c>
    </row>
    <row r="133" spans="1:3">
      <c r="A133" s="528">
        <v>9.14</v>
      </c>
      <c r="B133" s="500" t="s">
        <v>531</v>
      </c>
      <c r="C133" s="501" t="s">
        <v>621</v>
      </c>
    </row>
    <row r="134" spans="1:3">
      <c r="A134" s="528">
        <v>9.15</v>
      </c>
      <c r="B134" s="500" t="s">
        <v>532</v>
      </c>
      <c r="C134" s="501" t="s">
        <v>622</v>
      </c>
    </row>
    <row r="135" spans="1:3">
      <c r="A135" s="528">
        <v>9.16</v>
      </c>
      <c r="B135" s="500" t="s">
        <v>533</v>
      </c>
      <c r="C135" s="501" t="s">
        <v>623</v>
      </c>
    </row>
    <row r="136" spans="1:3">
      <c r="A136" s="528">
        <v>9.17</v>
      </c>
      <c r="B136" s="501" t="s">
        <v>534</v>
      </c>
      <c r="C136" s="501" t="s">
        <v>624</v>
      </c>
    </row>
    <row r="137" spans="1:3" ht="24">
      <c r="A137" s="528">
        <v>9.18</v>
      </c>
      <c r="B137" s="500" t="s">
        <v>535</v>
      </c>
      <c r="C137" s="501" t="s">
        <v>625</v>
      </c>
    </row>
    <row r="138" spans="1:3">
      <c r="A138" s="528">
        <v>9.19</v>
      </c>
      <c r="B138" s="500" t="s">
        <v>536</v>
      </c>
      <c r="C138" s="501" t="s">
        <v>626</v>
      </c>
    </row>
    <row r="139" spans="1:3">
      <c r="A139" s="529">
        <v>9.1999999999999993</v>
      </c>
      <c r="B139" s="500" t="s">
        <v>537</v>
      </c>
      <c r="C139" s="501" t="s">
        <v>627</v>
      </c>
    </row>
    <row r="140" spans="1:3">
      <c r="A140" s="528">
        <v>9.2100000000000009</v>
      </c>
      <c r="B140" s="500" t="s">
        <v>538</v>
      </c>
      <c r="C140" s="501" t="s">
        <v>628</v>
      </c>
    </row>
    <row r="141" spans="1:3">
      <c r="A141" s="528">
        <v>9.2200000000000006</v>
      </c>
      <c r="B141" s="500" t="s">
        <v>539</v>
      </c>
      <c r="C141" s="501" t="s">
        <v>629</v>
      </c>
    </row>
    <row r="142" spans="1:3" ht="24">
      <c r="A142" s="528">
        <v>9.23</v>
      </c>
      <c r="B142" s="500" t="s">
        <v>540</v>
      </c>
      <c r="C142" s="501" t="s">
        <v>630</v>
      </c>
    </row>
    <row r="143" spans="1:3" ht="24">
      <c r="A143" s="528">
        <v>9.24</v>
      </c>
      <c r="B143" s="500" t="s">
        <v>541</v>
      </c>
      <c r="C143" s="501" t="s">
        <v>631</v>
      </c>
    </row>
    <row r="144" spans="1:3">
      <c r="A144" s="528">
        <v>9.2500000000000107</v>
      </c>
      <c r="B144" s="500" t="s">
        <v>542</v>
      </c>
      <c r="C144" s="501" t="s">
        <v>632</v>
      </c>
    </row>
    <row r="145" spans="1:3" ht="24">
      <c r="A145" s="528">
        <v>9.2600000000000193</v>
      </c>
      <c r="B145" s="500" t="s">
        <v>633</v>
      </c>
      <c r="C145" s="527" t="s">
        <v>634</v>
      </c>
    </row>
    <row r="146" spans="1:3" s="393" customFormat="1" ht="24">
      <c r="A146" s="528">
        <v>9.2700000000000298</v>
      </c>
      <c r="B146" s="500" t="s">
        <v>100</v>
      </c>
      <c r="C146" s="527" t="s">
        <v>685</v>
      </c>
    </row>
    <row r="147" spans="1:3" s="393" customFormat="1">
      <c r="A147" s="506"/>
      <c r="B147" s="879" t="s">
        <v>636</v>
      </c>
      <c r="C147" s="880"/>
    </row>
    <row r="148" spans="1:3" s="393" customFormat="1">
      <c r="A148" s="505">
        <v>1</v>
      </c>
      <c r="B148" s="881" t="s">
        <v>931</v>
      </c>
      <c r="C148" s="882"/>
    </row>
    <row r="149" spans="1:3" s="393" customFormat="1">
      <c r="A149" s="505">
        <v>2</v>
      </c>
      <c r="B149" s="881" t="s">
        <v>686</v>
      </c>
      <c r="C149" s="882"/>
    </row>
    <row r="150" spans="1:3" s="393" customFormat="1">
      <c r="A150" s="505">
        <v>3</v>
      </c>
      <c r="B150" s="881" t="s">
        <v>683</v>
      </c>
      <c r="C150" s="882"/>
    </row>
    <row r="151" spans="1:3" s="393" customFormat="1">
      <c r="A151" s="506"/>
      <c r="B151" s="879" t="s">
        <v>637</v>
      </c>
      <c r="C151" s="880"/>
    </row>
    <row r="152" spans="1:3" s="393" customFormat="1">
      <c r="A152" s="505">
        <v>1</v>
      </c>
      <c r="B152" s="885" t="s">
        <v>930</v>
      </c>
      <c r="C152" s="886"/>
    </row>
    <row r="153" spans="1:3" s="393" customFormat="1">
      <c r="A153" s="505">
        <v>2</v>
      </c>
      <c r="B153" s="500" t="s">
        <v>867</v>
      </c>
      <c r="C153" s="525" t="s">
        <v>952</v>
      </c>
    </row>
    <row r="154" spans="1:3" ht="24">
      <c r="A154" s="505">
        <v>3</v>
      </c>
      <c r="B154" s="500" t="s">
        <v>866</v>
      </c>
      <c r="C154" s="525" t="s">
        <v>929</v>
      </c>
    </row>
    <row r="155" spans="1:3">
      <c r="A155" s="505">
        <v>4</v>
      </c>
      <c r="B155" s="500" t="s">
        <v>512</v>
      </c>
      <c r="C155" s="500" t="s">
        <v>953</v>
      </c>
    </row>
    <row r="156" spans="1:3" ht="25.05" customHeight="1">
      <c r="A156" s="506"/>
      <c r="B156" s="879" t="s">
        <v>638</v>
      </c>
      <c r="C156" s="880"/>
    </row>
    <row r="157" spans="1:3" ht="36">
      <c r="A157" s="505"/>
      <c r="B157" s="500" t="s">
        <v>918</v>
      </c>
      <c r="C157" s="507" t="s">
        <v>954</v>
      </c>
    </row>
    <row r="158" spans="1:3">
      <c r="A158" s="506"/>
      <c r="B158" s="879" t="s">
        <v>639</v>
      </c>
      <c r="C158" s="880"/>
    </row>
    <row r="159" spans="1:3" ht="39" customHeight="1">
      <c r="A159" s="506"/>
      <c r="B159" s="881" t="s">
        <v>928</v>
      </c>
      <c r="C159" s="882"/>
    </row>
    <row r="160" spans="1:3">
      <c r="A160" s="506" t="s">
        <v>640</v>
      </c>
      <c r="B160" s="526" t="s">
        <v>550</v>
      </c>
      <c r="C160" s="518" t="s">
        <v>641</v>
      </c>
    </row>
    <row r="161" spans="1:3">
      <c r="A161" s="506" t="s">
        <v>370</v>
      </c>
      <c r="B161" s="523" t="s">
        <v>551</v>
      </c>
      <c r="C161" s="525" t="s">
        <v>927</v>
      </c>
    </row>
    <row r="162" spans="1:3" ht="24">
      <c r="A162" s="506" t="s">
        <v>377</v>
      </c>
      <c r="B162" s="518" t="s">
        <v>552</v>
      </c>
      <c r="C162" s="525" t="s">
        <v>642</v>
      </c>
    </row>
    <row r="163" spans="1:3">
      <c r="A163" s="506" t="s">
        <v>643</v>
      </c>
      <c r="B163" s="523" t="s">
        <v>553</v>
      </c>
      <c r="C163" s="524" t="s">
        <v>644</v>
      </c>
    </row>
    <row r="164" spans="1:3" ht="24">
      <c r="A164" s="506" t="s">
        <v>645</v>
      </c>
      <c r="B164" s="523" t="s">
        <v>882</v>
      </c>
      <c r="C164" s="517" t="s">
        <v>926</v>
      </c>
    </row>
    <row r="165" spans="1:3" ht="24">
      <c r="A165" s="506" t="s">
        <v>378</v>
      </c>
      <c r="B165" s="523" t="s">
        <v>554</v>
      </c>
      <c r="C165" s="517" t="s">
        <v>647</v>
      </c>
    </row>
    <row r="166" spans="1:3" ht="24">
      <c r="A166" s="506" t="s">
        <v>646</v>
      </c>
      <c r="B166" s="521" t="s">
        <v>557</v>
      </c>
      <c r="C166" s="522" t="s">
        <v>654</v>
      </c>
    </row>
    <row r="167" spans="1:3" ht="24">
      <c r="A167" s="506" t="s">
        <v>648</v>
      </c>
      <c r="B167" s="521" t="s">
        <v>555</v>
      </c>
      <c r="C167" s="517" t="s">
        <v>650</v>
      </c>
    </row>
    <row r="168" spans="1:3" ht="26.55" customHeight="1">
      <c r="A168" s="506" t="s">
        <v>649</v>
      </c>
      <c r="B168" s="521" t="s">
        <v>556</v>
      </c>
      <c r="C168" s="522" t="s">
        <v>652</v>
      </c>
    </row>
    <row r="169" spans="1:3" ht="24">
      <c r="A169" s="506" t="s">
        <v>651</v>
      </c>
      <c r="B169" s="501" t="s">
        <v>558</v>
      </c>
      <c r="C169" s="522" t="s">
        <v>656</v>
      </c>
    </row>
    <row r="170" spans="1:3" ht="24">
      <c r="A170" s="506" t="s">
        <v>653</v>
      </c>
      <c r="B170" s="521" t="s">
        <v>559</v>
      </c>
      <c r="C170" s="520" t="s">
        <v>657</v>
      </c>
    </row>
    <row r="171" spans="1:3">
      <c r="A171" s="506" t="s">
        <v>655</v>
      </c>
      <c r="B171" s="519" t="s">
        <v>560</v>
      </c>
      <c r="C171" s="518" t="s">
        <v>658</v>
      </c>
    </row>
    <row r="172" spans="1:3" ht="24">
      <c r="A172" s="506"/>
      <c r="B172" s="517" t="s">
        <v>925</v>
      </c>
      <c r="C172" s="501" t="s">
        <v>659</v>
      </c>
    </row>
    <row r="173" spans="1:3" ht="24">
      <c r="A173" s="506"/>
      <c r="B173" s="517" t="s">
        <v>924</v>
      </c>
      <c r="C173" s="501" t="s">
        <v>660</v>
      </c>
    </row>
    <row r="174" spans="1:3" ht="24">
      <c r="A174" s="506"/>
      <c r="B174" s="517" t="s">
        <v>923</v>
      </c>
      <c r="C174" s="501" t="s">
        <v>661</v>
      </c>
    </row>
    <row r="175" spans="1:3">
      <c r="A175" s="506"/>
      <c r="B175" s="879" t="s">
        <v>662</v>
      </c>
      <c r="C175" s="880"/>
    </row>
    <row r="176" spans="1:3">
      <c r="A176" s="506"/>
      <c r="B176" s="881" t="s">
        <v>922</v>
      </c>
      <c r="C176" s="882"/>
    </row>
    <row r="177" spans="1:3">
      <c r="A177" s="505">
        <v>1</v>
      </c>
      <c r="B177" s="501" t="s">
        <v>564</v>
      </c>
      <c r="C177" s="501" t="s">
        <v>564</v>
      </c>
    </row>
    <row r="178" spans="1:3" ht="24">
      <c r="A178" s="505">
        <v>2</v>
      </c>
      <c r="B178" s="501" t="s">
        <v>663</v>
      </c>
      <c r="C178" s="501" t="s">
        <v>664</v>
      </c>
    </row>
    <row r="179" spans="1:3">
      <c r="A179" s="505">
        <v>3</v>
      </c>
      <c r="B179" s="501" t="s">
        <v>566</v>
      </c>
      <c r="C179" s="501" t="s">
        <v>665</v>
      </c>
    </row>
    <row r="180" spans="1:3" ht="24">
      <c r="A180" s="505">
        <v>4</v>
      </c>
      <c r="B180" s="501" t="s">
        <v>567</v>
      </c>
      <c r="C180" s="501" t="s">
        <v>666</v>
      </c>
    </row>
    <row r="181" spans="1:3" ht="24">
      <c r="A181" s="505">
        <v>5</v>
      </c>
      <c r="B181" s="501" t="s">
        <v>568</v>
      </c>
      <c r="C181" s="501" t="s">
        <v>688</v>
      </c>
    </row>
    <row r="182" spans="1:3" ht="48">
      <c r="A182" s="505">
        <v>6</v>
      </c>
      <c r="B182" s="501" t="s">
        <v>569</v>
      </c>
      <c r="C182" s="501" t="s">
        <v>667</v>
      </c>
    </row>
    <row r="183" spans="1:3">
      <c r="A183" s="506"/>
      <c r="B183" s="879" t="s">
        <v>668</v>
      </c>
      <c r="C183" s="880"/>
    </row>
    <row r="184" spans="1:3">
      <c r="A184" s="506"/>
      <c r="B184" s="888" t="s">
        <v>921</v>
      </c>
      <c r="C184" s="885"/>
    </row>
    <row r="185" spans="1:3" ht="24">
      <c r="A185" s="506">
        <v>1.1000000000000001</v>
      </c>
      <c r="B185" s="516" t="s">
        <v>574</v>
      </c>
      <c r="C185" s="501" t="s">
        <v>669</v>
      </c>
    </row>
    <row r="186" spans="1:3" ht="49.95" customHeight="1">
      <c r="A186" s="506" t="s">
        <v>158</v>
      </c>
      <c r="B186" s="502" t="s">
        <v>575</v>
      </c>
      <c r="C186" s="501" t="s">
        <v>670</v>
      </c>
    </row>
    <row r="187" spans="1:3">
      <c r="A187" s="506" t="s">
        <v>576</v>
      </c>
      <c r="B187" s="515" t="s">
        <v>577</v>
      </c>
      <c r="C187" s="889" t="s">
        <v>920</v>
      </c>
    </row>
    <row r="188" spans="1:3">
      <c r="A188" s="506" t="s">
        <v>578</v>
      </c>
      <c r="B188" s="515" t="s">
        <v>579</v>
      </c>
      <c r="C188" s="889"/>
    </row>
    <row r="189" spans="1:3">
      <c r="A189" s="506" t="s">
        <v>580</v>
      </c>
      <c r="B189" s="515" t="s">
        <v>581</v>
      </c>
      <c r="C189" s="889"/>
    </row>
    <row r="190" spans="1:3">
      <c r="A190" s="506" t="s">
        <v>582</v>
      </c>
      <c r="B190" s="515" t="s">
        <v>583</v>
      </c>
      <c r="C190" s="889"/>
    </row>
    <row r="191" spans="1:3" ht="25.5" customHeight="1">
      <c r="A191" s="506">
        <v>1.2</v>
      </c>
      <c r="B191" s="514" t="s">
        <v>896</v>
      </c>
      <c r="C191" s="500" t="s">
        <v>955</v>
      </c>
    </row>
    <row r="192" spans="1:3" ht="24">
      <c r="A192" s="506" t="s">
        <v>585</v>
      </c>
      <c r="B192" s="509" t="s">
        <v>586</v>
      </c>
      <c r="C192" s="512" t="s">
        <v>671</v>
      </c>
    </row>
    <row r="193" spans="1:4" ht="24">
      <c r="A193" s="506" t="s">
        <v>587</v>
      </c>
      <c r="B193" s="513" t="s">
        <v>588</v>
      </c>
      <c r="C193" s="512" t="s">
        <v>672</v>
      </c>
    </row>
    <row r="194" spans="1:4" ht="25.95" customHeight="1">
      <c r="A194" s="506" t="s">
        <v>589</v>
      </c>
      <c r="B194" s="511" t="s">
        <v>590</v>
      </c>
      <c r="C194" s="500" t="s">
        <v>673</v>
      </c>
    </row>
    <row r="195" spans="1:4" ht="24">
      <c r="A195" s="506" t="s">
        <v>591</v>
      </c>
      <c r="B195" s="510" t="s">
        <v>592</v>
      </c>
      <c r="C195" s="500" t="s">
        <v>674</v>
      </c>
      <c r="D195" s="394"/>
    </row>
    <row r="196" spans="1:4" ht="12.6">
      <c r="A196" s="506">
        <v>1.4</v>
      </c>
      <c r="B196" s="509" t="s">
        <v>681</v>
      </c>
      <c r="C196" s="508" t="s">
        <v>675</v>
      </c>
      <c r="D196" s="395"/>
    </row>
    <row r="197" spans="1:4" ht="12.6">
      <c r="A197" s="506">
        <v>1.5</v>
      </c>
      <c r="B197" s="509" t="s">
        <v>682</v>
      </c>
      <c r="C197" s="508" t="s">
        <v>675</v>
      </c>
      <c r="D197" s="396"/>
    </row>
    <row r="198" spans="1:4" ht="12.6">
      <c r="A198" s="506"/>
      <c r="B198" s="890" t="s">
        <v>676</v>
      </c>
      <c r="C198" s="890"/>
      <c r="D198" s="396"/>
    </row>
    <row r="199" spans="1:4" ht="12.6">
      <c r="A199" s="506"/>
      <c r="B199" s="888" t="s">
        <v>919</v>
      </c>
      <c r="C199" s="888"/>
      <c r="D199" s="396"/>
    </row>
    <row r="200" spans="1:4" ht="12.6">
      <c r="A200" s="505"/>
      <c r="B200" s="500" t="s">
        <v>918</v>
      </c>
      <c r="C200" s="507" t="s">
        <v>952</v>
      </c>
      <c r="D200" s="396"/>
    </row>
    <row r="201" spans="1:4" ht="12.6">
      <c r="A201" s="506"/>
      <c r="B201" s="890" t="s">
        <v>677</v>
      </c>
      <c r="C201" s="890"/>
      <c r="D201" s="397"/>
    </row>
    <row r="202" spans="1:4" ht="12.6">
      <c r="A202" s="505"/>
      <c r="B202" s="888" t="s">
        <v>917</v>
      </c>
      <c r="C202" s="888"/>
      <c r="D202" s="398"/>
    </row>
    <row r="203" spans="1:4" ht="12.6">
      <c r="B203" s="890" t="s">
        <v>715</v>
      </c>
      <c r="C203" s="890"/>
      <c r="D203" s="399"/>
    </row>
    <row r="204" spans="1:4" ht="24">
      <c r="A204" s="502">
        <v>1</v>
      </c>
      <c r="B204" s="500" t="s">
        <v>691</v>
      </c>
      <c r="C204" s="500" t="s">
        <v>703</v>
      </c>
      <c r="D204" s="398"/>
    </row>
    <row r="205" spans="1:4" ht="18" customHeight="1">
      <c r="A205" s="502">
        <v>2</v>
      </c>
      <c r="B205" s="500" t="s">
        <v>692</v>
      </c>
      <c r="C205" s="500" t="s">
        <v>704</v>
      </c>
      <c r="D205" s="399"/>
    </row>
    <row r="206" spans="1:4" ht="24">
      <c r="A206" s="502">
        <v>3</v>
      </c>
      <c r="B206" s="500" t="s">
        <v>693</v>
      </c>
      <c r="C206" s="500" t="s">
        <v>705</v>
      </c>
      <c r="D206" s="400"/>
    </row>
    <row r="207" spans="1:4" ht="12.6">
      <c r="A207" s="502">
        <v>4</v>
      </c>
      <c r="B207" s="500" t="s">
        <v>694</v>
      </c>
      <c r="C207" s="500" t="s">
        <v>706</v>
      </c>
      <c r="D207" s="400"/>
    </row>
    <row r="208" spans="1:4" ht="24">
      <c r="A208" s="502">
        <v>5</v>
      </c>
      <c r="B208" s="500" t="s">
        <v>695</v>
      </c>
      <c r="C208" s="500" t="s">
        <v>707</v>
      </c>
    </row>
    <row r="209" spans="1:3" ht="24.45" customHeight="1">
      <c r="A209" s="502">
        <v>6</v>
      </c>
      <c r="B209" s="500" t="s">
        <v>696</v>
      </c>
      <c r="C209" s="500" t="s">
        <v>708</v>
      </c>
    </row>
    <row r="210" spans="1:3" ht="24">
      <c r="A210" s="502">
        <v>7</v>
      </c>
      <c r="B210" s="500" t="s">
        <v>697</v>
      </c>
      <c r="C210" s="500" t="s">
        <v>709</v>
      </c>
    </row>
    <row r="211" spans="1:3">
      <c r="A211" s="502">
        <v>7.1</v>
      </c>
      <c r="B211" s="504" t="s">
        <v>698</v>
      </c>
      <c r="C211" s="500" t="s">
        <v>710</v>
      </c>
    </row>
    <row r="212" spans="1:3">
      <c r="A212" s="502">
        <v>7.2</v>
      </c>
      <c r="B212" s="504" t="s">
        <v>699</v>
      </c>
      <c r="C212" s="500" t="s">
        <v>711</v>
      </c>
    </row>
    <row r="213" spans="1:3">
      <c r="A213" s="502">
        <v>7.3</v>
      </c>
      <c r="B213" s="503" t="s">
        <v>700</v>
      </c>
      <c r="C213" s="500" t="s">
        <v>712</v>
      </c>
    </row>
    <row r="214" spans="1:3" ht="39.450000000000003" customHeight="1">
      <c r="A214" s="502">
        <v>8</v>
      </c>
      <c r="B214" s="500" t="s">
        <v>701</v>
      </c>
      <c r="C214" s="500" t="s">
        <v>713</v>
      </c>
    </row>
    <row r="215" spans="1:3">
      <c r="A215" s="502">
        <v>9</v>
      </c>
      <c r="B215" s="500" t="s">
        <v>702</v>
      </c>
      <c r="C215" s="500" t="s">
        <v>714</v>
      </c>
    </row>
    <row r="216" spans="1:3" ht="24">
      <c r="A216" s="540">
        <v>10.1</v>
      </c>
      <c r="B216" s="541" t="s">
        <v>722</v>
      </c>
      <c r="C216" s="533" t="s">
        <v>723</v>
      </c>
    </row>
    <row r="217" spans="1:3">
      <c r="A217" s="891"/>
      <c r="B217" s="542" t="s">
        <v>909</v>
      </c>
      <c r="C217" s="500" t="s">
        <v>916</v>
      </c>
    </row>
    <row r="218" spans="1:3">
      <c r="A218" s="891"/>
      <c r="B218" s="501" t="s">
        <v>573</v>
      </c>
      <c r="C218" s="500" t="s">
        <v>915</v>
      </c>
    </row>
    <row r="219" spans="1:3">
      <c r="A219" s="891"/>
      <c r="B219" s="501" t="s">
        <v>908</v>
      </c>
      <c r="C219" s="500" t="s">
        <v>956</v>
      </c>
    </row>
    <row r="220" spans="1:3">
      <c r="A220" s="891"/>
      <c r="B220" s="501" t="s">
        <v>716</v>
      </c>
      <c r="C220" s="500" t="s">
        <v>914</v>
      </c>
    </row>
    <row r="221" spans="1:3" ht="24">
      <c r="A221" s="891"/>
      <c r="B221" s="501" t="s">
        <v>720</v>
      </c>
      <c r="C221" s="501" t="s">
        <v>913</v>
      </c>
    </row>
    <row r="222" spans="1:3" ht="36">
      <c r="A222" s="891"/>
      <c r="B222" s="501" t="s">
        <v>719</v>
      </c>
      <c r="C222" s="500" t="s">
        <v>912</v>
      </c>
    </row>
    <row r="223" spans="1:3">
      <c r="A223" s="891"/>
      <c r="B223" s="501" t="s">
        <v>957</v>
      </c>
      <c r="C223" s="500" t="s">
        <v>911</v>
      </c>
    </row>
    <row r="224" spans="1:3" ht="24">
      <c r="A224" s="891"/>
      <c r="B224" s="501" t="s">
        <v>958</v>
      </c>
      <c r="C224" s="500" t="s">
        <v>910</v>
      </c>
    </row>
    <row r="225" spans="1:3" ht="12.6">
      <c r="A225" s="534"/>
      <c r="B225" s="535"/>
      <c r="C225" s="536"/>
    </row>
    <row r="226" spans="1:3" ht="12.6">
      <c r="A226" s="534"/>
      <c r="B226" s="536"/>
      <c r="C226" s="536"/>
    </row>
    <row r="227" spans="1:3" ht="12.6">
      <c r="A227" s="534"/>
      <c r="B227" s="536"/>
      <c r="C227" s="536"/>
    </row>
    <row r="228" spans="1:3" ht="12.6">
      <c r="A228" s="534"/>
      <c r="B228" s="537"/>
      <c r="C228" s="536"/>
    </row>
    <row r="229" spans="1:3">
      <c r="A229" s="887"/>
      <c r="B229" s="538"/>
      <c r="C229" s="536"/>
    </row>
    <row r="230" spans="1:3">
      <c r="A230" s="887"/>
      <c r="B230" s="538"/>
      <c r="C230" s="536"/>
    </row>
    <row r="231" spans="1:3">
      <c r="A231" s="887"/>
      <c r="B231" s="538"/>
      <c r="C231" s="536"/>
    </row>
    <row r="232" spans="1:3">
      <c r="A232" s="887"/>
      <c r="B232" s="538"/>
      <c r="C232" s="539"/>
    </row>
    <row r="233" spans="1:3" ht="40.5" customHeight="1">
      <c r="A233" s="887"/>
      <c r="B233" s="538"/>
      <c r="C233" s="536"/>
    </row>
    <row r="234" spans="1:3" ht="24" customHeight="1">
      <c r="A234" s="887"/>
      <c r="B234" s="538"/>
      <c r="C234" s="536"/>
    </row>
    <row r="235" spans="1:3">
      <c r="A235" s="887"/>
      <c r="B235" s="538"/>
      <c r="C235" s="536"/>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16" zoomScale="70" zoomScaleNormal="70" workbookViewId="0"/>
  </sheetViews>
  <sheetFormatPr defaultRowHeight="14.4"/>
  <cols>
    <col min="2" max="2" width="66.6640625" customWidth="1"/>
    <col min="3" max="8" width="17.77734375" customWidth="1"/>
  </cols>
  <sheetData>
    <row r="1" spans="1:8">
      <c r="A1" s="13" t="s">
        <v>109</v>
      </c>
      <c r="B1" s="303" t="str">
        <f>Info!C2</f>
        <v>სს " პაშა ბანკი საქართველო"</v>
      </c>
      <c r="C1" s="12"/>
      <c r="D1" s="1"/>
      <c r="E1" s="1"/>
      <c r="F1" s="1"/>
      <c r="G1" s="1"/>
    </row>
    <row r="2" spans="1:8">
      <c r="A2" s="13" t="s">
        <v>110</v>
      </c>
      <c r="B2" s="339">
        <f>'1. key ratios'!B2</f>
        <v>45199</v>
      </c>
      <c r="C2" s="12"/>
      <c r="D2" s="1"/>
      <c r="E2" s="1"/>
      <c r="F2" s="1"/>
      <c r="G2" s="1"/>
    </row>
    <row r="3" spans="1:8" ht="15" thickBot="1">
      <c r="A3" s="13"/>
      <c r="B3" s="12"/>
      <c r="C3" s="12"/>
      <c r="D3" s="1"/>
      <c r="E3" s="1"/>
      <c r="F3" s="1"/>
      <c r="G3" s="1"/>
    </row>
    <row r="4" spans="1:8">
      <c r="A4" s="779" t="s">
        <v>26</v>
      </c>
      <c r="B4" s="777" t="s">
        <v>167</v>
      </c>
      <c r="C4" s="772" t="s">
        <v>115</v>
      </c>
      <c r="D4" s="772"/>
      <c r="E4" s="772"/>
      <c r="F4" s="772" t="s">
        <v>116</v>
      </c>
      <c r="G4" s="772"/>
      <c r="H4" s="773"/>
    </row>
    <row r="5" spans="1:8" ht="15.45" customHeight="1">
      <c r="A5" s="780"/>
      <c r="B5" s="778"/>
      <c r="C5" s="607" t="s">
        <v>27</v>
      </c>
      <c r="D5" s="607" t="s">
        <v>89</v>
      </c>
      <c r="E5" s="607" t="s">
        <v>67</v>
      </c>
      <c r="F5" s="607" t="s">
        <v>27</v>
      </c>
      <c r="G5" s="607" t="s">
        <v>89</v>
      </c>
      <c r="H5" s="608" t="s">
        <v>67</v>
      </c>
    </row>
    <row r="6" spans="1:8">
      <c r="A6" s="598">
        <v>1</v>
      </c>
      <c r="B6" s="590" t="s">
        <v>777</v>
      </c>
      <c r="C6" s="611">
        <f>SUM(C7:C12)</f>
        <v>25378333.600200001</v>
      </c>
      <c r="D6" s="611">
        <f>SUM(D7:D12)</f>
        <v>13778733.550099999</v>
      </c>
      <c r="E6" s="612">
        <f>C6+D6</f>
        <v>39157067.150299996</v>
      </c>
      <c r="F6" s="611">
        <f>SUM(F7:F12)</f>
        <v>18011462.140435081</v>
      </c>
      <c r="G6" s="611">
        <f>SUM(G7:G12)</f>
        <v>13095451.360822165</v>
      </c>
      <c r="H6" s="613">
        <f>F6+G6</f>
        <v>31106913.501257248</v>
      </c>
    </row>
    <row r="7" spans="1:8">
      <c r="A7" s="598">
        <v>1.1000000000000001</v>
      </c>
      <c r="B7" s="574" t="s">
        <v>731</v>
      </c>
      <c r="C7" s="611"/>
      <c r="D7" s="611"/>
      <c r="E7" s="612">
        <f t="shared" ref="E7:E45" si="0">C7+D7</f>
        <v>0</v>
      </c>
      <c r="F7" s="611"/>
      <c r="G7" s="611"/>
      <c r="H7" s="613">
        <f t="shared" ref="H7:H45" si="1">F7+G7</f>
        <v>0</v>
      </c>
    </row>
    <row r="8" spans="1:8" ht="20.399999999999999">
      <c r="A8" s="598">
        <v>1.2</v>
      </c>
      <c r="B8" s="574" t="s">
        <v>778</v>
      </c>
      <c r="C8" s="611"/>
      <c r="D8" s="611"/>
      <c r="E8" s="612">
        <f t="shared" si="0"/>
        <v>0</v>
      </c>
      <c r="F8" s="611"/>
      <c r="G8" s="611"/>
      <c r="H8" s="613">
        <f t="shared" si="1"/>
        <v>0</v>
      </c>
    </row>
    <row r="9" spans="1:8" ht="21.45" customHeight="1">
      <c r="A9" s="598">
        <v>1.3</v>
      </c>
      <c r="B9" s="574" t="s">
        <v>779</v>
      </c>
      <c r="C9" s="611"/>
      <c r="D9" s="611"/>
      <c r="E9" s="612">
        <f t="shared" si="0"/>
        <v>0</v>
      </c>
      <c r="F9" s="611"/>
      <c r="G9" s="611"/>
      <c r="H9" s="613">
        <f t="shared" si="1"/>
        <v>0</v>
      </c>
    </row>
    <row r="10" spans="1:8" ht="20.399999999999999">
      <c r="A10" s="598">
        <v>1.4</v>
      </c>
      <c r="B10" s="574" t="s">
        <v>735</v>
      </c>
      <c r="C10" s="611"/>
      <c r="D10" s="611"/>
      <c r="E10" s="612">
        <f t="shared" si="0"/>
        <v>0</v>
      </c>
      <c r="F10" s="611"/>
      <c r="G10" s="611"/>
      <c r="H10" s="613">
        <f t="shared" si="1"/>
        <v>0</v>
      </c>
    </row>
    <row r="11" spans="1:8">
      <c r="A11" s="598">
        <v>1.5</v>
      </c>
      <c r="B11" s="574" t="s">
        <v>738</v>
      </c>
      <c r="C11" s="611">
        <v>25378333.600200001</v>
      </c>
      <c r="D11" s="611">
        <v>13778733.550099999</v>
      </c>
      <c r="E11" s="612">
        <f t="shared" si="0"/>
        <v>39157067.150299996</v>
      </c>
      <c r="F11" s="611">
        <v>18011462.140435081</v>
      </c>
      <c r="G11" s="611">
        <v>13095451.360822165</v>
      </c>
      <c r="H11" s="613">
        <f t="shared" si="1"/>
        <v>31106913.501257248</v>
      </c>
    </row>
    <row r="12" spans="1:8">
      <c r="A12" s="598">
        <v>1.6</v>
      </c>
      <c r="B12" s="574" t="s">
        <v>100</v>
      </c>
      <c r="C12" s="611"/>
      <c r="D12" s="611"/>
      <c r="E12" s="612">
        <f t="shared" si="0"/>
        <v>0</v>
      </c>
      <c r="F12" s="611"/>
      <c r="G12" s="611"/>
      <c r="H12" s="613">
        <f t="shared" si="1"/>
        <v>0</v>
      </c>
    </row>
    <row r="13" spans="1:8">
      <c r="A13" s="598">
        <v>2</v>
      </c>
      <c r="B13" s="590" t="s">
        <v>780</v>
      </c>
      <c r="C13" s="611">
        <f>SUM(C14:C17)</f>
        <v>-8029834.1099999985</v>
      </c>
      <c r="D13" s="611">
        <f>SUM(D14:D17)</f>
        <v>-6195668.6500000013</v>
      </c>
      <c r="E13" s="612">
        <f t="shared" si="0"/>
        <v>-14225502.76</v>
      </c>
      <c r="F13" s="611">
        <f>SUM(F14:F17)</f>
        <v>-5901581.8499999996</v>
      </c>
      <c r="G13" s="611">
        <f>SUM(G14:G17)</f>
        <v>-6444560.8099999996</v>
      </c>
      <c r="H13" s="613">
        <f t="shared" si="1"/>
        <v>-12346142.66</v>
      </c>
    </row>
    <row r="14" spans="1:8">
      <c r="A14" s="598">
        <v>2.1</v>
      </c>
      <c r="B14" s="574" t="s">
        <v>781</v>
      </c>
      <c r="C14" s="611"/>
      <c r="D14" s="611"/>
      <c r="E14" s="612">
        <f t="shared" si="0"/>
        <v>0</v>
      </c>
      <c r="F14" s="611"/>
      <c r="G14" s="611"/>
      <c r="H14" s="613">
        <f t="shared" si="1"/>
        <v>0</v>
      </c>
    </row>
    <row r="15" spans="1:8" ht="24.45" customHeight="1">
      <c r="A15" s="598">
        <v>2.2000000000000002</v>
      </c>
      <c r="B15" s="574" t="s">
        <v>782</v>
      </c>
      <c r="C15" s="611"/>
      <c r="D15" s="611"/>
      <c r="E15" s="612">
        <f t="shared" si="0"/>
        <v>0</v>
      </c>
      <c r="F15" s="611"/>
      <c r="G15" s="611"/>
      <c r="H15" s="613">
        <f t="shared" si="1"/>
        <v>0</v>
      </c>
    </row>
    <row r="16" spans="1:8" ht="20.55" customHeight="1">
      <c r="A16" s="598">
        <v>2.2999999999999998</v>
      </c>
      <c r="B16" s="574" t="s">
        <v>783</v>
      </c>
      <c r="C16" s="611">
        <v>-8029834.1099999985</v>
      </c>
      <c r="D16" s="611">
        <v>-6195668.6500000013</v>
      </c>
      <c r="E16" s="612">
        <f t="shared" si="0"/>
        <v>-14225502.76</v>
      </c>
      <c r="F16" s="611">
        <v>-5901581.8499999996</v>
      </c>
      <c r="G16" s="611">
        <v>-6444560.8099999996</v>
      </c>
      <c r="H16" s="613">
        <f t="shared" si="1"/>
        <v>-12346142.66</v>
      </c>
    </row>
    <row r="17" spans="1:8">
      <c r="A17" s="598">
        <v>2.4</v>
      </c>
      <c r="B17" s="574" t="s">
        <v>784</v>
      </c>
      <c r="C17" s="611"/>
      <c r="D17" s="611"/>
      <c r="E17" s="612">
        <f t="shared" si="0"/>
        <v>0</v>
      </c>
      <c r="F17" s="611"/>
      <c r="G17" s="611"/>
      <c r="H17" s="613">
        <f t="shared" si="1"/>
        <v>0</v>
      </c>
    </row>
    <row r="18" spans="1:8">
      <c r="A18" s="598">
        <v>3</v>
      </c>
      <c r="B18" s="590" t="s">
        <v>785</v>
      </c>
      <c r="C18" s="611"/>
      <c r="D18" s="611"/>
      <c r="E18" s="612">
        <f t="shared" si="0"/>
        <v>0</v>
      </c>
      <c r="F18" s="611"/>
      <c r="G18" s="611"/>
      <c r="H18" s="613">
        <f t="shared" si="1"/>
        <v>0</v>
      </c>
    </row>
    <row r="19" spans="1:8">
      <c r="A19" s="598">
        <v>4</v>
      </c>
      <c r="B19" s="590" t="s">
        <v>786</v>
      </c>
      <c r="C19" s="611">
        <v>837197.19</v>
      </c>
      <c r="D19" s="611">
        <v>1136403.6444000001</v>
      </c>
      <c r="E19" s="612">
        <f t="shared" si="0"/>
        <v>1973600.8344000001</v>
      </c>
      <c r="F19" s="611">
        <v>604501.22999999975</v>
      </c>
      <c r="G19" s="611">
        <v>680506.80576145917</v>
      </c>
      <c r="H19" s="613">
        <f t="shared" si="1"/>
        <v>1285008.0357614588</v>
      </c>
    </row>
    <row r="20" spans="1:8">
      <c r="A20" s="598">
        <v>5</v>
      </c>
      <c r="B20" s="590" t="s">
        <v>787</v>
      </c>
      <c r="C20" s="611">
        <v>-84047.64</v>
      </c>
      <c r="D20" s="611">
        <v>-1190794.94</v>
      </c>
      <c r="E20" s="612">
        <f t="shared" si="0"/>
        <v>-1274842.5799999998</v>
      </c>
      <c r="F20" s="611">
        <v>-51756.81</v>
      </c>
      <c r="G20" s="611">
        <v>-865023.64999999991</v>
      </c>
      <c r="H20" s="613">
        <f t="shared" si="1"/>
        <v>-916780.46</v>
      </c>
    </row>
    <row r="21" spans="1:8" ht="38.549999999999997" customHeight="1">
      <c r="A21" s="598">
        <v>6</v>
      </c>
      <c r="B21" s="590" t="s">
        <v>788</v>
      </c>
      <c r="C21" s="611"/>
      <c r="D21" s="611"/>
      <c r="E21" s="612">
        <f t="shared" si="0"/>
        <v>0</v>
      </c>
      <c r="F21" s="611"/>
      <c r="G21" s="611"/>
      <c r="H21" s="613">
        <f t="shared" si="1"/>
        <v>0</v>
      </c>
    </row>
    <row r="22" spans="1:8" ht="27.45" customHeight="1">
      <c r="A22" s="598">
        <v>7</v>
      </c>
      <c r="B22" s="590" t="s">
        <v>789</v>
      </c>
      <c r="C22" s="611"/>
      <c r="D22" s="611"/>
      <c r="E22" s="612">
        <f t="shared" si="0"/>
        <v>0</v>
      </c>
      <c r="F22" s="611"/>
      <c r="G22" s="611"/>
      <c r="H22" s="613">
        <f t="shared" si="1"/>
        <v>0</v>
      </c>
    </row>
    <row r="23" spans="1:8" ht="37.049999999999997" customHeight="1">
      <c r="A23" s="598">
        <v>8</v>
      </c>
      <c r="B23" s="591" t="s">
        <v>790</v>
      </c>
      <c r="C23" s="611"/>
      <c r="D23" s="611"/>
      <c r="E23" s="612">
        <f t="shared" si="0"/>
        <v>0</v>
      </c>
      <c r="F23" s="611"/>
      <c r="G23" s="611"/>
      <c r="H23" s="613">
        <f t="shared" si="1"/>
        <v>0</v>
      </c>
    </row>
    <row r="24" spans="1:8" ht="34.5" customHeight="1">
      <c r="A24" s="598">
        <v>9</v>
      </c>
      <c r="B24" s="591" t="s">
        <v>791</v>
      </c>
      <c r="C24" s="611"/>
      <c r="D24" s="611"/>
      <c r="E24" s="612">
        <f t="shared" si="0"/>
        <v>0</v>
      </c>
      <c r="F24" s="611"/>
      <c r="G24" s="611"/>
      <c r="H24" s="613">
        <f t="shared" si="1"/>
        <v>0</v>
      </c>
    </row>
    <row r="25" spans="1:8">
      <c r="A25" s="598">
        <v>10</v>
      </c>
      <c r="B25" s="590" t="s">
        <v>792</v>
      </c>
      <c r="C25" s="611">
        <v>7014300.0600000052</v>
      </c>
      <c r="D25" s="611"/>
      <c r="E25" s="612">
        <f t="shared" si="0"/>
        <v>7014300.0600000052</v>
      </c>
      <c r="F25" s="611">
        <v>5733584.3599999947</v>
      </c>
      <c r="G25" s="611"/>
      <c r="H25" s="613">
        <f t="shared" si="1"/>
        <v>5733584.3599999947</v>
      </c>
    </row>
    <row r="26" spans="1:8" ht="27" customHeight="1">
      <c r="A26" s="598">
        <v>11</v>
      </c>
      <c r="B26" s="592" t="s">
        <v>793</v>
      </c>
      <c r="C26" s="611"/>
      <c r="D26" s="611"/>
      <c r="E26" s="612">
        <f t="shared" si="0"/>
        <v>0</v>
      </c>
      <c r="F26" s="611"/>
      <c r="G26" s="611"/>
      <c r="H26" s="613">
        <f t="shared" si="1"/>
        <v>0</v>
      </c>
    </row>
    <row r="27" spans="1:8">
      <c r="A27" s="598">
        <v>12</v>
      </c>
      <c r="B27" s="590" t="s">
        <v>794</v>
      </c>
      <c r="C27" s="611">
        <v>95497.45</v>
      </c>
      <c r="D27" s="611"/>
      <c r="E27" s="612">
        <f t="shared" si="0"/>
        <v>95497.45</v>
      </c>
      <c r="F27" s="611">
        <v>-76025.919999999998</v>
      </c>
      <c r="G27" s="611"/>
      <c r="H27" s="613">
        <f t="shared" si="1"/>
        <v>-76025.919999999998</v>
      </c>
    </row>
    <row r="28" spans="1:8">
      <c r="A28" s="598">
        <v>13</v>
      </c>
      <c r="B28" s="590" t="s">
        <v>795</v>
      </c>
      <c r="C28" s="611">
        <v>-3942145.1400000006</v>
      </c>
      <c r="D28" s="611">
        <v>-17165.88</v>
      </c>
      <c r="E28" s="612">
        <f t="shared" si="0"/>
        <v>-3959311.0200000005</v>
      </c>
      <c r="F28" s="611">
        <v>-3531695.1199999992</v>
      </c>
      <c r="G28" s="611">
        <v>-13071.05</v>
      </c>
      <c r="H28" s="613">
        <f t="shared" si="1"/>
        <v>-3544766.169999999</v>
      </c>
    </row>
    <row r="29" spans="1:8">
      <c r="A29" s="598">
        <v>14</v>
      </c>
      <c r="B29" s="590" t="s">
        <v>796</v>
      </c>
      <c r="C29" s="611">
        <f>SUM(C30:C31)</f>
        <v>-20288097.82</v>
      </c>
      <c r="D29" s="611">
        <f>SUM(D30:D31)</f>
        <v>0</v>
      </c>
      <c r="E29" s="612">
        <f t="shared" si="0"/>
        <v>-20288097.82</v>
      </c>
      <c r="F29" s="611">
        <f>SUM(F30:F31)</f>
        <v>-16988794.740000002</v>
      </c>
      <c r="G29" s="611">
        <f>SUM(G30:G31)</f>
        <v>0</v>
      </c>
      <c r="H29" s="613">
        <f t="shared" si="1"/>
        <v>-16988794.740000002</v>
      </c>
    </row>
    <row r="30" spans="1:8">
      <c r="A30" s="598">
        <v>14.1</v>
      </c>
      <c r="B30" s="568" t="s">
        <v>797</v>
      </c>
      <c r="C30" s="611">
        <v>-17272685.25</v>
      </c>
      <c r="D30" s="611"/>
      <c r="E30" s="612">
        <f t="shared" si="0"/>
        <v>-17272685.25</v>
      </c>
      <c r="F30" s="611">
        <v>-13436886.780000001</v>
      </c>
      <c r="G30" s="611"/>
      <c r="H30" s="613">
        <f t="shared" si="1"/>
        <v>-13436886.780000001</v>
      </c>
    </row>
    <row r="31" spans="1:8">
      <c r="A31" s="598">
        <v>14.2</v>
      </c>
      <c r="B31" s="568" t="s">
        <v>798</v>
      </c>
      <c r="C31" s="611">
        <v>-3015412.5699999994</v>
      </c>
      <c r="D31" s="611"/>
      <c r="E31" s="612">
        <f t="shared" si="0"/>
        <v>-3015412.5699999994</v>
      </c>
      <c r="F31" s="611">
        <v>-3551907.9599999995</v>
      </c>
      <c r="G31" s="611"/>
      <c r="H31" s="613">
        <f t="shared" si="1"/>
        <v>-3551907.9599999995</v>
      </c>
    </row>
    <row r="32" spans="1:8">
      <c r="A32" s="598">
        <v>15</v>
      </c>
      <c r="B32" s="593" t="s">
        <v>799</v>
      </c>
      <c r="C32" s="611">
        <v>-3751549.4399999995</v>
      </c>
      <c r="D32" s="611"/>
      <c r="E32" s="612">
        <f t="shared" si="0"/>
        <v>-3751549.4399999995</v>
      </c>
      <c r="F32" s="611">
        <v>-4146995.1399999997</v>
      </c>
      <c r="G32" s="611"/>
      <c r="H32" s="613">
        <f t="shared" si="1"/>
        <v>-4146995.1399999997</v>
      </c>
    </row>
    <row r="33" spans="1:8" ht="22.5" customHeight="1">
      <c r="A33" s="598">
        <v>16</v>
      </c>
      <c r="B33" s="565" t="s">
        <v>800</v>
      </c>
      <c r="C33" s="611"/>
      <c r="D33" s="611"/>
      <c r="E33" s="612">
        <f t="shared" si="0"/>
        <v>0</v>
      </c>
      <c r="F33" s="611"/>
      <c r="G33" s="611"/>
      <c r="H33" s="613">
        <f t="shared" si="1"/>
        <v>0</v>
      </c>
    </row>
    <row r="34" spans="1:8">
      <c r="A34" s="598">
        <v>17</v>
      </c>
      <c r="B34" s="590" t="s">
        <v>801</v>
      </c>
      <c r="C34" s="611">
        <f>SUM(C35:C36)</f>
        <v>-5910525.9858999997</v>
      </c>
      <c r="D34" s="611">
        <f>SUM(D35:D36)</f>
        <v>76487.789683822237</v>
      </c>
      <c r="E34" s="612">
        <f t="shared" si="0"/>
        <v>-5834038.1962161772</v>
      </c>
      <c r="F34" s="611">
        <f>SUM(F35:F36)</f>
        <v>-4117481.8532474395</v>
      </c>
      <c r="G34" s="611">
        <f>SUM(G35:G36)</f>
        <v>1203273.6905189999</v>
      </c>
      <c r="H34" s="613">
        <f t="shared" si="1"/>
        <v>-2914208.1627284396</v>
      </c>
    </row>
    <row r="35" spans="1:8">
      <c r="A35" s="598">
        <v>17.100000000000001</v>
      </c>
      <c r="B35" s="568" t="s">
        <v>802</v>
      </c>
      <c r="C35" s="611">
        <v>-179694.07949999999</v>
      </c>
      <c r="D35" s="611">
        <v>48302.2739</v>
      </c>
      <c r="E35" s="612">
        <f t="shared" si="0"/>
        <v>-131391.80559999999</v>
      </c>
      <c r="F35" s="611">
        <v>-97334.440608000004</v>
      </c>
      <c r="G35" s="611">
        <v>183878.97513202002</v>
      </c>
      <c r="H35" s="613">
        <f t="shared" si="1"/>
        <v>86544.534524020011</v>
      </c>
    </row>
    <row r="36" spans="1:8">
      <c r="A36" s="598">
        <v>17.2</v>
      </c>
      <c r="B36" s="568" t="s">
        <v>803</v>
      </c>
      <c r="C36" s="611">
        <v>-5730831.9063999997</v>
      </c>
      <c r="D36" s="611">
        <v>28185.515783822237</v>
      </c>
      <c r="E36" s="612">
        <f t="shared" si="0"/>
        <v>-5702646.3906161776</v>
      </c>
      <c r="F36" s="611">
        <v>-4020147.4126394396</v>
      </c>
      <c r="G36" s="611">
        <v>1019394.71538698</v>
      </c>
      <c r="H36" s="613">
        <f t="shared" si="1"/>
        <v>-3000752.6972524598</v>
      </c>
    </row>
    <row r="37" spans="1:8" ht="41.55" customHeight="1">
      <c r="A37" s="598">
        <v>18</v>
      </c>
      <c r="B37" s="594" t="s">
        <v>804</v>
      </c>
      <c r="C37" s="611">
        <f>SUM(C38:C39)</f>
        <v>0</v>
      </c>
      <c r="D37" s="611">
        <f>SUM(D38:D39)</f>
        <v>0</v>
      </c>
      <c r="E37" s="612">
        <f t="shared" si="0"/>
        <v>0</v>
      </c>
      <c r="F37" s="611">
        <f>SUM(F38:F39)</f>
        <v>0</v>
      </c>
      <c r="G37" s="611">
        <f>SUM(G38:G39)</f>
        <v>0</v>
      </c>
      <c r="H37" s="613">
        <f t="shared" si="1"/>
        <v>0</v>
      </c>
    </row>
    <row r="38" spans="1:8" ht="20.399999999999999">
      <c r="A38" s="598">
        <v>18.100000000000001</v>
      </c>
      <c r="B38" s="574" t="s">
        <v>805</v>
      </c>
      <c r="C38" s="611"/>
      <c r="D38" s="611"/>
      <c r="E38" s="612">
        <f t="shared" si="0"/>
        <v>0</v>
      </c>
      <c r="F38" s="611"/>
      <c r="G38" s="611"/>
      <c r="H38" s="613">
        <f t="shared" si="1"/>
        <v>0</v>
      </c>
    </row>
    <row r="39" spans="1:8">
      <c r="A39" s="598">
        <v>18.2</v>
      </c>
      <c r="B39" s="574" t="s">
        <v>806</v>
      </c>
      <c r="C39" s="611"/>
      <c r="D39" s="611"/>
      <c r="E39" s="612">
        <f t="shared" si="0"/>
        <v>0</v>
      </c>
      <c r="F39" s="611"/>
      <c r="G39" s="611"/>
      <c r="H39" s="613">
        <f t="shared" si="1"/>
        <v>0</v>
      </c>
    </row>
    <row r="40" spans="1:8" ht="24.45" customHeight="1">
      <c r="A40" s="598">
        <v>19</v>
      </c>
      <c r="B40" s="594" t="s">
        <v>807</v>
      </c>
      <c r="C40" s="611"/>
      <c r="D40" s="611"/>
      <c r="E40" s="612">
        <f t="shared" si="0"/>
        <v>0</v>
      </c>
      <c r="F40" s="611"/>
      <c r="G40" s="611"/>
      <c r="H40" s="613">
        <f t="shared" si="1"/>
        <v>0</v>
      </c>
    </row>
    <row r="41" spans="1:8" ht="25.05" customHeight="1">
      <c r="A41" s="598">
        <v>20</v>
      </c>
      <c r="B41" s="594" t="s">
        <v>808</v>
      </c>
      <c r="C41" s="611"/>
      <c r="D41" s="611"/>
      <c r="E41" s="612">
        <f t="shared" si="0"/>
        <v>0</v>
      </c>
      <c r="F41" s="611"/>
      <c r="G41" s="611"/>
      <c r="H41" s="613">
        <f t="shared" si="1"/>
        <v>0</v>
      </c>
    </row>
    <row r="42" spans="1:8" ht="33" customHeight="1">
      <c r="A42" s="598">
        <v>21</v>
      </c>
      <c r="B42" s="595" t="s">
        <v>809</v>
      </c>
      <c r="C42" s="611"/>
      <c r="D42" s="611"/>
      <c r="E42" s="612">
        <f t="shared" si="0"/>
        <v>0</v>
      </c>
      <c r="F42" s="611"/>
      <c r="G42" s="611"/>
      <c r="H42" s="613">
        <f t="shared" si="1"/>
        <v>0</v>
      </c>
    </row>
    <row r="43" spans="1:8">
      <c r="A43" s="598">
        <v>22</v>
      </c>
      <c r="B43" s="596" t="s">
        <v>810</v>
      </c>
      <c r="C43" s="611">
        <f>SUM(C6,C13,C18,C19,C20,C21,C22,C23,C24,C25,C26,C27,C28,C29,C32,C33,C34,C37,C40,C41,C42)</f>
        <v>-8680871.8356999923</v>
      </c>
      <c r="D43" s="611">
        <f>SUM(D6,D13,D18,D19,D20,D21,D22,D23,D24,D25,D26,D27,D28,D29,D32,D33,D34,D37,D40,D41,D42)</f>
        <v>7587995.5141838202</v>
      </c>
      <c r="E43" s="612">
        <f t="shared" si="0"/>
        <v>-1092876.321516172</v>
      </c>
      <c r="F43" s="611">
        <f>SUM(F6,F13,F18,F19,F20,F21,F22,F23,F24,F25,F26,F27,F28,F29,F32,F33,F34,F37,F40,F41,F42)</f>
        <v>-10464783.702812366</v>
      </c>
      <c r="G43" s="611">
        <f>SUM(G6,G13,G18,G19,G20,G21,G22,G23,G24,G25,G26,G27,G28,G29,G32,G33,G34,G37,G40,G41,G42)</f>
        <v>7656576.3471026253</v>
      </c>
      <c r="H43" s="613">
        <f t="shared" si="1"/>
        <v>-2808207.3557097409</v>
      </c>
    </row>
    <row r="44" spans="1:8">
      <c r="A44" s="598">
        <v>23</v>
      </c>
      <c r="B44" s="596" t="s">
        <v>811</v>
      </c>
      <c r="C44" s="611"/>
      <c r="D44" s="611"/>
      <c r="E44" s="612">
        <f t="shared" si="0"/>
        <v>0</v>
      </c>
      <c r="F44" s="611"/>
      <c r="G44" s="611"/>
      <c r="H44" s="613">
        <f t="shared" si="1"/>
        <v>0</v>
      </c>
    </row>
    <row r="45" spans="1:8" ht="15" thickBot="1">
      <c r="A45" s="623">
        <v>24</v>
      </c>
      <c r="B45" s="624" t="s">
        <v>812</v>
      </c>
      <c r="C45" s="620">
        <f>C43-C44</f>
        <v>-8680871.8356999923</v>
      </c>
      <c r="D45" s="620">
        <f>D43-D44</f>
        <v>7587995.5141838202</v>
      </c>
      <c r="E45" s="621">
        <f t="shared" si="0"/>
        <v>-1092876.321516172</v>
      </c>
      <c r="F45" s="620">
        <f>F43-F44</f>
        <v>-10464783.702812366</v>
      </c>
      <c r="G45" s="620">
        <f>G43-G44</f>
        <v>7656576.3471026253</v>
      </c>
      <c r="H45" s="622">
        <f t="shared" si="1"/>
        <v>-2808207.3557097409</v>
      </c>
    </row>
  </sheetData>
  <mergeCells count="4">
    <mergeCell ref="B4:B5"/>
    <mergeCell ref="C4:E4"/>
    <mergeCell ref="F4:H4"/>
    <mergeCell ref="A4:A5"/>
  </mergeCells>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19" zoomScale="70" zoomScaleNormal="70" workbookViewId="0"/>
  </sheetViews>
  <sheetFormatPr defaultRowHeight="14.4"/>
  <cols>
    <col min="1" max="1" width="8.77734375" style="418"/>
    <col min="2" max="2" width="87.6640625" bestFit="1" customWidth="1"/>
    <col min="3" max="3" width="16" customWidth="1"/>
    <col min="4" max="4" width="18.77734375" customWidth="1"/>
    <col min="5" max="8" width="12.77734375" customWidth="1"/>
  </cols>
  <sheetData>
    <row r="1" spans="1:8">
      <c r="A1" s="13" t="s">
        <v>109</v>
      </c>
      <c r="B1" s="303" t="str">
        <f>Info!C2</f>
        <v>სს " პაშა ბანკი საქართველო"</v>
      </c>
      <c r="C1" s="12"/>
      <c r="D1" s="1"/>
      <c r="E1" s="1"/>
      <c r="F1" s="1"/>
      <c r="G1" s="1"/>
    </row>
    <row r="2" spans="1:8">
      <c r="A2" s="13" t="s">
        <v>110</v>
      </c>
      <c r="B2" s="339">
        <f>'1. key ratios'!B2</f>
        <v>45199</v>
      </c>
      <c r="C2" s="12"/>
      <c r="D2" s="1"/>
      <c r="E2" s="1"/>
      <c r="F2" s="1"/>
      <c r="G2" s="1"/>
    </row>
    <row r="3" spans="1:8">
      <c r="A3" s="13"/>
      <c r="B3" s="12"/>
      <c r="C3" s="12"/>
      <c r="D3" s="1"/>
      <c r="E3" s="1"/>
      <c r="F3" s="1"/>
      <c r="G3" s="1"/>
    </row>
    <row r="4" spans="1:8">
      <c r="A4" s="781" t="s">
        <v>26</v>
      </c>
      <c r="B4" s="782" t="s">
        <v>152</v>
      </c>
      <c r="C4" s="783" t="s">
        <v>115</v>
      </c>
      <c r="D4" s="783"/>
      <c r="E4" s="783"/>
      <c r="F4" s="783" t="s">
        <v>116</v>
      </c>
      <c r="G4" s="783"/>
      <c r="H4" s="784"/>
    </row>
    <row r="5" spans="1:8">
      <c r="A5" s="781"/>
      <c r="B5" s="782"/>
      <c r="C5" s="404" t="s">
        <v>27</v>
      </c>
      <c r="D5" s="404" t="s">
        <v>89</v>
      </c>
      <c r="E5" s="404" t="s">
        <v>67</v>
      </c>
      <c r="F5" s="404" t="s">
        <v>27</v>
      </c>
      <c r="G5" s="404" t="s">
        <v>89</v>
      </c>
      <c r="H5" s="405" t="s">
        <v>67</v>
      </c>
    </row>
    <row r="6" spans="1:8">
      <c r="A6" s="406">
        <v>1</v>
      </c>
      <c r="B6" s="407" t="s">
        <v>813</v>
      </c>
      <c r="C6" s="408"/>
      <c r="D6" s="408"/>
      <c r="E6" s="409">
        <f t="shared" ref="E6:E43" si="0">C6+D6</f>
        <v>0</v>
      </c>
      <c r="F6" s="408"/>
      <c r="G6" s="408"/>
      <c r="H6" s="410">
        <f t="shared" ref="H6:H43" si="1">F6+G6</f>
        <v>0</v>
      </c>
    </row>
    <row r="7" spans="1:8">
      <c r="A7" s="406">
        <v>2</v>
      </c>
      <c r="B7" s="411" t="s">
        <v>178</v>
      </c>
      <c r="C7" s="408"/>
      <c r="D7" s="408"/>
      <c r="E7" s="409">
        <f t="shared" si="0"/>
        <v>0</v>
      </c>
      <c r="F7" s="408"/>
      <c r="G7" s="408"/>
      <c r="H7" s="410">
        <f t="shared" si="1"/>
        <v>0</v>
      </c>
    </row>
    <row r="8" spans="1:8">
      <c r="A8" s="406">
        <v>3</v>
      </c>
      <c r="B8" s="411" t="s">
        <v>180</v>
      </c>
      <c r="C8" s="408">
        <f>C9+C10</f>
        <v>305557736.0126</v>
      </c>
      <c r="D8" s="408">
        <f>D9+D10</f>
        <v>354606679.2238</v>
      </c>
      <c r="E8" s="409">
        <f t="shared" si="0"/>
        <v>660164415.23640001</v>
      </c>
      <c r="F8" s="408">
        <f>F9+F10</f>
        <v>21000710.210000001</v>
      </c>
      <c r="G8" s="408">
        <f>G9+G10</f>
        <v>324272582.84559995</v>
      </c>
      <c r="H8" s="410">
        <f t="shared" si="1"/>
        <v>345273293.05559993</v>
      </c>
    </row>
    <row r="9" spans="1:8">
      <c r="A9" s="406">
        <v>3.1</v>
      </c>
      <c r="B9" s="412" t="s">
        <v>814</v>
      </c>
      <c r="C9" s="659">
        <v>283768739.60259998</v>
      </c>
      <c r="D9" s="659">
        <v>335968649.8897</v>
      </c>
      <c r="E9" s="409">
        <f t="shared" si="0"/>
        <v>619737389.49230003</v>
      </c>
      <c r="F9" s="408">
        <v>40000</v>
      </c>
      <c r="G9" s="408">
        <v>310637435.90319997</v>
      </c>
      <c r="H9" s="410">
        <f t="shared" si="1"/>
        <v>310677435.90319997</v>
      </c>
    </row>
    <row r="10" spans="1:8">
      <c r="A10" s="406">
        <v>3.2</v>
      </c>
      <c r="B10" s="412" t="s">
        <v>815</v>
      </c>
      <c r="C10" s="659">
        <v>21788996.41</v>
      </c>
      <c r="D10" s="659">
        <v>18638029.334100001</v>
      </c>
      <c r="E10" s="409">
        <f t="shared" si="0"/>
        <v>40427025.744100004</v>
      </c>
      <c r="F10" s="408">
        <v>20960710.210000001</v>
      </c>
      <c r="G10" s="408">
        <v>13635146.942399999</v>
      </c>
      <c r="H10" s="410">
        <f t="shared" si="1"/>
        <v>34595857.152400002</v>
      </c>
    </row>
    <row r="11" spans="1:8">
      <c r="A11" s="406">
        <v>4</v>
      </c>
      <c r="B11" s="411" t="s">
        <v>179</v>
      </c>
      <c r="C11" s="408">
        <f>C12+C13</f>
        <v>0</v>
      </c>
      <c r="D11" s="408">
        <f>D12+D13</f>
        <v>0</v>
      </c>
      <c r="E11" s="409">
        <f t="shared" si="0"/>
        <v>0</v>
      </c>
      <c r="F11" s="408">
        <f>F12+F13</f>
        <v>0</v>
      </c>
      <c r="G11" s="408">
        <f>G12+G13</f>
        <v>0</v>
      </c>
      <c r="H11" s="410">
        <f t="shared" si="1"/>
        <v>0</v>
      </c>
    </row>
    <row r="12" spans="1:8">
      <c r="A12" s="406">
        <v>4.0999999999999996</v>
      </c>
      <c r="B12" s="412" t="s">
        <v>816</v>
      </c>
      <c r="C12" s="408"/>
      <c r="D12" s="408"/>
      <c r="E12" s="409">
        <f t="shared" si="0"/>
        <v>0</v>
      </c>
      <c r="F12" s="408"/>
      <c r="G12" s="408"/>
      <c r="H12" s="410">
        <f t="shared" si="1"/>
        <v>0</v>
      </c>
    </row>
    <row r="13" spans="1:8">
      <c r="A13" s="406">
        <v>4.2</v>
      </c>
      <c r="B13" s="412" t="s">
        <v>817</v>
      </c>
      <c r="C13" s="408"/>
      <c r="D13" s="408"/>
      <c r="E13" s="409">
        <f t="shared" si="0"/>
        <v>0</v>
      </c>
      <c r="F13" s="408"/>
      <c r="G13" s="408"/>
      <c r="H13" s="410">
        <f t="shared" si="1"/>
        <v>0</v>
      </c>
    </row>
    <row r="14" spans="1:8">
      <c r="A14" s="406">
        <v>5</v>
      </c>
      <c r="B14" s="413" t="s">
        <v>818</v>
      </c>
      <c r="C14" s="408">
        <f>C15+C16+C17+C23+C24+C25+C26</f>
        <v>97838550.039999992</v>
      </c>
      <c r="D14" s="408">
        <f>D15+D16+D17+D23+D24+D25+D26</f>
        <v>362213777.40889996</v>
      </c>
      <c r="E14" s="409">
        <f t="shared" si="0"/>
        <v>460052327.44889998</v>
      </c>
      <c r="F14" s="408">
        <f>F15+F16+F17+F23+F24+F25+F26</f>
        <v>96189474.280900002</v>
      </c>
      <c r="G14" s="408">
        <f>G15+G16+G17+G23+G24+G25+G26</f>
        <v>1285006233.3318999</v>
      </c>
      <c r="H14" s="410">
        <f t="shared" si="1"/>
        <v>1381195707.6127999</v>
      </c>
    </row>
    <row r="15" spans="1:8">
      <c r="A15" s="406">
        <v>5.0999999999999996</v>
      </c>
      <c r="B15" s="414" t="s">
        <v>819</v>
      </c>
      <c r="C15" s="408">
        <v>1942527.23</v>
      </c>
      <c r="D15" s="408">
        <v>5104474.3459999999</v>
      </c>
      <c r="E15" s="409">
        <f t="shared" si="0"/>
        <v>7047001.5759999994</v>
      </c>
      <c r="F15" s="408">
        <v>905951.19</v>
      </c>
      <c r="G15" s="408">
        <v>5132485.5392000005</v>
      </c>
      <c r="H15" s="410">
        <f t="shared" si="1"/>
        <v>6038436.7291999999</v>
      </c>
    </row>
    <row r="16" spans="1:8">
      <c r="A16" s="406">
        <v>5.2</v>
      </c>
      <c r="B16" s="414" t="s">
        <v>820</v>
      </c>
      <c r="C16" s="408"/>
      <c r="D16" s="408"/>
      <c r="E16" s="409">
        <f t="shared" si="0"/>
        <v>0</v>
      </c>
      <c r="F16" s="408"/>
      <c r="G16" s="408"/>
      <c r="H16" s="410">
        <f t="shared" si="1"/>
        <v>0</v>
      </c>
    </row>
    <row r="17" spans="1:8">
      <c r="A17" s="406">
        <v>5.3</v>
      </c>
      <c r="B17" s="414" t="s">
        <v>821</v>
      </c>
      <c r="C17" s="408">
        <f>C18+C19+C20+C21+C22</f>
        <v>33800000</v>
      </c>
      <c r="D17" s="408">
        <f>D18+D19+D20+D21+D22</f>
        <v>285753286.01189995</v>
      </c>
      <c r="E17" s="409">
        <f t="shared" si="0"/>
        <v>319553286.01189995</v>
      </c>
      <c r="F17" s="408">
        <v>33800000</v>
      </c>
      <c r="G17" s="408">
        <v>1013887394.605</v>
      </c>
      <c r="H17" s="410">
        <f t="shared" si="1"/>
        <v>1047687394.605</v>
      </c>
    </row>
    <row r="18" spans="1:8">
      <c r="A18" s="406" t="s">
        <v>181</v>
      </c>
      <c r="B18" s="415" t="s">
        <v>822</v>
      </c>
      <c r="C18" s="408">
        <v>1</v>
      </c>
      <c r="D18" s="408">
        <v>41925765.377599999</v>
      </c>
      <c r="E18" s="409">
        <f t="shared" si="0"/>
        <v>41925766.377599999</v>
      </c>
      <c r="F18" s="408">
        <v>1</v>
      </c>
      <c r="G18" s="408">
        <v>39755296.309100002</v>
      </c>
      <c r="H18" s="410">
        <f t="shared" si="1"/>
        <v>39755297.309100002</v>
      </c>
    </row>
    <row r="19" spans="1:8">
      <c r="A19" s="406" t="s">
        <v>182</v>
      </c>
      <c r="B19" s="416" t="s">
        <v>823</v>
      </c>
      <c r="C19" s="408">
        <v>0</v>
      </c>
      <c r="D19" s="408">
        <v>188303534.44589999</v>
      </c>
      <c r="E19" s="409">
        <f t="shared" si="0"/>
        <v>188303534.44589999</v>
      </c>
      <c r="F19" s="408">
        <v>0</v>
      </c>
      <c r="G19" s="408">
        <v>811434446.54470003</v>
      </c>
      <c r="H19" s="410">
        <f t="shared" si="1"/>
        <v>811434446.54470003</v>
      </c>
    </row>
    <row r="20" spans="1:8">
      <c r="A20" s="406" t="s">
        <v>183</v>
      </c>
      <c r="B20" s="416" t="s">
        <v>824</v>
      </c>
      <c r="C20" s="408">
        <v>0</v>
      </c>
      <c r="D20" s="408">
        <v>0</v>
      </c>
      <c r="E20" s="409">
        <f t="shared" si="0"/>
        <v>0</v>
      </c>
      <c r="F20" s="408"/>
      <c r="G20" s="408">
        <v>2978944.64</v>
      </c>
      <c r="H20" s="410">
        <f t="shared" si="1"/>
        <v>2978944.64</v>
      </c>
    </row>
    <row r="21" spans="1:8">
      <c r="A21" s="406" t="s">
        <v>184</v>
      </c>
      <c r="B21" s="416" t="s">
        <v>825</v>
      </c>
      <c r="C21" s="408">
        <v>0</v>
      </c>
      <c r="D21" s="408">
        <v>47161506.020800002</v>
      </c>
      <c r="E21" s="409">
        <f t="shared" si="0"/>
        <v>47161506.020800002</v>
      </c>
      <c r="F21" s="408">
        <v>0</v>
      </c>
      <c r="G21" s="408">
        <v>102185955.46969999</v>
      </c>
      <c r="H21" s="410">
        <f t="shared" si="1"/>
        <v>102185955.46969999</v>
      </c>
    </row>
    <row r="22" spans="1:8">
      <c r="A22" s="406" t="s">
        <v>185</v>
      </c>
      <c r="B22" s="416" t="s">
        <v>542</v>
      </c>
      <c r="C22" s="408">
        <v>33799999</v>
      </c>
      <c r="D22" s="408">
        <v>8362480.1676000003</v>
      </c>
      <c r="E22" s="409">
        <f t="shared" si="0"/>
        <v>42162479.167599998</v>
      </c>
      <c r="F22" s="408">
        <v>33799999</v>
      </c>
      <c r="G22" s="408">
        <v>57532751.641500004</v>
      </c>
      <c r="H22" s="410">
        <f t="shared" si="1"/>
        <v>91332750.641499996</v>
      </c>
    </row>
    <row r="23" spans="1:8">
      <c r="A23" s="406">
        <v>5.4</v>
      </c>
      <c r="B23" s="414" t="s">
        <v>826</v>
      </c>
      <c r="C23" s="408">
        <v>6000001</v>
      </c>
      <c r="D23" s="408">
        <v>34294945.292800002</v>
      </c>
      <c r="E23" s="409">
        <f t="shared" si="0"/>
        <v>40294946.292800002</v>
      </c>
      <c r="F23" s="408">
        <v>5100000.0202000001</v>
      </c>
      <c r="G23" s="408">
        <v>82647796.458100006</v>
      </c>
      <c r="H23" s="410">
        <f t="shared" si="1"/>
        <v>87747796.478300005</v>
      </c>
    </row>
    <row r="24" spans="1:8">
      <c r="A24" s="406">
        <v>5.5</v>
      </c>
      <c r="B24" s="414" t="s">
        <v>827</v>
      </c>
      <c r="C24" s="408">
        <v>0.01</v>
      </c>
      <c r="D24" s="408">
        <v>69.635800000000003</v>
      </c>
      <c r="E24" s="409">
        <f t="shared" si="0"/>
        <v>69.645800000000008</v>
      </c>
      <c r="F24" s="408">
        <v>5.0500000000000003E-2</v>
      </c>
      <c r="G24" s="408">
        <v>59.539200000000001</v>
      </c>
      <c r="H24" s="410">
        <f t="shared" si="1"/>
        <v>59.589700000000001</v>
      </c>
    </row>
    <row r="25" spans="1:8">
      <c r="A25" s="406">
        <v>5.6</v>
      </c>
      <c r="B25" s="414" t="s">
        <v>828</v>
      </c>
      <c r="C25" s="408">
        <v>0</v>
      </c>
      <c r="D25" s="408">
        <v>0</v>
      </c>
      <c r="E25" s="409">
        <f t="shared" si="0"/>
        <v>0</v>
      </c>
      <c r="F25" s="408">
        <v>0</v>
      </c>
      <c r="G25" s="408">
        <v>66826885.971199997</v>
      </c>
      <c r="H25" s="410">
        <f t="shared" si="1"/>
        <v>66826885.971199997</v>
      </c>
    </row>
    <row r="26" spans="1:8">
      <c r="A26" s="406">
        <v>5.7</v>
      </c>
      <c r="B26" s="414" t="s">
        <v>542</v>
      </c>
      <c r="C26" s="408">
        <v>56096021.799999997</v>
      </c>
      <c r="D26" s="408">
        <v>37061002.122400001</v>
      </c>
      <c r="E26" s="409">
        <f t="shared" si="0"/>
        <v>93157023.922399998</v>
      </c>
      <c r="F26" s="408">
        <v>56383523.020199999</v>
      </c>
      <c r="G26" s="408">
        <v>116511611.2192</v>
      </c>
      <c r="H26" s="410">
        <f t="shared" si="1"/>
        <v>172895134.2394</v>
      </c>
    </row>
    <row r="27" spans="1:8">
      <c r="A27" s="406">
        <v>6</v>
      </c>
      <c r="B27" s="413" t="s">
        <v>829</v>
      </c>
      <c r="C27" s="408">
        <v>65665880.669999994</v>
      </c>
      <c r="D27" s="408">
        <v>3584098.5939000002</v>
      </c>
      <c r="E27" s="409">
        <f t="shared" si="0"/>
        <v>69249979.263899997</v>
      </c>
      <c r="F27" s="408">
        <v>38058715.829999998</v>
      </c>
      <c r="G27" s="408">
        <v>7088848.9751000004</v>
      </c>
      <c r="H27" s="410">
        <f t="shared" si="1"/>
        <v>45147564.805100001</v>
      </c>
    </row>
    <row r="28" spans="1:8">
      <c r="A28" s="406">
        <v>7</v>
      </c>
      <c r="B28" s="413" t="s">
        <v>830</v>
      </c>
      <c r="C28" s="408">
        <v>46059583.07</v>
      </c>
      <c r="D28" s="408">
        <v>42675878.633400001</v>
      </c>
      <c r="E28" s="409">
        <f t="shared" si="0"/>
        <v>88735461.703400001</v>
      </c>
      <c r="F28" s="408">
        <v>48523488.869999997</v>
      </c>
      <c r="G28" s="408">
        <v>18198156.745200001</v>
      </c>
      <c r="H28" s="410">
        <f t="shared" si="1"/>
        <v>66721645.615199998</v>
      </c>
    </row>
    <row r="29" spans="1:8">
      <c r="A29" s="406">
        <v>8</v>
      </c>
      <c r="B29" s="413" t="s">
        <v>831</v>
      </c>
      <c r="C29" s="408"/>
      <c r="D29" s="408"/>
      <c r="E29" s="409">
        <f t="shared" si="0"/>
        <v>0</v>
      </c>
      <c r="F29" s="408"/>
      <c r="G29" s="408">
        <v>497314.272</v>
      </c>
      <c r="H29" s="410">
        <f t="shared" si="1"/>
        <v>497314.272</v>
      </c>
    </row>
    <row r="30" spans="1:8">
      <c r="A30" s="406">
        <v>9</v>
      </c>
      <c r="B30" s="411" t="s">
        <v>186</v>
      </c>
      <c r="C30" s="408">
        <f>C31+C32+C33+C34+C35+C36+C37</f>
        <v>62725529.399999999</v>
      </c>
      <c r="D30" s="408">
        <f>D31+D32+D33+D34+D35+D36+D37</f>
        <v>370244858.6146</v>
      </c>
      <c r="E30" s="409">
        <f t="shared" si="0"/>
        <v>432970388.01459998</v>
      </c>
      <c r="F30" s="408">
        <f>F31+F32+F33+F34+F35+F36+F37</f>
        <v>39093555.299999997</v>
      </c>
      <c r="G30" s="408">
        <f>G31+G32+G33+G34+G35+G36+G37</f>
        <v>149351761.28830001</v>
      </c>
      <c r="H30" s="410">
        <f t="shared" si="1"/>
        <v>188445316.58829999</v>
      </c>
    </row>
    <row r="31" spans="1:8" ht="27.6">
      <c r="A31" s="406">
        <v>9.1</v>
      </c>
      <c r="B31" s="412" t="s">
        <v>832</v>
      </c>
      <c r="C31" s="408">
        <v>22418828</v>
      </c>
      <c r="D31" s="408">
        <v>194161397.90450001</v>
      </c>
      <c r="E31" s="409">
        <f t="shared" si="0"/>
        <v>216580225.90450001</v>
      </c>
      <c r="F31" s="408">
        <v>15613900</v>
      </c>
      <c r="G31" s="408">
        <v>78249507.089300007</v>
      </c>
      <c r="H31" s="410">
        <f t="shared" si="1"/>
        <v>93863407.089300007</v>
      </c>
    </row>
    <row r="32" spans="1:8" ht="27.6">
      <c r="A32" s="406">
        <v>9.1999999999999993</v>
      </c>
      <c r="B32" s="412" t="s">
        <v>833</v>
      </c>
      <c r="C32" s="408">
        <v>40306701.399999999</v>
      </c>
      <c r="D32" s="408">
        <v>176083460.7101</v>
      </c>
      <c r="E32" s="409">
        <f t="shared" si="0"/>
        <v>216390162.1101</v>
      </c>
      <c r="F32" s="408">
        <v>23479655.300000001</v>
      </c>
      <c r="G32" s="408">
        <v>71102254.199000001</v>
      </c>
      <c r="H32" s="410">
        <f t="shared" si="1"/>
        <v>94581909.498999998</v>
      </c>
    </row>
    <row r="33" spans="1:8" ht="27.6">
      <c r="A33" s="406">
        <v>9.3000000000000007</v>
      </c>
      <c r="B33" s="412" t="s">
        <v>834</v>
      </c>
      <c r="C33" s="408"/>
      <c r="D33" s="408"/>
      <c r="E33" s="409">
        <f t="shared" si="0"/>
        <v>0</v>
      </c>
      <c r="F33" s="408"/>
      <c r="G33" s="408"/>
      <c r="H33" s="410">
        <f t="shared" si="1"/>
        <v>0</v>
      </c>
    </row>
    <row r="34" spans="1:8">
      <c r="A34" s="406">
        <v>9.4</v>
      </c>
      <c r="B34" s="412" t="s">
        <v>835</v>
      </c>
      <c r="C34" s="408"/>
      <c r="D34" s="408"/>
      <c r="E34" s="409">
        <f t="shared" si="0"/>
        <v>0</v>
      </c>
      <c r="F34" s="408"/>
      <c r="G34" s="408"/>
      <c r="H34" s="410">
        <f t="shared" si="1"/>
        <v>0</v>
      </c>
    </row>
    <row r="35" spans="1:8">
      <c r="A35" s="406">
        <v>9.5</v>
      </c>
      <c r="B35" s="412" t="s">
        <v>836</v>
      </c>
      <c r="C35" s="408"/>
      <c r="D35" s="408"/>
      <c r="E35" s="409">
        <f t="shared" si="0"/>
        <v>0</v>
      </c>
      <c r="F35" s="408"/>
      <c r="G35" s="408"/>
      <c r="H35" s="410">
        <f t="shared" si="1"/>
        <v>0</v>
      </c>
    </row>
    <row r="36" spans="1:8" ht="27.6">
      <c r="A36" s="406">
        <v>9.6</v>
      </c>
      <c r="B36" s="412" t="s">
        <v>837</v>
      </c>
      <c r="C36" s="408"/>
      <c r="D36" s="408"/>
      <c r="E36" s="409">
        <f t="shared" si="0"/>
        <v>0</v>
      </c>
      <c r="F36" s="408"/>
      <c r="G36" s="408"/>
      <c r="H36" s="410">
        <f t="shared" si="1"/>
        <v>0</v>
      </c>
    </row>
    <row r="37" spans="1:8" ht="27.6">
      <c r="A37" s="406">
        <v>9.6999999999999993</v>
      </c>
      <c r="B37" s="412" t="s">
        <v>838</v>
      </c>
      <c r="C37" s="408"/>
      <c r="D37" s="408"/>
      <c r="E37" s="409">
        <f t="shared" si="0"/>
        <v>0</v>
      </c>
      <c r="F37" s="408"/>
      <c r="G37" s="408"/>
      <c r="H37" s="410">
        <f t="shared" si="1"/>
        <v>0</v>
      </c>
    </row>
    <row r="38" spans="1:8">
      <c r="A38" s="406">
        <v>10</v>
      </c>
      <c r="B38" s="413" t="s">
        <v>839</v>
      </c>
      <c r="C38" s="408">
        <f>C39+C40+C41+C42</f>
        <v>16396422.539999999</v>
      </c>
      <c r="D38" s="408">
        <f>D39+D40+D41+D42</f>
        <v>21038317.256699998</v>
      </c>
      <c r="E38" s="409">
        <f t="shared" si="0"/>
        <v>37434739.796700001</v>
      </c>
      <c r="F38" s="408">
        <f>F39+F40+F41+F42</f>
        <v>7160274.5199999996</v>
      </c>
      <c r="G38" s="408">
        <f>G39+G40+G41+G42</f>
        <v>6623375.1551000001</v>
      </c>
      <c r="H38" s="410">
        <f t="shared" si="1"/>
        <v>13783649.675099999</v>
      </c>
    </row>
    <row r="39" spans="1:8">
      <c r="A39" s="406">
        <v>10.1</v>
      </c>
      <c r="B39" s="412" t="s">
        <v>840</v>
      </c>
      <c r="C39" s="658">
        <v>-612949.81000000006</v>
      </c>
      <c r="D39" s="658">
        <v>0</v>
      </c>
      <c r="E39" s="409">
        <f t="shared" si="0"/>
        <v>-612949.81000000006</v>
      </c>
      <c r="F39" s="408">
        <v>628763.13</v>
      </c>
      <c r="G39" s="408">
        <v>0</v>
      </c>
      <c r="H39" s="410">
        <f t="shared" si="1"/>
        <v>628763.13</v>
      </c>
    </row>
    <row r="40" spans="1:8" ht="27.6">
      <c r="A40" s="406">
        <v>10.199999999999999</v>
      </c>
      <c r="B40" s="412" t="s">
        <v>841</v>
      </c>
      <c r="C40" s="658">
        <v>1898476.35</v>
      </c>
      <c r="D40" s="658">
        <v>2924128.7321000001</v>
      </c>
      <c r="E40" s="409">
        <f t="shared" si="0"/>
        <v>4822605.0821000002</v>
      </c>
      <c r="F40" s="408">
        <v>912741.79</v>
      </c>
      <c r="G40" s="408">
        <v>1174595.2065000001</v>
      </c>
      <c r="H40" s="410">
        <f t="shared" si="1"/>
        <v>2087336.9965000001</v>
      </c>
    </row>
    <row r="41" spans="1:8" ht="27.6">
      <c r="A41" s="406">
        <v>10.3</v>
      </c>
      <c r="B41" s="412" t="s">
        <v>842</v>
      </c>
      <c r="C41" s="658">
        <v>4698465.6399999997</v>
      </c>
      <c r="D41" s="658">
        <v>0</v>
      </c>
      <c r="E41" s="409">
        <f t="shared" si="0"/>
        <v>4698465.6399999997</v>
      </c>
      <c r="F41" s="408">
        <v>2459978.0099999998</v>
      </c>
      <c r="G41" s="408">
        <v>0</v>
      </c>
      <c r="H41" s="410">
        <f t="shared" si="1"/>
        <v>2459978.0099999998</v>
      </c>
    </row>
    <row r="42" spans="1:8" ht="27.6">
      <c r="A42" s="406">
        <v>10.4</v>
      </c>
      <c r="B42" s="412" t="s">
        <v>843</v>
      </c>
      <c r="C42" s="658">
        <v>10412430.359999999</v>
      </c>
      <c r="D42" s="658">
        <v>18114188.524599999</v>
      </c>
      <c r="E42" s="409">
        <f t="shared" si="0"/>
        <v>28526618.884599999</v>
      </c>
      <c r="F42" s="408">
        <v>3158791.59</v>
      </c>
      <c r="G42" s="408">
        <v>5448779.9485999998</v>
      </c>
      <c r="H42" s="410">
        <f t="shared" si="1"/>
        <v>8607571.5385999996</v>
      </c>
    </row>
    <row r="43" spans="1:8">
      <c r="A43" s="406">
        <v>11</v>
      </c>
      <c r="B43" s="417" t="s">
        <v>187</v>
      </c>
      <c r="C43" s="408"/>
      <c r="D43" s="408"/>
      <c r="E43" s="409">
        <f t="shared" si="0"/>
        <v>0</v>
      </c>
      <c r="F43" s="408"/>
      <c r="G43" s="408"/>
      <c r="H43" s="410">
        <f t="shared" si="1"/>
        <v>0</v>
      </c>
    </row>
    <row r="44" spans="1:8">
      <c r="C44" s="419"/>
      <c r="D44" s="419"/>
      <c r="E44" s="419"/>
      <c r="F44" s="419"/>
      <c r="G44" s="419"/>
      <c r="H44" s="419"/>
    </row>
    <row r="45" spans="1:8">
      <c r="C45" s="419"/>
      <c r="D45" s="419"/>
      <c r="E45" s="419"/>
      <c r="F45" s="419"/>
      <c r="G45" s="419"/>
      <c r="H45" s="419"/>
    </row>
    <row r="46" spans="1:8">
      <c r="C46" s="419"/>
      <c r="D46" s="419"/>
      <c r="E46" s="419"/>
      <c r="F46" s="419"/>
      <c r="G46" s="419"/>
      <c r="H46" s="419"/>
    </row>
    <row r="47" spans="1:8">
      <c r="C47" s="419"/>
      <c r="D47" s="419"/>
      <c r="E47" s="419"/>
      <c r="F47" s="419"/>
      <c r="G47" s="419"/>
      <c r="H47" s="419"/>
    </row>
  </sheetData>
  <mergeCells count="4">
    <mergeCell ref="A4:A5"/>
    <mergeCell ref="B4:B5"/>
    <mergeCell ref="C4:E4"/>
    <mergeCell ref="F4:H4"/>
  </mergeCells>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pane="topRight"/>
      <selection pane="bottomLeft"/>
      <selection pane="bottomRight"/>
    </sheetView>
  </sheetViews>
  <sheetFormatPr defaultColWidth="9.21875" defaultRowHeight="13.8"/>
  <cols>
    <col min="1" max="1" width="9.5546875" style="1" bestFit="1" customWidth="1"/>
    <col min="2" max="2" width="93.5546875" style="1" customWidth="1"/>
    <col min="3" max="4" width="12.77734375" style="1" customWidth="1"/>
    <col min="5" max="5" width="13.109375" style="8" customWidth="1"/>
    <col min="6" max="6" width="15.21875" style="8" customWidth="1"/>
    <col min="7" max="7" width="13.44140625" style="8" customWidth="1"/>
    <col min="8" max="11" width="9.77734375" style="8" customWidth="1"/>
    <col min="12" max="16384" width="9.21875" style="8"/>
  </cols>
  <sheetData>
    <row r="1" spans="1:7">
      <c r="A1" s="13" t="s">
        <v>109</v>
      </c>
      <c r="B1" s="12" t="str">
        <f>Info!C2</f>
        <v>სს " პაშა ბანკი საქართველო"</v>
      </c>
      <c r="C1" s="12"/>
    </row>
    <row r="2" spans="1:7">
      <c r="A2" s="13" t="s">
        <v>110</v>
      </c>
      <c r="B2" s="339">
        <f>'1. key ratios'!B2</f>
        <v>45199</v>
      </c>
      <c r="C2" s="12"/>
    </row>
    <row r="3" spans="1:7">
      <c r="A3" s="13"/>
      <c r="B3" s="12"/>
      <c r="C3" s="12"/>
    </row>
    <row r="4" spans="1:7" ht="15" customHeight="1" thickBot="1">
      <c r="A4" s="140" t="s">
        <v>254</v>
      </c>
      <c r="B4" s="141" t="s">
        <v>108</v>
      </c>
      <c r="C4" s="142" t="s">
        <v>88</v>
      </c>
    </row>
    <row r="5" spans="1:7" ht="15" customHeight="1">
      <c r="A5" s="138" t="s">
        <v>26</v>
      </c>
      <c r="B5" s="139"/>
      <c r="C5" s="323" t="str">
        <f>INT((MONTH($B$2))/3)&amp;"Q"&amp;"-"&amp;YEAR($B$2)</f>
        <v>3Q-2023</v>
      </c>
      <c r="D5" s="323" t="str">
        <f>IF(INT(MONTH($B$2))=3, "4"&amp;"Q"&amp;"-"&amp;YEAR($B$2)-1, IF(INT(MONTH($B$2))=6, "1"&amp;"Q"&amp;"-"&amp;YEAR($B$2), IF(INT(MONTH($B$2))=9, "2"&amp;"Q"&amp;"-"&amp;YEAR($B$2),IF(INT(MONTH($B$2))=12, "3"&amp;"Q"&amp;"-"&amp;YEAR($B$2), 0))))</f>
        <v>2Q-2023</v>
      </c>
      <c r="E5" s="323" t="str">
        <f>IF(INT(MONTH($B$2))=3, "3"&amp;"Q"&amp;"-"&amp;YEAR($B$2)-1, IF(INT(MONTH($B$2))=6, "4"&amp;"Q"&amp;"-"&amp;YEAR($B$2)-1, IF(INT(MONTH($B$2))=9, "1"&amp;"Q"&amp;"-"&amp;YEAR($B$2),IF(INT(MONTH($B$2))=12, "2"&amp;"Q"&amp;"-"&amp;YEAR($B$2), 0))))</f>
        <v>1Q-2023</v>
      </c>
      <c r="F5" s="323" t="str">
        <f>IF(INT(MONTH($B$2))=3, "2"&amp;"Q"&amp;"-"&amp;YEAR($B$2)-1, IF(INT(MONTH($B$2))=6, "3"&amp;"Q"&amp;"-"&amp;YEAR($B$2)-1, IF(INT(MONTH($B$2))=9, "4"&amp;"Q"&amp;"-"&amp;YEAR($B$2)-1,IF(INT(MONTH($B$2))=12, "1"&amp;"Q"&amp;"-"&amp;YEAR($B$2), 0))))</f>
        <v>4Q-2022</v>
      </c>
      <c r="G5" s="323" t="str">
        <f>IF(INT(MONTH($B$2))=3, "1"&amp;"Q"&amp;"-"&amp;YEAR($B$2)-1, IF(INT(MONTH($B$2))=6, "2"&amp;"Q"&amp;"-"&amp;YEAR($B$2)-1, IF(INT(MONTH($B$2))=9, "3"&amp;"Q"&amp;"-"&amp;YEAR($B$2)-1,IF(INT(MONTH($B$2))=12, "4"&amp;"Q"&amp;"-"&amp;YEAR($B$2)-1, 0))))</f>
        <v>3Q-2022</v>
      </c>
    </row>
    <row r="6" spans="1:7" ht="15" customHeight="1">
      <c r="A6" s="255">
        <v>1</v>
      </c>
      <c r="B6" s="309" t="s">
        <v>113</v>
      </c>
      <c r="C6" s="256">
        <f>C7+C9+C10</f>
        <v>471994722.33460003</v>
      </c>
      <c r="D6" s="311">
        <f>D7+D9+D10</f>
        <v>481763583.18377501</v>
      </c>
      <c r="E6" s="257">
        <f t="shared" ref="E6:G6" si="0">E7+E9+E10</f>
        <v>471726745.11486995</v>
      </c>
      <c r="F6" s="256">
        <f t="shared" si="0"/>
        <v>497737310.48461002</v>
      </c>
      <c r="G6" s="312">
        <f t="shared" si="0"/>
        <v>477818248.73982</v>
      </c>
    </row>
    <row r="7" spans="1:7" ht="15" customHeight="1">
      <c r="A7" s="255">
        <v>1.1000000000000001</v>
      </c>
      <c r="B7" s="258" t="s">
        <v>437</v>
      </c>
      <c r="C7" s="259">
        <v>424770530.16939998</v>
      </c>
      <c r="D7" s="313">
        <v>439546920.804115</v>
      </c>
      <c r="E7" s="259">
        <v>434813748.08630997</v>
      </c>
      <c r="F7" s="259">
        <v>455940401.05535001</v>
      </c>
      <c r="G7" s="314">
        <v>437842233.56118</v>
      </c>
    </row>
    <row r="8" spans="1:7" ht="27.6">
      <c r="A8" s="255" t="s">
        <v>158</v>
      </c>
      <c r="B8" s="260" t="s">
        <v>251</v>
      </c>
      <c r="C8" s="259"/>
      <c r="D8" s="313"/>
      <c r="E8" s="259"/>
      <c r="F8" s="259"/>
      <c r="G8" s="314"/>
    </row>
    <row r="9" spans="1:7" ht="15" customHeight="1">
      <c r="A9" s="255">
        <v>1.2</v>
      </c>
      <c r="B9" s="258" t="s">
        <v>22</v>
      </c>
      <c r="C9" s="259">
        <v>45805922.804800004</v>
      </c>
      <c r="D9" s="313">
        <v>40476471.975660004</v>
      </c>
      <c r="E9" s="259">
        <v>33895648.832159996</v>
      </c>
      <c r="F9" s="259">
        <v>38528922.784160003</v>
      </c>
      <c r="G9" s="314">
        <v>38098747.036839999</v>
      </c>
    </row>
    <row r="10" spans="1:7" ht="15" customHeight="1">
      <c r="A10" s="255">
        <v>1.3</v>
      </c>
      <c r="B10" s="310" t="s">
        <v>75</v>
      </c>
      <c r="C10" s="259">
        <v>1418269.3603999999</v>
      </c>
      <c r="D10" s="313">
        <v>1740190.4040000001</v>
      </c>
      <c r="E10" s="259">
        <v>3017348.1963999998</v>
      </c>
      <c r="F10" s="259">
        <v>3267986.6450999998</v>
      </c>
      <c r="G10" s="314">
        <v>1877268.1418000001</v>
      </c>
    </row>
    <row r="11" spans="1:7" ht="15" customHeight="1">
      <c r="A11" s="255">
        <v>2</v>
      </c>
      <c r="B11" s="309" t="s">
        <v>114</v>
      </c>
      <c r="C11" s="259">
        <v>3046946.9396975418</v>
      </c>
      <c r="D11" s="313">
        <v>4811648.1937317355</v>
      </c>
      <c r="E11" s="259">
        <v>3040200.1016594404</v>
      </c>
      <c r="F11" s="259">
        <v>4997167.2005720008</v>
      </c>
      <c r="G11" s="314">
        <v>7065666.1379674431</v>
      </c>
    </row>
    <row r="12" spans="1:7" ht="15" customHeight="1">
      <c r="A12" s="255">
        <v>3</v>
      </c>
      <c r="B12" s="309" t="s">
        <v>112</v>
      </c>
      <c r="C12" s="259">
        <v>52612002.030000001</v>
      </c>
      <c r="D12" s="313">
        <v>52612002.030000001</v>
      </c>
      <c r="E12" s="259">
        <v>52612002.030000001</v>
      </c>
      <c r="F12" s="259">
        <v>52523667.965411298</v>
      </c>
      <c r="G12" s="314">
        <v>44217817.779271342</v>
      </c>
    </row>
    <row r="13" spans="1:7" ht="15" customHeight="1" thickBot="1">
      <c r="A13" s="75">
        <v>4</v>
      </c>
      <c r="B13" s="317" t="s">
        <v>159</v>
      </c>
      <c r="C13" s="160">
        <f>C6+C11+C12</f>
        <v>527653671.30429757</v>
      </c>
      <c r="D13" s="315">
        <f>D6+D11+D12</f>
        <v>539187233.4075067</v>
      </c>
      <c r="E13" s="161">
        <f t="shared" ref="E13:G13" si="1">E6+E11+E12</f>
        <v>527378947.24652934</v>
      </c>
      <c r="F13" s="160">
        <f t="shared" si="1"/>
        <v>555258145.65059328</v>
      </c>
      <c r="G13" s="316">
        <f t="shared" si="1"/>
        <v>529101732.65705884</v>
      </c>
    </row>
    <row r="14" spans="1:7">
      <c r="B14" s="17"/>
    </row>
    <row r="15" spans="1:7" ht="27.6">
      <c r="B15" s="17" t="s">
        <v>438</v>
      </c>
    </row>
    <row r="16" spans="1:7">
      <c r="B16" s="17"/>
    </row>
    <row r="17" spans="2:2">
      <c r="B17" s="17"/>
    </row>
    <row r="18" spans="2:2">
      <c r="B18" s="17"/>
    </row>
  </sheetData>
  <pageMargins left="0.7" right="0.7" top="0.75" bottom="0.75" header="0.3" footer="0.3"/>
  <pageSetup paperSize="9"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showGridLines="0" zoomScaleNormal="100" workbookViewId="0">
      <pane xSplit="1" ySplit="4" topLeftCell="B5" activePane="bottomRight" state="frozen"/>
      <selection pane="topRight"/>
      <selection pane="bottomLeft"/>
      <selection pane="bottomRight"/>
    </sheetView>
  </sheetViews>
  <sheetFormatPr defaultRowHeight="14.4"/>
  <cols>
    <col min="1" max="1" width="9.5546875" style="1" bestFit="1" customWidth="1"/>
    <col min="2" max="2" width="44.88671875" style="1" customWidth="1"/>
    <col min="3" max="3" width="49.88671875" style="1" customWidth="1"/>
  </cols>
  <sheetData>
    <row r="1" spans="1:8">
      <c r="A1" s="1" t="s">
        <v>109</v>
      </c>
      <c r="B1" s="1" t="str">
        <f>Info!C2</f>
        <v>სს " პაშა ბანკი საქართველო"</v>
      </c>
    </row>
    <row r="2" spans="1:8">
      <c r="A2" s="1" t="s">
        <v>110</v>
      </c>
      <c r="B2" s="339">
        <f>'1. key ratios'!B2</f>
        <v>45199</v>
      </c>
    </row>
    <row r="4" spans="1:8" ht="25.5" customHeight="1" thickBot="1">
      <c r="A4" s="154" t="s">
        <v>255</v>
      </c>
      <c r="B4" s="24" t="s">
        <v>92</v>
      </c>
      <c r="C4" s="9"/>
    </row>
    <row r="5" spans="1:8">
      <c r="A5" s="7"/>
      <c r="B5" s="305" t="s">
        <v>93</v>
      </c>
      <c r="C5" s="321" t="s">
        <v>451</v>
      </c>
    </row>
    <row r="6" spans="1:8">
      <c r="A6" s="10">
        <v>1</v>
      </c>
      <c r="B6" s="25" t="s">
        <v>968</v>
      </c>
      <c r="C6" s="318" t="s">
        <v>969</v>
      </c>
    </row>
    <row r="7" spans="1:8">
      <c r="A7" s="10">
        <v>2</v>
      </c>
      <c r="B7" s="25" t="s">
        <v>970</v>
      </c>
      <c r="C7" s="318" t="s">
        <v>971</v>
      </c>
    </row>
    <row r="8" spans="1:8">
      <c r="A8" s="10">
        <v>3</v>
      </c>
      <c r="B8" s="25" t="s">
        <v>972</v>
      </c>
      <c r="C8" s="318" t="s">
        <v>971</v>
      </c>
    </row>
    <row r="9" spans="1:8">
      <c r="A9" s="10">
        <v>4</v>
      </c>
      <c r="B9" s="25" t="s">
        <v>973</v>
      </c>
      <c r="C9" s="318" t="s">
        <v>969</v>
      </c>
    </row>
    <row r="10" spans="1:8">
      <c r="A10" s="10">
        <v>5</v>
      </c>
      <c r="B10" s="25" t="s">
        <v>974</v>
      </c>
      <c r="C10" s="318" t="s">
        <v>975</v>
      </c>
    </row>
    <row r="11" spans="1:8">
      <c r="A11" s="10">
        <v>6</v>
      </c>
      <c r="B11" s="25"/>
      <c r="C11" s="318"/>
    </row>
    <row r="12" spans="1:8">
      <c r="A12" s="10">
        <v>7</v>
      </c>
      <c r="B12" s="25"/>
      <c r="C12" s="318"/>
      <c r="H12" s="2"/>
    </row>
    <row r="13" spans="1:8">
      <c r="A13" s="10">
        <v>8</v>
      </c>
      <c r="B13" s="25"/>
      <c r="C13" s="318"/>
    </row>
    <row r="14" spans="1:8">
      <c r="A14" s="10">
        <v>9</v>
      </c>
      <c r="B14" s="25"/>
      <c r="C14" s="318"/>
    </row>
    <row r="15" spans="1:8">
      <c r="A15" s="10">
        <v>10</v>
      </c>
      <c r="B15" s="25"/>
      <c r="C15" s="318"/>
    </row>
    <row r="16" spans="1:8">
      <c r="A16" s="10"/>
      <c r="B16" s="785"/>
      <c r="C16" s="786"/>
    </row>
    <row r="17" spans="1:3" ht="27.6">
      <c r="A17" s="10"/>
      <c r="B17" s="306" t="s">
        <v>94</v>
      </c>
      <c r="C17" s="322" t="s">
        <v>452</v>
      </c>
    </row>
    <row r="18" spans="1:3">
      <c r="A18" s="10">
        <v>1</v>
      </c>
      <c r="B18" s="21" t="s">
        <v>976</v>
      </c>
      <c r="C18" s="319" t="s">
        <v>977</v>
      </c>
    </row>
    <row r="19" spans="1:3">
      <c r="A19" s="10">
        <v>2</v>
      </c>
      <c r="B19" s="21" t="s">
        <v>978</v>
      </c>
      <c r="C19" s="319" t="s">
        <v>979</v>
      </c>
    </row>
    <row r="20" spans="1:3">
      <c r="A20" s="10">
        <v>3</v>
      </c>
      <c r="B20" s="21" t="s">
        <v>976</v>
      </c>
      <c r="C20" s="319" t="s">
        <v>980</v>
      </c>
    </row>
    <row r="21" spans="1:3">
      <c r="A21" s="10">
        <v>4</v>
      </c>
      <c r="B21" s="21" t="s">
        <v>981</v>
      </c>
      <c r="C21" s="319" t="s">
        <v>982</v>
      </c>
    </row>
    <row r="22" spans="1:3">
      <c r="A22" s="10">
        <v>5</v>
      </c>
      <c r="B22" s="21"/>
      <c r="C22" s="319"/>
    </row>
    <row r="23" spans="1:3">
      <c r="A23" s="10">
        <v>6</v>
      </c>
      <c r="B23" s="21"/>
      <c r="C23" s="319"/>
    </row>
    <row r="24" spans="1:3">
      <c r="A24" s="10">
        <v>7</v>
      </c>
      <c r="B24" s="21"/>
      <c r="C24" s="319"/>
    </row>
    <row r="25" spans="1:3">
      <c r="A25" s="10">
        <v>8</v>
      </c>
      <c r="B25" s="21"/>
      <c r="C25" s="319"/>
    </row>
    <row r="26" spans="1:3">
      <c r="A26" s="10">
        <v>9</v>
      </c>
      <c r="B26" s="21"/>
      <c r="C26" s="319"/>
    </row>
    <row r="27" spans="1:3" ht="15.75" customHeight="1">
      <c r="A27" s="10">
        <v>10</v>
      </c>
      <c r="B27" s="21"/>
      <c r="C27" s="320"/>
    </row>
    <row r="28" spans="1:3" ht="15.75" customHeight="1">
      <c r="A28" s="10"/>
      <c r="B28" s="21"/>
      <c r="C28" s="22"/>
    </row>
    <row r="29" spans="1:3" ht="30" customHeight="1">
      <c r="A29" s="10"/>
      <c r="B29" s="787" t="s">
        <v>95</v>
      </c>
      <c r="C29" s="788"/>
    </row>
    <row r="30" spans="1:3">
      <c r="A30" s="10">
        <v>1</v>
      </c>
      <c r="B30" s="660" t="s">
        <v>983</v>
      </c>
      <c r="C30" s="661">
        <v>0.85058799707602339</v>
      </c>
    </row>
    <row r="31" spans="1:3" ht="15.75" customHeight="1">
      <c r="A31" s="10">
        <v>2</v>
      </c>
      <c r="B31" s="660" t="s">
        <v>984</v>
      </c>
      <c r="C31" s="661">
        <v>0.14941200292397661</v>
      </c>
    </row>
    <row r="32" spans="1:3" ht="29.25" customHeight="1">
      <c r="A32" s="10"/>
      <c r="B32" s="787" t="s">
        <v>175</v>
      </c>
      <c r="C32" s="788"/>
    </row>
    <row r="33" spans="1:3" ht="29.25" customHeight="1">
      <c r="A33" s="10">
        <v>1</v>
      </c>
      <c r="B33" s="660" t="s">
        <v>985</v>
      </c>
      <c r="C33" s="663">
        <v>0.18988394736842104</v>
      </c>
    </row>
    <row r="34" spans="1:3" ht="29.25" customHeight="1">
      <c r="A34" s="662">
        <v>2</v>
      </c>
      <c r="B34" s="664" t="s">
        <v>986</v>
      </c>
      <c r="C34" s="665">
        <v>0.35211520467836255</v>
      </c>
    </row>
    <row r="35" spans="1:3">
      <c r="A35" s="10">
        <v>3</v>
      </c>
      <c r="B35" s="664" t="s">
        <v>987</v>
      </c>
      <c r="C35" s="665">
        <v>0.35211520467836255</v>
      </c>
    </row>
    <row r="36" spans="1:3" ht="15" thickBot="1">
      <c r="A36" s="11">
        <v>4</v>
      </c>
      <c r="B36" s="26" t="s">
        <v>988</v>
      </c>
      <c r="C36" s="666">
        <v>0.10588564327485381</v>
      </c>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6" activePane="bottomRight" state="frozen"/>
      <selection pane="topRight"/>
      <selection pane="bottomLeft"/>
      <selection pane="bottomRight"/>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109</v>
      </c>
      <c r="B1" s="12" t="str">
        <f>Info!C2</f>
        <v>სს " პაშა ბანკი საქართველო"</v>
      </c>
    </row>
    <row r="2" spans="1:5" s="13" customFormat="1" ht="15.75" customHeight="1">
      <c r="A2" s="13" t="s">
        <v>110</v>
      </c>
      <c r="B2" s="339">
        <f>'1. key ratios'!B2</f>
        <v>45199</v>
      </c>
    </row>
    <row r="3" spans="1:5" s="13" customFormat="1" ht="15.75" customHeight="1"/>
    <row r="4" spans="1:5" s="13" customFormat="1" ht="15.75" customHeight="1" thickBot="1">
      <c r="A4" s="155" t="s">
        <v>256</v>
      </c>
      <c r="B4" s="156" t="s">
        <v>169</v>
      </c>
      <c r="C4" s="120"/>
      <c r="D4" s="120"/>
      <c r="E4" s="121" t="s">
        <v>88</v>
      </c>
    </row>
    <row r="5" spans="1:5" s="71" customFormat="1" ht="17.55" customHeight="1">
      <c r="A5" s="235"/>
      <c r="B5" s="236"/>
      <c r="C5" s="119" t="s">
        <v>0</v>
      </c>
      <c r="D5" s="119" t="s">
        <v>1</v>
      </c>
      <c r="E5" s="237" t="s">
        <v>2</v>
      </c>
    </row>
    <row r="6" spans="1:5" ht="14.55" customHeight="1">
      <c r="A6" s="597"/>
      <c r="B6" s="789" t="s">
        <v>145</v>
      </c>
      <c r="C6" s="789" t="s">
        <v>857</v>
      </c>
      <c r="D6" s="790" t="s">
        <v>144</v>
      </c>
      <c r="E6" s="791"/>
    </row>
    <row r="7" spans="1:5" ht="99.6" customHeight="1">
      <c r="A7" s="597"/>
      <c r="B7" s="789"/>
      <c r="C7" s="789"/>
      <c r="D7" s="233" t="s">
        <v>143</v>
      </c>
      <c r="E7" s="234" t="s">
        <v>354</v>
      </c>
    </row>
    <row r="8" spans="1:5" ht="22.5" customHeight="1">
      <c r="A8" s="598">
        <v>1</v>
      </c>
      <c r="B8" s="599" t="s">
        <v>844</v>
      </c>
      <c r="C8" s="600">
        <f>SUM(C9:C11)</f>
        <v>93126892.067000002</v>
      </c>
      <c r="D8" s="600">
        <f t="shared" ref="D8:E8" si="0">SUM(D9:D11)</f>
        <v>0</v>
      </c>
      <c r="E8" s="601">
        <f t="shared" si="0"/>
        <v>93126892.067000002</v>
      </c>
    </row>
    <row r="9" spans="1:5">
      <c r="A9" s="598">
        <v>1.1000000000000001</v>
      </c>
      <c r="B9" s="573" t="s">
        <v>97</v>
      </c>
      <c r="C9" s="600">
        <v>2839608.4022000004</v>
      </c>
      <c r="D9" s="600"/>
      <c r="E9" s="601">
        <f>C9-D9</f>
        <v>2839608.4022000004</v>
      </c>
    </row>
    <row r="10" spans="1:5">
      <c r="A10" s="598">
        <v>1.2</v>
      </c>
      <c r="B10" s="573" t="s">
        <v>98</v>
      </c>
      <c r="C10" s="600">
        <v>48563402.621699996</v>
      </c>
      <c r="D10" s="600"/>
      <c r="E10" s="601">
        <f>C10-D10</f>
        <v>48563402.621699996</v>
      </c>
    </row>
    <row r="11" spans="1:5">
      <c r="A11" s="598">
        <v>1.3</v>
      </c>
      <c r="B11" s="573" t="s">
        <v>99</v>
      </c>
      <c r="C11" s="600">
        <v>41723881.043099999</v>
      </c>
      <c r="D11" s="600"/>
      <c r="E11" s="601">
        <f>C11-D11</f>
        <v>41723881.043099999</v>
      </c>
    </row>
    <row r="12" spans="1:5">
      <c r="A12" s="598">
        <v>2</v>
      </c>
      <c r="B12" s="575" t="s">
        <v>731</v>
      </c>
      <c r="C12" s="600">
        <f>C13</f>
        <v>814453.66999999993</v>
      </c>
      <c r="D12" s="600"/>
      <c r="E12" s="601">
        <f>E13</f>
        <v>814453.66999999993</v>
      </c>
    </row>
    <row r="13" spans="1:5">
      <c r="A13" s="598">
        <v>2.1</v>
      </c>
      <c r="B13" s="563" t="s">
        <v>732</v>
      </c>
      <c r="C13" s="600">
        <v>814453.66999999993</v>
      </c>
      <c r="D13" s="600"/>
      <c r="E13" s="601">
        <f>C13-D13</f>
        <v>814453.66999999993</v>
      </c>
    </row>
    <row r="14" spans="1:5" ht="34.049999999999997" customHeight="1">
      <c r="A14" s="598">
        <v>3</v>
      </c>
      <c r="B14" s="564" t="s">
        <v>733</v>
      </c>
      <c r="C14" s="600"/>
      <c r="D14" s="600"/>
      <c r="E14" s="601"/>
    </row>
    <row r="15" spans="1:5" ht="32.549999999999997" customHeight="1">
      <c r="A15" s="598">
        <v>4</v>
      </c>
      <c r="B15" s="565" t="s">
        <v>734</v>
      </c>
      <c r="C15" s="600"/>
      <c r="D15" s="600"/>
      <c r="E15" s="601"/>
    </row>
    <row r="16" spans="1:5" ht="22.95" customHeight="1">
      <c r="A16" s="598">
        <v>5</v>
      </c>
      <c r="B16" s="565" t="s">
        <v>735</v>
      </c>
      <c r="C16" s="600">
        <f>SUM(C17:C19)</f>
        <v>0</v>
      </c>
      <c r="D16" s="600">
        <f t="shared" ref="D16:E16" si="1">SUM(D17:D19)</f>
        <v>0</v>
      </c>
      <c r="E16" s="601">
        <f t="shared" si="1"/>
        <v>0</v>
      </c>
    </row>
    <row r="17" spans="1:5">
      <c r="A17" s="598">
        <v>5.0999999999999996</v>
      </c>
      <c r="B17" s="566" t="s">
        <v>736</v>
      </c>
      <c r="C17" s="600"/>
      <c r="D17" s="600"/>
      <c r="E17" s="601"/>
    </row>
    <row r="18" spans="1:5">
      <c r="A18" s="598">
        <v>5.2</v>
      </c>
      <c r="B18" s="566" t="s">
        <v>570</v>
      </c>
      <c r="C18" s="600"/>
      <c r="D18" s="600"/>
      <c r="E18" s="601"/>
    </row>
    <row r="19" spans="1:5">
      <c r="A19" s="598">
        <v>5.3</v>
      </c>
      <c r="B19" s="566" t="s">
        <v>737</v>
      </c>
      <c r="C19" s="600"/>
      <c r="D19" s="600"/>
      <c r="E19" s="601"/>
    </row>
    <row r="20" spans="1:5" ht="20.399999999999999">
      <c r="A20" s="598">
        <v>6</v>
      </c>
      <c r="B20" s="564" t="s">
        <v>738</v>
      </c>
      <c r="C20" s="600">
        <f>SUM(C21:C22)</f>
        <v>374316778.62969995</v>
      </c>
      <c r="D20" s="600">
        <f t="shared" ref="D20:E20" si="2">SUM(D21:D22)</f>
        <v>0</v>
      </c>
      <c r="E20" s="601">
        <f t="shared" si="2"/>
        <v>374316778.62969995</v>
      </c>
    </row>
    <row r="21" spans="1:5">
      <c r="A21" s="598">
        <v>6.1</v>
      </c>
      <c r="B21" s="566" t="s">
        <v>570</v>
      </c>
      <c r="C21" s="602">
        <v>60018438.668399997</v>
      </c>
      <c r="D21" s="602"/>
      <c r="E21" s="601">
        <f>C21-D21</f>
        <v>60018438.668399997</v>
      </c>
    </row>
    <row r="22" spans="1:5">
      <c r="A22" s="598">
        <v>6.2</v>
      </c>
      <c r="B22" s="566" t="s">
        <v>737</v>
      </c>
      <c r="C22" s="602">
        <v>314298339.96129996</v>
      </c>
      <c r="D22" s="602"/>
      <c r="E22" s="601">
        <f>C22-D22</f>
        <v>314298339.96129996</v>
      </c>
    </row>
    <row r="23" spans="1:5" ht="20.399999999999999">
      <c r="A23" s="598">
        <v>7</v>
      </c>
      <c r="B23" s="567" t="s">
        <v>739</v>
      </c>
      <c r="C23" s="602"/>
      <c r="D23" s="602"/>
      <c r="E23" s="603"/>
    </row>
    <row r="24" spans="1:5" ht="20.399999999999999">
      <c r="A24" s="598">
        <v>8</v>
      </c>
      <c r="B24" s="567" t="s">
        <v>740</v>
      </c>
      <c r="C24" s="602">
        <v>3516866.86</v>
      </c>
      <c r="D24" s="602"/>
      <c r="E24" s="601">
        <f>C24-D24</f>
        <v>3516866.86</v>
      </c>
    </row>
    <row r="25" spans="1:5">
      <c r="A25" s="598">
        <v>9</v>
      </c>
      <c r="B25" s="565" t="s">
        <v>741</v>
      </c>
      <c r="C25" s="602">
        <f>SUM(C26:C27)</f>
        <v>5141641.96</v>
      </c>
      <c r="D25" s="602">
        <f t="shared" ref="D25:E25" si="3">SUM(D26:D27)</f>
        <v>0</v>
      </c>
      <c r="E25" s="603">
        <f t="shared" si="3"/>
        <v>5141641.96</v>
      </c>
    </row>
    <row r="26" spans="1:5">
      <c r="A26" s="598">
        <v>9.1</v>
      </c>
      <c r="B26" s="568" t="s">
        <v>742</v>
      </c>
      <c r="C26" s="602">
        <v>5141641.96</v>
      </c>
      <c r="D26" s="602"/>
      <c r="E26" s="601">
        <f>C26-D26</f>
        <v>5141641.96</v>
      </c>
    </row>
    <row r="27" spans="1:5">
      <c r="A27" s="598">
        <v>9.1999999999999993</v>
      </c>
      <c r="B27" s="568" t="s">
        <v>743</v>
      </c>
      <c r="C27" s="602"/>
      <c r="D27" s="602"/>
      <c r="E27" s="603"/>
    </row>
    <row r="28" spans="1:5">
      <c r="A28" s="598">
        <v>10</v>
      </c>
      <c r="B28" s="565" t="s">
        <v>37</v>
      </c>
      <c r="C28" s="602">
        <f>SUM(C29:C30)</f>
        <v>5291279.91</v>
      </c>
      <c r="D28" s="602">
        <f t="shared" ref="D28:E28" si="4">SUM(D29:D30)</f>
        <v>5291279.91</v>
      </c>
      <c r="E28" s="603">
        <f t="shared" si="4"/>
        <v>0</v>
      </c>
    </row>
    <row r="29" spans="1:5">
      <c r="A29" s="598">
        <v>10.1</v>
      </c>
      <c r="B29" s="568" t="s">
        <v>744</v>
      </c>
      <c r="C29" s="602"/>
      <c r="D29" s="602"/>
      <c r="E29" s="603"/>
    </row>
    <row r="30" spans="1:5">
      <c r="A30" s="598">
        <v>10.199999999999999</v>
      </c>
      <c r="B30" s="568" t="s">
        <v>745</v>
      </c>
      <c r="C30" s="602">
        <v>5291279.91</v>
      </c>
      <c r="D30" s="602">
        <v>5291279.91</v>
      </c>
      <c r="E30" s="601">
        <f>C30-D30</f>
        <v>0</v>
      </c>
    </row>
    <row r="31" spans="1:5">
      <c r="A31" s="598">
        <v>11</v>
      </c>
      <c r="B31" s="565" t="s">
        <v>746</v>
      </c>
      <c r="C31" s="602">
        <f>SUM(C32:C33)</f>
        <v>0</v>
      </c>
      <c r="D31" s="602">
        <f t="shared" ref="D31:E31" si="5">SUM(D32:D33)</f>
        <v>0</v>
      </c>
      <c r="E31" s="603">
        <f t="shared" si="5"/>
        <v>0</v>
      </c>
    </row>
    <row r="32" spans="1:5">
      <c r="A32" s="598">
        <v>11.1</v>
      </c>
      <c r="B32" s="568" t="s">
        <v>747</v>
      </c>
      <c r="C32" s="602"/>
      <c r="D32" s="602"/>
      <c r="E32" s="603"/>
    </row>
    <row r="33" spans="1:7">
      <c r="A33" s="598">
        <v>11.2</v>
      </c>
      <c r="B33" s="568" t="s">
        <v>748</v>
      </c>
      <c r="C33" s="602"/>
      <c r="D33" s="602"/>
      <c r="E33" s="603"/>
    </row>
    <row r="34" spans="1:7">
      <c r="A34" s="598">
        <v>13</v>
      </c>
      <c r="B34" s="565" t="s">
        <v>100</v>
      </c>
      <c r="C34" s="602">
        <v>2771663.8903999999</v>
      </c>
      <c r="D34" s="602"/>
      <c r="E34" s="601">
        <f>C34-D34</f>
        <v>2771663.8903999999</v>
      </c>
    </row>
    <row r="35" spans="1:7">
      <c r="A35" s="598">
        <v>13.1</v>
      </c>
      <c r="B35" s="569" t="s">
        <v>749</v>
      </c>
      <c r="C35" s="602"/>
      <c r="D35" s="602"/>
      <c r="E35" s="603"/>
    </row>
    <row r="36" spans="1:7">
      <c r="A36" s="598">
        <v>13.2</v>
      </c>
      <c r="B36" s="569" t="s">
        <v>750</v>
      </c>
      <c r="C36" s="602"/>
      <c r="D36" s="602"/>
      <c r="E36" s="603"/>
    </row>
    <row r="37" spans="1:7" ht="42" thickBot="1">
      <c r="A37" s="604"/>
      <c r="B37" s="238" t="s">
        <v>321</v>
      </c>
      <c r="C37" s="605">
        <f>SUM(C8,C12,C14,C15,C16,C20,C23,C24,C25,C28,C31,C34)</f>
        <v>484979576.98709995</v>
      </c>
      <c r="D37" s="605">
        <f t="shared" ref="D37:E37" si="6">SUM(D8,D12,D14,D15,D16,D20,D23,D24,D25,D28,D31,D34)</f>
        <v>5291279.91</v>
      </c>
      <c r="E37" s="606">
        <f t="shared" si="6"/>
        <v>479688297.07709992</v>
      </c>
    </row>
    <row r="38" spans="1:7">
      <c r="A38"/>
      <c r="B38"/>
      <c r="C38"/>
      <c r="D38"/>
      <c r="E38"/>
    </row>
    <row r="39" spans="1:7">
      <c r="A39"/>
      <c r="B39"/>
      <c r="C39"/>
      <c r="D39"/>
      <c r="E39"/>
    </row>
    <row r="41" spans="1:7" s="1" customFormat="1">
      <c r="B41" s="28"/>
      <c r="D41" s="625"/>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pane="topRight"/>
      <selection pane="bottomLeft"/>
      <selection pane="bottomRight"/>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109</v>
      </c>
      <c r="B1" s="12" t="str">
        <f>Info!C2</f>
        <v>სს " პაშა ბანკი საქართველო"</v>
      </c>
    </row>
    <row r="2" spans="1:6" s="13" customFormat="1" ht="15.75" customHeight="1">
      <c r="A2" s="13" t="s">
        <v>110</v>
      </c>
      <c r="B2" s="339">
        <f>'1. key ratios'!B2</f>
        <v>45199</v>
      </c>
      <c r="C2"/>
      <c r="D2"/>
      <c r="E2"/>
      <c r="F2"/>
    </row>
    <row r="3" spans="1:6" s="13" customFormat="1" ht="15.75" customHeight="1">
      <c r="C3"/>
      <c r="D3"/>
      <c r="E3"/>
      <c r="F3"/>
    </row>
    <row r="4" spans="1:6" s="13" customFormat="1" ht="28.2" thickBot="1">
      <c r="A4" s="13" t="s">
        <v>257</v>
      </c>
      <c r="B4" s="127" t="s">
        <v>172</v>
      </c>
      <c r="C4" s="121" t="s">
        <v>88</v>
      </c>
      <c r="D4"/>
      <c r="E4"/>
      <c r="F4"/>
    </row>
    <row r="5" spans="1:6">
      <c r="A5" s="122">
        <v>1</v>
      </c>
      <c r="B5" s="123" t="s">
        <v>728</v>
      </c>
      <c r="C5" s="162">
        <f>'7. LI1'!E37</f>
        <v>479688297.07709992</v>
      </c>
    </row>
    <row r="6" spans="1:6">
      <c r="A6" s="70">
        <v>2.1</v>
      </c>
      <c r="B6" s="129" t="s">
        <v>862</v>
      </c>
      <c r="C6" s="163">
        <v>157491103.90869999</v>
      </c>
    </row>
    <row r="7" spans="1:6" s="2" customFormat="1" ht="27.6" outlineLevel="1">
      <c r="A7" s="128">
        <v>2.2000000000000002</v>
      </c>
      <c r="B7" s="124" t="s">
        <v>863</v>
      </c>
      <c r="C7" s="164">
        <v>70913468.021500006</v>
      </c>
    </row>
    <row r="8" spans="1:6" s="2" customFormat="1" ht="27.6">
      <c r="A8" s="128">
        <v>3</v>
      </c>
      <c r="B8" s="125" t="s">
        <v>729</v>
      </c>
      <c r="C8" s="165">
        <f>SUM(C5:C7)</f>
        <v>708092869.0072999</v>
      </c>
    </row>
    <row r="9" spans="1:6">
      <c r="A9" s="70">
        <v>4</v>
      </c>
      <c r="B9" s="132" t="s">
        <v>170</v>
      </c>
      <c r="C9" s="163"/>
    </row>
    <row r="10" spans="1:6" s="2" customFormat="1" ht="27.6" outlineLevel="1">
      <c r="A10" s="128">
        <v>5.0999999999999996</v>
      </c>
      <c r="B10" s="124" t="s">
        <v>176</v>
      </c>
      <c r="C10" s="164">
        <v>-109448865.48579998</v>
      </c>
    </row>
    <row r="11" spans="1:6" s="2" customFormat="1" ht="27.6" outlineLevel="1">
      <c r="A11" s="128">
        <v>5.2</v>
      </c>
      <c r="B11" s="124" t="s">
        <v>177</v>
      </c>
      <c r="C11" s="164">
        <v>-69495198.661070004</v>
      </c>
    </row>
    <row r="12" spans="1:6" s="2" customFormat="1">
      <c r="A12" s="128">
        <v>6</v>
      </c>
      <c r="B12" s="130" t="s">
        <v>439</v>
      </c>
      <c r="C12" s="164"/>
    </row>
    <row r="13" spans="1:6" s="2" customFormat="1" ht="15" thickBot="1">
      <c r="A13" s="131">
        <v>7</v>
      </c>
      <c r="B13" s="126" t="s">
        <v>171</v>
      </c>
      <c r="C13" s="166">
        <f>SUM(C8:C12)</f>
        <v>529148804.86042988</v>
      </c>
    </row>
    <row r="15" spans="1:6" ht="27.6">
      <c r="B15" s="17" t="s">
        <v>440</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2024-02-05T08:58:15Z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2023-10-18T08:49:41Z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5933210e-1679-4029-810c-7df7cd0e7933</vt:lpwstr>
  </property>
  <property fmtid="{D5CDD505-2E9C-101B-9397-08002B2CF9AE}" pid="13" name="MSIP_Label_706c7ad2-60a5-409e-8203-10f940b19acd_ContentBits">
    <vt:lpwstr>2</vt:lpwstr>
  </property>
</Properties>
</file>