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8ADC007F-EF92-48D4-9434-B937F4601F69}"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tab">#REF!</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00" l="1"/>
  <c r="C15" i="100"/>
  <c r="C12" i="98"/>
  <c r="C8" i="98"/>
  <c r="L18" i="101" l="1"/>
  <c r="L17" i="101"/>
  <c r="L15" i="101"/>
  <c r="L14" i="101"/>
  <c r="L10" i="101"/>
  <c r="L9" i="101"/>
  <c r="L8" i="101"/>
  <c r="K33" i="102"/>
  <c r="K30" i="102"/>
  <c r="F33" i="102"/>
  <c r="F30" i="102"/>
  <c r="R19" i="104" l="1"/>
  <c r="L13" i="100" l="1"/>
  <c r="L8" i="100"/>
  <c r="D44" i="6"/>
  <c r="E44" i="6"/>
  <c r="F44" i="6" l="1"/>
  <c r="G44" i="6"/>
  <c r="C44" i="6"/>
  <c r="D23" i="96"/>
  <c r="D8" i="97" l="1"/>
  <c r="D7" i="97"/>
  <c r="D13" i="96"/>
  <c r="D16" i="96"/>
  <c r="D14" i="95"/>
  <c r="D17" i="95"/>
  <c r="B2" i="80" l="1"/>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B2" i="36"/>
  <c r="B1" i="36"/>
  <c r="K23" i="36"/>
  <c r="J23" i="36"/>
  <c r="I23" i="36"/>
  <c r="H23" i="36"/>
  <c r="G23" i="36"/>
  <c r="F23" i="36"/>
  <c r="J21" i="36"/>
  <c r="I21" i="36"/>
  <c r="I24" i="36" s="1"/>
  <c r="G21" i="36"/>
  <c r="G24" i="36" s="1"/>
  <c r="F21" i="36"/>
  <c r="F24" i="36" s="1"/>
  <c r="E21" i="36"/>
  <c r="D21" i="36"/>
  <c r="C21" i="36"/>
  <c r="K20" i="36"/>
  <c r="H20" i="36"/>
  <c r="E20" i="36"/>
  <c r="K19" i="36"/>
  <c r="H19" i="36"/>
  <c r="E19" i="36"/>
  <c r="K18" i="36"/>
  <c r="K21" i="36" s="1"/>
  <c r="H18" i="36"/>
  <c r="H21" i="36" s="1"/>
  <c r="E18" i="36"/>
  <c r="J16" i="36"/>
  <c r="J24" i="36" s="1"/>
  <c r="I16" i="36"/>
  <c r="G16" i="36"/>
  <c r="F16" i="36"/>
  <c r="D16" i="36"/>
  <c r="C16" i="36"/>
  <c r="K15" i="36"/>
  <c r="H15" i="36"/>
  <c r="E15" i="36"/>
  <c r="K14" i="36"/>
  <c r="H14" i="36"/>
  <c r="E14" i="36"/>
  <c r="K13" i="36"/>
  <c r="H13" i="36"/>
  <c r="E13" i="36"/>
  <c r="K12" i="36"/>
  <c r="H12" i="36"/>
  <c r="E12" i="36"/>
  <c r="K11" i="36"/>
  <c r="H11" i="36"/>
  <c r="E11" i="36"/>
  <c r="E16" i="36" s="1"/>
  <c r="K10" i="36"/>
  <c r="K16" i="36" s="1"/>
  <c r="K24" i="36" s="1"/>
  <c r="H10" i="36"/>
  <c r="H16" i="36" s="1"/>
  <c r="H24" i="36" s="1"/>
  <c r="E10" i="36"/>
  <c r="K8" i="36"/>
  <c r="H8" i="36"/>
  <c r="C37" i="69"/>
  <c r="C10" i="69"/>
  <c r="H43" i="94"/>
  <c r="E43" i="94"/>
  <c r="H42" i="94"/>
  <c r="E42" i="94"/>
  <c r="H41" i="94"/>
  <c r="E41" i="94"/>
  <c r="H40" i="94"/>
  <c r="E40" i="94"/>
  <c r="H39" i="94"/>
  <c r="E39" i="94"/>
  <c r="G38" i="94"/>
  <c r="H38" i="94" s="1"/>
  <c r="F38" i="94"/>
  <c r="D38" i="94"/>
  <c r="C38" i="94"/>
  <c r="E38" i="94" s="1"/>
  <c r="H37" i="94"/>
  <c r="E37" i="94"/>
  <c r="H36" i="94"/>
  <c r="E36" i="94"/>
  <c r="H35" i="94"/>
  <c r="E35" i="94"/>
  <c r="H34" i="94"/>
  <c r="E34" i="94"/>
  <c r="H33" i="94"/>
  <c r="E33" i="94"/>
  <c r="H32" i="94"/>
  <c r="E32" i="94"/>
  <c r="H31" i="94"/>
  <c r="E31" i="94"/>
  <c r="G30" i="94"/>
  <c r="F30" i="94"/>
  <c r="H30" i="94" s="1"/>
  <c r="D30" i="94"/>
  <c r="C30" i="94"/>
  <c r="E30" i="94" s="1"/>
  <c r="H29" i="94"/>
  <c r="E29" i="94"/>
  <c r="H28" i="94"/>
  <c r="E28" i="94"/>
  <c r="H27" i="94"/>
  <c r="E27" i="94"/>
  <c r="H26" i="94"/>
  <c r="E26" i="94"/>
  <c r="H25" i="94"/>
  <c r="E25" i="94"/>
  <c r="H24" i="94"/>
  <c r="E24" i="94"/>
  <c r="H23" i="94"/>
  <c r="E23" i="94"/>
  <c r="H22" i="94"/>
  <c r="E22" i="94"/>
  <c r="H21" i="94"/>
  <c r="E21" i="94"/>
  <c r="H20" i="94"/>
  <c r="E20" i="94"/>
  <c r="H19" i="94"/>
  <c r="E19" i="94"/>
  <c r="H18" i="94"/>
  <c r="E18" i="94"/>
  <c r="G17" i="94"/>
  <c r="F17" i="94"/>
  <c r="H17" i="94" s="1"/>
  <c r="D17" i="94"/>
  <c r="D14" i="94" s="1"/>
  <c r="C17" i="94"/>
  <c r="C14" i="94" s="1"/>
  <c r="E14" i="94" s="1"/>
  <c r="H16" i="94"/>
  <c r="E16" i="94"/>
  <c r="H15" i="94"/>
  <c r="E15" i="94"/>
  <c r="G14" i="94"/>
  <c r="H13" i="94"/>
  <c r="E13" i="94"/>
  <c r="H12" i="94"/>
  <c r="E12" i="94"/>
  <c r="G11" i="94"/>
  <c r="F11" i="94"/>
  <c r="H11" i="94" s="1"/>
  <c r="E11" i="94"/>
  <c r="D11" i="94"/>
  <c r="C11" i="94"/>
  <c r="H10" i="94"/>
  <c r="E10" i="94"/>
  <c r="H9" i="94"/>
  <c r="E9" i="94"/>
  <c r="G8" i="94"/>
  <c r="F8" i="94"/>
  <c r="H8" i="94" s="1"/>
  <c r="D8" i="94"/>
  <c r="C8" i="94"/>
  <c r="E8" i="94" s="1"/>
  <c r="H7" i="94"/>
  <c r="E7" i="94"/>
  <c r="H6" i="94"/>
  <c r="E6" i="94"/>
  <c r="G45" i="93"/>
  <c r="F45" i="93"/>
  <c r="G43" i="93"/>
  <c r="F43" i="93"/>
  <c r="G37" i="93"/>
  <c r="F37" i="93"/>
  <c r="G34" i="93"/>
  <c r="F34" i="93"/>
  <c r="G29" i="93"/>
  <c r="F29" i="93"/>
  <c r="G13" i="93"/>
  <c r="F13" i="93"/>
  <c r="G6" i="93"/>
  <c r="F6" i="93"/>
  <c r="D45" i="93"/>
  <c r="C45" i="93"/>
  <c r="D43" i="93"/>
  <c r="C43" i="93"/>
  <c r="D37" i="93"/>
  <c r="C37" i="93"/>
  <c r="D34" i="93"/>
  <c r="C34" i="93"/>
  <c r="D29" i="93"/>
  <c r="C29" i="93"/>
  <c r="D13" i="93"/>
  <c r="C13" i="93"/>
  <c r="D6" i="93"/>
  <c r="C6" i="93"/>
  <c r="G69" i="92"/>
  <c r="F69" i="92"/>
  <c r="G68" i="92"/>
  <c r="F68" i="92"/>
  <c r="G53" i="92"/>
  <c r="F53" i="92"/>
  <c r="G47" i="92"/>
  <c r="F47" i="92"/>
  <c r="G41" i="92"/>
  <c r="F41" i="92"/>
  <c r="G36" i="92"/>
  <c r="F36" i="92"/>
  <c r="G30" i="92"/>
  <c r="F30" i="92"/>
  <c r="G27" i="92"/>
  <c r="F27" i="92"/>
  <c r="G24" i="92"/>
  <c r="F24" i="92"/>
  <c r="G19" i="92"/>
  <c r="F19" i="92"/>
  <c r="G15" i="92"/>
  <c r="F15" i="92"/>
  <c r="G7" i="92"/>
  <c r="F7" i="92"/>
  <c r="D36" i="92"/>
  <c r="C36" i="92"/>
  <c r="D53" i="92"/>
  <c r="C53" i="92"/>
  <c r="D47" i="92"/>
  <c r="C47" i="92"/>
  <c r="D41" i="92"/>
  <c r="C41" i="92"/>
  <c r="D30" i="92"/>
  <c r="C30" i="92"/>
  <c r="D27" i="92"/>
  <c r="C27" i="92"/>
  <c r="D24" i="92"/>
  <c r="C24" i="92"/>
  <c r="D19" i="92"/>
  <c r="C19" i="92"/>
  <c r="D15" i="92"/>
  <c r="C15" i="92"/>
  <c r="D7" i="92"/>
  <c r="C7" i="92"/>
  <c r="D68" i="92"/>
  <c r="C68" i="92"/>
  <c r="G39" i="80" l="1"/>
  <c r="F25" i="36"/>
  <c r="G25" i="36"/>
  <c r="H25" i="36"/>
  <c r="I25" i="36"/>
  <c r="J25" i="36"/>
  <c r="K25" i="36"/>
  <c r="E17" i="94"/>
  <c r="F14" i="94"/>
  <c r="H14" i="94" s="1"/>
  <c r="H8" i="97" l="1"/>
  <c r="H9" i="97"/>
  <c r="H10" i="97"/>
  <c r="H11" i="97"/>
  <c r="H12" i="97"/>
  <c r="H13" i="97"/>
  <c r="H14" i="97"/>
  <c r="H15" i="97"/>
  <c r="H16" i="97"/>
  <c r="H17" i="97"/>
  <c r="H18" i="97"/>
  <c r="H19" i="97"/>
  <c r="H20" i="97"/>
  <c r="H21" i="97"/>
  <c r="H22" i="97"/>
  <c r="H23" i="97"/>
  <c r="H24" i="97"/>
  <c r="H25" i="97"/>
  <c r="H26" i="97"/>
  <c r="H27" i="97"/>
  <c r="H28" i="97"/>
  <c r="H29" i="97"/>
  <c r="H30" i="97"/>
  <c r="H31" i="97"/>
  <c r="H32" i="97"/>
  <c r="H33" i="97"/>
  <c r="H7" i="97"/>
  <c r="C22" i="95" l="1"/>
  <c r="H21" i="95"/>
  <c r="B1" i="94" l="1"/>
  <c r="B1" i="93"/>
  <c r="B1" i="92"/>
  <c r="B1" i="104" l="1"/>
  <c r="B1" i="103"/>
  <c r="B1" i="102"/>
  <c r="B1" i="101"/>
  <c r="B1" i="100"/>
  <c r="B1" i="99"/>
  <c r="B1" i="98"/>
  <c r="B1" i="97"/>
  <c r="B1" i="96"/>
  <c r="B1" i="95"/>
  <c r="C7" i="98" l="1"/>
  <c r="D7" i="98"/>
  <c r="C10" i="98"/>
  <c r="C15" i="98" s="1"/>
  <c r="D10" i="98"/>
  <c r="D15" i="98" s="1"/>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22" i="95" l="1"/>
  <c r="H21" i="96"/>
  <c r="H34" i="97"/>
  <c r="C62" i="69"/>
  <c r="C58" i="69"/>
  <c r="C67" i="69" s="1"/>
  <c r="C46" i="69"/>
  <c r="C40" i="69"/>
  <c r="C29" i="69"/>
  <c r="C26" i="69"/>
  <c r="C18" i="69"/>
  <c r="C14" i="69"/>
  <c r="C6" i="69"/>
  <c r="D8" i="72"/>
  <c r="E8" i="72"/>
  <c r="C8" i="72"/>
  <c r="C52" i="69" l="1"/>
  <c r="D37" i="72"/>
  <c r="E37" i="72"/>
  <c r="C37" i="72"/>
  <c r="C68" i="69"/>
  <c r="H44" i="93"/>
  <c r="E44" i="93"/>
  <c r="H42" i="93"/>
  <c r="E42" i="93"/>
  <c r="H41" i="93"/>
  <c r="E41" i="93"/>
  <c r="H40" i="93"/>
  <c r="E40" i="93"/>
  <c r="H39" i="93"/>
  <c r="E39" i="93"/>
  <c r="H38" i="93"/>
  <c r="E38" i="93"/>
  <c r="H37" i="93"/>
  <c r="E37" i="93"/>
  <c r="H36" i="93"/>
  <c r="E36" i="93"/>
  <c r="H35" i="93"/>
  <c r="E35" i="93"/>
  <c r="H34" i="93"/>
  <c r="E34" i="93"/>
  <c r="H33" i="93"/>
  <c r="E33" i="93"/>
  <c r="H32" i="93"/>
  <c r="E32" i="93"/>
  <c r="H31" i="93"/>
  <c r="E31" i="93"/>
  <c r="H30" i="93"/>
  <c r="E30" i="93"/>
  <c r="E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E13" i="93"/>
  <c r="H12" i="93"/>
  <c r="E12" i="93"/>
  <c r="H11" i="93"/>
  <c r="E11" i="93"/>
  <c r="H10" i="93"/>
  <c r="E10" i="93"/>
  <c r="H9" i="93"/>
  <c r="E9" i="93"/>
  <c r="H8" i="93"/>
  <c r="E8" i="93"/>
  <c r="H7" i="93"/>
  <c r="E7" i="93"/>
  <c r="H67" i="92"/>
  <c r="E67" i="92"/>
  <c r="H66" i="92"/>
  <c r="E66" i="92"/>
  <c r="H65" i="92"/>
  <c r="E65" i="92"/>
  <c r="H64" i="92"/>
  <c r="E64" i="92"/>
  <c r="H63" i="92"/>
  <c r="D63" i="92"/>
  <c r="E63" i="92"/>
  <c r="H62" i="92"/>
  <c r="E62" i="92"/>
  <c r="H61" i="92"/>
  <c r="E61" i="92"/>
  <c r="H60" i="92"/>
  <c r="E60" i="92"/>
  <c r="H59" i="92"/>
  <c r="D59" i="92"/>
  <c r="H58" i="92"/>
  <c r="E58" i="92"/>
  <c r="H57" i="92"/>
  <c r="E57" i="92"/>
  <c r="H56" i="92"/>
  <c r="E56" i="92"/>
  <c r="H55" i="92"/>
  <c r="E55" i="92"/>
  <c r="H52" i="92"/>
  <c r="E52" i="92"/>
  <c r="H51" i="92"/>
  <c r="E51" i="92"/>
  <c r="H50" i="92"/>
  <c r="E50" i="92"/>
  <c r="H49" i="92"/>
  <c r="E49" i="92"/>
  <c r="H48" i="92"/>
  <c r="E48" i="92"/>
  <c r="E47" i="92"/>
  <c r="H46" i="92"/>
  <c r="E46" i="92"/>
  <c r="H45" i="92"/>
  <c r="E45" i="92"/>
  <c r="H44" i="92"/>
  <c r="E44" i="92"/>
  <c r="H43" i="92"/>
  <c r="E43" i="92"/>
  <c r="H42" i="92"/>
  <c r="E42" i="92"/>
  <c r="H41" i="92"/>
  <c r="H40" i="92"/>
  <c r="E40" i="92"/>
  <c r="H39" i="92"/>
  <c r="E39" i="92"/>
  <c r="H38" i="92"/>
  <c r="E38" i="92"/>
  <c r="H35" i="92"/>
  <c r="E35" i="92"/>
  <c r="H34" i="92"/>
  <c r="E34" i="92"/>
  <c r="H33" i="92"/>
  <c r="E33" i="92"/>
  <c r="H32" i="92"/>
  <c r="E32" i="92"/>
  <c r="H31" i="92"/>
  <c r="E31" i="92"/>
  <c r="H30" i="92"/>
  <c r="H29" i="92"/>
  <c r="E29" i="92"/>
  <c r="H28" i="92"/>
  <c r="E28" i="92"/>
  <c r="H27" i="92"/>
  <c r="E27" i="92"/>
  <c r="H26" i="92"/>
  <c r="E26" i="92"/>
  <c r="H25" i="92"/>
  <c r="E25"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H10" i="92"/>
  <c r="E10" i="92"/>
  <c r="H9" i="92"/>
  <c r="E9" i="92"/>
  <c r="H8" i="92"/>
  <c r="E8" i="92"/>
  <c r="H7" i="92"/>
  <c r="H36" i="92" l="1"/>
  <c r="E59" i="92"/>
  <c r="E41" i="92"/>
  <c r="H47" i="92"/>
  <c r="H29" i="93"/>
  <c r="E30" i="92"/>
  <c r="E68" i="92"/>
  <c r="E6" i="93"/>
  <c r="H43" i="93"/>
  <c r="H45" i="93"/>
  <c r="H6" i="93"/>
  <c r="D69" i="92"/>
  <c r="H69" i="92"/>
  <c r="H68" i="92"/>
  <c r="H53" i="92"/>
  <c r="E7" i="92"/>
  <c r="H24" i="92"/>
  <c r="E36" i="92" l="1"/>
  <c r="E45" i="93"/>
  <c r="E43" i="93"/>
  <c r="C69" i="92"/>
  <c r="E69" i="92" s="1"/>
  <c r="E53" i="92"/>
  <c r="G6" i="71" l="1"/>
  <c r="G13" i="71" s="1"/>
  <c r="F6" i="71"/>
  <c r="F13" i="71" s="1"/>
  <c r="E6" i="71"/>
  <c r="E13" i="71" s="1"/>
  <c r="D6" i="71"/>
  <c r="D13" i="71" s="1"/>
  <c r="C6" i="71"/>
  <c r="C13" i="71" s="1"/>
  <c r="C35" i="79" l="1"/>
  <c r="B1" i="79" l="1"/>
  <c r="B1" i="37"/>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74"/>
  <c r="B2" i="95"/>
  <c r="B2" i="94"/>
  <c r="B2" i="103"/>
  <c r="B2" i="73"/>
  <c r="B2" i="77"/>
  <c r="B2" i="102"/>
  <c r="C5" i="6"/>
  <c r="B2" i="101"/>
  <c r="B2" i="64"/>
  <c r="B2" i="99"/>
  <c r="B2" i="35"/>
  <c r="B2" i="104"/>
  <c r="B2" i="100"/>
  <c r="B2" i="72"/>
  <c r="B2" i="96"/>
  <c r="B2" i="98"/>
  <c r="B2" i="52"/>
  <c r="B2" i="79"/>
  <c r="B2" i="28"/>
  <c r="F5" i="6"/>
  <c r="K5" i="6" s="1"/>
  <c r="B2" i="71"/>
  <c r="G5" i="71" s="1"/>
  <c r="E5" i="6"/>
  <c r="J5" i="6" s="1"/>
  <c r="D5" i="6"/>
  <c r="I5" i="6"/>
  <c r="G5" i="6"/>
  <c r="L5" i="6" s="1"/>
  <c r="C5" i="71" l="1"/>
  <c r="E5" i="71"/>
  <c r="F5" i="71"/>
  <c r="D5" i="71"/>
  <c r="C23" i="69"/>
  <c r="C35" i="69" s="1"/>
</calcChain>
</file>

<file path=xl/sharedStrings.xml><?xml version="1.0" encoding="utf-8"?>
<sst xmlns="http://schemas.openxmlformats.org/spreadsheetml/2006/main" count="2130" uniqueCount="986">
  <si>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</si>
  <si>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</si>
  <si>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</si>
  <si>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</si>
  <si>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</si>
  <si>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</si>
  <si>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</si>
  <si>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</si>
  <si>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</si>
  <si>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</si>
  <si>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</si>
  <si>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</si>
  <si>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</si>
  <si>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</si>
  <si>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</si>
  <si>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</si>
  <si>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</si>
  <si>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</si>
  <si>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</si>
  <si>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</si>
  <si>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</si>
  <si>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</si>
  <si>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</si>
  <si>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</si>
  <si>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</si>
  <si>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</si>
  <si>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</si>
  <si>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</si>
  <si>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</si>
  <si>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</si>
  <si>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</si>
  <si>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</si>
  <si>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</si>
  <si>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</si>
  <si>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</si>
  <si>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</si>
  <si>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</si>
  <si>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</si>
  <si>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</si>
  <si>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</si>
  <si>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</si>
  <si>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</si>
  <si>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</si>
  <si>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</si>
  <si>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</si>
  <si>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</si>
  <si>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</si>
  <si>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</si>
  <si>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</si>
  <si>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</si>
  <si>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</si>
  <si>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</si>
  <si>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</si>
  <si>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</si>
  <si>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</si>
  <si>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</si>
  <si>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</si>
  <si>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</si>
  <si>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</si>
  <si>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</si>
  <si>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</si>
  <si>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</si>
  <si>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</si>
  <si>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</si>
  <si>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</si>
  <si>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</si>
  <si>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</si>
  <si>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</si>
  <si>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</si>
  <si>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</si>
  <si>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</si>
  <si>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</si>
  <si>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</si>
  <si>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</si>
  <si>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</si>
  <si>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</si>
  <si>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</si>
  <si>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</si>
  <si>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</si>
  <si>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</si>
  <si>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</si>
  <si>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</si>
  <si>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</si>
  <si>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</si>
  <si>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</si>
  <si>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</si>
  <si>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</si>
  <si>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</si>
  <si>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</si>
  <si>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</si>
  <si>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</si>
  <si>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</si>
  <si>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</si>
  <si>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</si>
  <si>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</si>
  <si>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</si>
  <si>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</si>
  <si>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</si>
  <si>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</si>
  <si>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</si>
  <si>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</si>
  <si>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</si>
  <si>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</si>
  <si>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</si>
  <si>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</si>
  <si>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</si>
  <si>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</si>
  <si>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</si>
  <si>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</si>
  <si>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</si>
  <si>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</si>
  <si>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</si>
  <si>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</si>
  <si>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</si>
  <si>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</si>
  <si>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</si>
  <si>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</si>
  <si>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</si>
  <si>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</si>
  <si>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</si>
  <si>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</si>
  <si>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</si>
  <si>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</si>
  <si>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</si>
  <si>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</si>
  <si>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</si>
  <si>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</si>
  <si>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</si>
  <si>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</si>
  <si>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</si>
  <si>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</si>
  <si>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</si>
  <si>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</si>
  <si>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</si>
  <si>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</si>
  <si>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</si>
  <si>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</si>
  <si>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</si>
  <si>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</si>
  <si>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</si>
  <si>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</si>
  <si>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</si>
  <si>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</si>
  <si>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</si>
  <si>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</si>
  <si>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</si>
  <si>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</si>
  <si>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</si>
  <si>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</si>
  <si>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</si>
  <si>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</si>
  <si>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</si>
  <si>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</si>
  <si>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</si>
  <si>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</si>
  <si>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</si>
  <si>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</si>
  <si>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</si>
  <si>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</si>
  <si>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</si>
  <si>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</si>
  <si>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</si>
  <si>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</si>
  <si>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</si>
  <si>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</si>
  <si>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</si>
  <si>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</si>
  <si>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</si>
  <si>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</si>
  <si>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</si>
  <si>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</si>
  <si>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</si>
  <si>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</si>
  <si>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</si>
  <si>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</si>
  <si>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</si>
  <si>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</si>
  <si>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</si>
  <si>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</si>
  <si>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</si>
  <si>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</si>
  <si>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</si>
  <si>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</si>
  <si>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</si>
  <si>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</si>
  <si>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</si>
  <si>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</si>
  <si>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</si>
  <si>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</si>
  <si>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</si>
  <si>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</si>
  <si>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</si>
  <si>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</si>
  <si>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</si>
  <si>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</si>
  <si>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</si>
  <si>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</si>
  <si>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</si>
  <si>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</si>
  <si>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</si>
  <si>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</si>
  <si>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</si>
  <si>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</si>
  <si>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</si>
  <si>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</si>
  <si>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</si>
  <si>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</si>
  <si>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</si>
  <si>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</si>
  <si>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</si>
  <si>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</si>
  <si>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</si>
  <si>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</si>
  <si>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</si>
  <si>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</si>
  <si>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</si>
  <si>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</si>
  <si>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</si>
  <si>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</si>
  <si>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</si>
  <si>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</si>
  <si>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</si>
  <si>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</si>
  <si>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</si>
  <si>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</si>
  <si>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</si>
  <si>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</si>
  <si>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</si>
  <si>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</si>
  <si>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</si>
  <si>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</si>
  <si>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</si>
  <si>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</si>
  <si>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</si>
  <si>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</si>
  <si>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</si>
  <si>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</si>
  <si>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</si>
  <si>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</si>
  <si>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</si>
  <si>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</si>
  <si>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</si>
  <si>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</si>
  <si>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</si>
  <si>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</si>
  <si>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</si>
  <si>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</si>
  <si>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</si>
  <si>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</si>
  <si>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</si>
  <si>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</si>
  <si>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</si>
  <si>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</si>
  <si>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</si>
  <si>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</si>
  <si>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</si>
  <si>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</si>
  <si>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</si>
  <si>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</si>
  <si>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</si>
  <si>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</si>
  <si>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</si>
  <si>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</si>
  <si>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</si>
  <si>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</si>
  <si>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</si>
  <si>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</si>
  <si>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</si>
  <si>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</si>
  <si>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</si>
  <si>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</si>
  <si>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</si>
  <si>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</si>
  <si>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</si>
  <si>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</si>
  <si>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</si>
  <si>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</si>
  <si>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</si>
  <si>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</si>
  <si>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</si>
  <si>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</si>
  <si>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</si>
  <si>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</si>
  <si>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</si>
  <si>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</si>
  <si>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</si>
  <si>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</si>
  <si>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</si>
  <si>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</si>
  <si>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</si>
  <si>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</si>
  <si>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</si>
  <si>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</si>
  <si>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</si>
  <si>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</si>
  <si>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</si>
  <si>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</si>
  <si>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</si>
  <si>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</si>
  <si>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</si>
  <si>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</si>
  <si>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</si>
  <si>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</si>
  <si>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</si>
  <si>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</si>
  <si>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</si>
  <si>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</si>
  <si>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</si>
  <si>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</si>
  <si>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</si>
  <si>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</si>
  <si>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</si>
  <si>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</si>
  <si>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</si>
  <si>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</si>
  <si>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</si>
  <si>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</si>
  <si>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</si>
  <si>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</si>
  <si>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</si>
  <si>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</si>
  <si>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</si>
  <si>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</si>
  <si>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</si>
  <si>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</si>
  <si>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</si>
  <si>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</si>
  <si>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</si>
  <si>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</si>
  <si>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</si>
  <si>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</si>
  <si>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</si>
  <si>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</si>
  <si>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</si>
  <si>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</si>
  <si>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</si>
  <si>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</si>
  <si>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</si>
  <si>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</si>
  <si>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</si>
  <si>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</si>
  <si>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</si>
  <si>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</si>
  <si>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</si>
  <si>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</si>
  <si>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</si>
  <si>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</si>
  <si>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</si>
  <si>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</si>
  <si>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</si>
  <si>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</si>
  <si>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</si>
  <si>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</si>
  <si>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</si>
  <si>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</si>
  <si>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</si>
  <si>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</si>
  <si>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</si>
  <si>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</si>
  <si>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</si>
  <si>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</si>
  <si>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</si>
  <si>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</si>
  <si>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</si>
  <si>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</si>
  <si>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</si>
  <si>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</si>
  <si>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</si>
  <si>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</si>
  <si>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</si>
  <si>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</si>
  <si>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</si>
  <si>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</si>
  <si>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</si>
  <si>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</si>
  <si>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</si>
  <si>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</si>
  <si>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</si>
  <si>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</si>
  <si>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</si>
  <si>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</si>
  <si>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</si>
  <si>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</si>
  <si>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</si>
  <si>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</si>
  <si>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</si>
  <si>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</si>
  <si>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</si>
  <si>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</si>
  <si>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</si>
  <si>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</si>
  <si>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</si>
  <si>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</si>
  <si>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</si>
  <si>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</si>
  <si>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</si>
  <si>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</si>
  <si>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</si>
  <si>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</si>
  <si>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</si>
  <si>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</si>
  <si>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</si>
  <si>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</si>
  <si>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</si>
  <si>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</si>
  <si>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</si>
  <si>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</si>
  <si>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</si>
  <si>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</si>
  <si>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</si>
  <si>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</si>
  <si>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</si>
  <si>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</si>
  <si>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</si>
  <si>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</si>
  <si>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</si>
  <si>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</si>
  <si>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</si>
  <si>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</si>
  <si>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</si>
  <si>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</si>
  <si>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</si>
  <si>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</si>
  <si>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</si>
  <si>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</si>
  <si>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</si>
  <si>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</si>
  <si>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</si>
  <si>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</si>
  <si>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</si>
  <si>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</si>
  <si>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</si>
  <si>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</si>
  <si>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</si>
  <si>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</si>
  <si>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</si>
  <si>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</si>
  <si>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</si>
  <si>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</si>
  <si>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</si>
  <si>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</si>
  <si>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</si>
  <si>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</si>
  <si>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</si>
  <si>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</si>
  <si>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</si>
  <si>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</si>
  <si>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</si>
  <si>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</si>
  <si>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</si>
  <si>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</si>
  <si>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</si>
  <si>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</si>
  <si>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</si>
  <si>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</si>
  <si>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</si>
  <si>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</si>
  <si>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</si>
  <si>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</si>
  <si>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</si>
  <si>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</si>
  <si>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</si>
  <si>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</si>
  <si>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</si>
  <si>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</si>
  <si>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</si>
  <si>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</si>
  <si>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</si>
  <si>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</si>
  <si>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</si>
  <si>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</si>
  <si>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</si>
  <si>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</si>
  <si>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</si>
  <si>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</si>
  <si>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</si>
  <si>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</si>
  <si>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</si>
  <si>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</si>
  <si>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</si>
  <si>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</si>
  <si>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</si>
  <si>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</si>
  <si>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</si>
  <si>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</si>
  <si>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</si>
  <si>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</si>
  <si>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</si>
  <si>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</si>
  <si>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</si>
  <si>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</si>
  <si>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</si>
  <si>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</si>
  <si>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</si>
  <si>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</si>
  <si>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</si>
  <si>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</si>
  <si>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</si>
  <si>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</si>
  <si>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</si>
  <si>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</si>
  <si>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</si>
  <si>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</si>
  <si>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</si>
  <si>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</si>
  <si>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</si>
  <si>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</si>
  <si>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</si>
  <si>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</si>
  <si>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</si>
  <si>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</si>
  <si>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</si>
  <si>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</si>
  <si>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</si>
  <si>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</si>
  <si>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</si>
  <si>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</si>
  <si>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</si>
  <si>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</si>
  <si>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</si>
  <si>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</si>
  <si>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</si>
  <si>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</si>
  <si>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</si>
  <si>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</si>
  <si>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</si>
  <si>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</si>
  <si>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</si>
  <si>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</si>
  <si>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</si>
  <si>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</si>
  <si>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</si>
  <si>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</si>
  <si>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</si>
  <si>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</si>
  <si>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</si>
  <si>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</si>
  <si>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</si>
  <si>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</si>
  <si>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</si>
  <si>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</si>
  <si>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</si>
  <si>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</si>
  <si>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</si>
  <si>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</si>
  <si>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</si>
  <si>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</si>
  <si>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</si>
  <si>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</si>
  <si>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</si>
  <si>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</si>
  <si>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</si>
  <si>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</si>
  <si>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</si>
  <si>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</si>
  <si>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</si>
  <si>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</si>
  <si>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</si>
  <si>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</si>
  <si>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</si>
  <si>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</si>
  <si>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</si>
  <si>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</si>
  <si>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</si>
  <si>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</si>
  <si>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</si>
  <si>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</si>
  <si>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</si>
  <si>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</si>
  <si>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</si>
  <si>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</si>
  <si>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</si>
  <si>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</si>
  <si>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</si>
  <si>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</si>
  <si>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</si>
  <si>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</si>
  <si>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</si>
  <si>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</si>
  <si>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</si>
  <si>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</si>
  <si>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</si>
  <si>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</si>
  <si>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</si>
  <si>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</si>
  <si>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</si>
  <si>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</si>
  <si>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</si>
  <si>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</si>
  <si>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</si>
  <si>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</si>
  <si>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</si>
  <si>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</si>
  <si>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</si>
  <si>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</si>
  <si>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</si>
  <si>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</si>
  <si>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</si>
  <si>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</si>
  <si>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</si>
  <si>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</si>
  <si>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</si>
  <si>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</si>
  <si>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</si>
  <si>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</si>
  <si>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</si>
  <si>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</si>
  <si>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</si>
  <si>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</si>
  <si>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</si>
  <si>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</si>
  <si>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</si>
  <si>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</si>
  <si>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</si>
  <si>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</si>
  <si>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</si>
  <si>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</si>
  <si>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</si>
  <si>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</si>
  <si>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</si>
  <si>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</si>
  <si>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</si>
  <si>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</si>
  <si>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</si>
  <si>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</si>
  <si>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</si>
  <si>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</si>
  <si>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</si>
  <si>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</si>
  <si>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</si>
  <si>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</si>
  <si>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</si>
  <si>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</si>
  <si>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</si>
  <si>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</si>
  <si>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</si>
  <si>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</si>
  <si>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</si>
  <si>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</si>
  <si>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</si>
  <si>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</si>
  <si>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</si>
  <si>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</si>
  <si>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</si>
  <si>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</si>
  <si>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</si>
  <si>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</si>
  <si>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</si>
  <si>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</si>
  <si>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</si>
  <si>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</si>
  <si>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</si>
  <si>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</si>
  <si>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</si>
  <si>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</si>
  <si>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</si>
  <si>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</si>
  <si>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</si>
  <si>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</si>
  <si>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</si>
  <si>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</si>
  <si>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</si>
  <si>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</si>
  <si>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</si>
  <si>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</si>
  <si>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</si>
  <si>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</si>
  <si>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</si>
  <si>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</si>
  <si>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</si>
  <si>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</si>
  <si>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</si>
  <si>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</si>
  <si>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</si>
  <si>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</si>
  <si>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</si>
  <si>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</si>
  <si>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</si>
  <si>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</si>
  <si>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</si>
  <si>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</si>
  <si>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</si>
  <si>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</si>
  <si>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</si>
  <si>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</si>
  <si>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</si>
  <si>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</si>
  <si>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</si>
  <si>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</si>
  <si>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</si>
  <si>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</si>
  <si>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</si>
  <si>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</si>
  <si>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</si>
  <si>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</si>
  <si>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</si>
  <si>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</si>
  <si>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</si>
  <si>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</si>
  <si>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</si>
  <si>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</si>
  <si>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</si>
  <si>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</si>
  <si>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</si>
  <si>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</si>
  <si>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</si>
  <si>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</si>
  <si>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</si>
  <si>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</si>
  <si>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</si>
  <si>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</si>
  <si>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</si>
  <si>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</si>
  <si>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</si>
  <si>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</si>
  <si>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</si>
  <si>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</si>
  <si>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</si>
  <si>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</si>
  <si>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</si>
  <si>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</si>
  <si>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</si>
  <si>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</si>
  <si>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</si>
  <si>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</si>
  <si>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</si>
  <si>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</si>
  <si>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</si>
  <si>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</si>
  <si>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</si>
  <si>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</si>
  <si>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</si>
  <si>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</si>
  <si>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</si>
  <si>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</si>
  <si>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</si>
  <si>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</si>
  <si>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</si>
  <si>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</si>
  <si>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</si>
  <si>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</si>
  <si>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</si>
  <si>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</si>
  <si>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</si>
  <si>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</si>
  <si>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</si>
  <si>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</si>
  <si>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</si>
  <si>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</si>
  <si>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</si>
  <si>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</si>
  <si>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</si>
  <si>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</si>
  <si>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</si>
  <si>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</si>
  <si>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</si>
  <si>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</si>
  <si>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</si>
  <si>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</si>
  <si>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</si>
  <si>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</si>
  <si>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</si>
  <si>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</si>
  <si>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</si>
  <si>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</si>
  <si>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</si>
  <si>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</si>
  <si>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</si>
  <si>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</si>
  <si>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</si>
  <si>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</si>
  <si>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</si>
  <si>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</si>
  <si>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</si>
  <si>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</si>
  <si>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</si>
  <si>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</si>
  <si>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</si>
  <si>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</si>
  <si>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</si>
  <si>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</si>
  <si>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</si>
  <si>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</si>
  <si>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</si>
  <si>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</si>
  <si>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</si>
  <si>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</si>
  <si>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</si>
  <si>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</si>
  <si>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</si>
  <si>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</si>
  <si>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</si>
  <si>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</si>
  <si>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</si>
  <si>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</si>
  <si>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</si>
  <si>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</si>
  <si>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</si>
  <si>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</si>
  <si>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</si>
  <si>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</si>
  <si>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</si>
  <si>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</si>
  <si>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</si>
  <si>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</si>
  <si>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</si>
  <si>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</si>
  <si>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</si>
  <si>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</si>
  <si>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</si>
  <si>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</si>
  <si>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</si>
  <si>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</si>
  <si>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</si>
  <si>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</si>
  <si>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</si>
  <si>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</si>
  <si>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</si>
  <si>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</si>
  <si>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</si>
  <si>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</si>
  <si>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</si>
  <si>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</si>
  <si>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</si>
  <si>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</si>
  <si>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</si>
  <si>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</si>
  <si>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</si>
  <si>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</si>
  <si>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</si>
  <si>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</si>
  <si>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</si>
  <si>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</si>
  <si>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</si>
  <si>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</si>
  <si>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</si>
  <si>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</si>
  <si>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</si>
  <si>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</si>
  <si>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</si>
  <si>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</si>
  <si>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</si>
  <si>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</si>
  <si>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</si>
  <si>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</si>
  <si>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</si>
  <si>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</si>
  <si>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</si>
  <si>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</si>
  <si>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</si>
  <si>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</si>
  <si>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</si>
  <si>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</si>
  <si>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</si>
  <si>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</si>
  <si>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</si>
  <si>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</si>
  <si>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</si>
  <si>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</si>
  <si>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</si>
  <si>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</si>
  <si>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</si>
  <si>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</si>
  <si>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</si>
  <si>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</si>
  <si>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</si>
  <si>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</si>
  <si>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</si>
  <si>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</si>
  <si>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</si>
  <si>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</si>
  <si>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</si>
  <si>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</si>
  <si>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</si>
  <si>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</si>
  <si>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</si>
  <si>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</si>
  <si>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</si>
  <si>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</si>
  <si>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</si>
  <si>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</si>
  <si>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</si>
  <si>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</si>
  <si>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</si>
  <si>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</si>
  <si>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</si>
  <si>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</si>
  <si>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</si>
  <si>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</si>
  <si>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</si>
  <si>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</si>
  <si>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</si>
  <si>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</si>
  <si>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</si>
  <si>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</si>
  <si>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</si>
  <si>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</si>
  <si>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</si>
  <si>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</si>
  <si>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</si>
  <si>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</si>
  <si>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</si>
  <si>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</si>
  <si>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</si>
  <si>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</si>
  <si>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</si>
  <si>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</si>
  <si>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</si>
  <si>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</si>
  <si>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</si>
  <si>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</si>
  <si>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</si>
  <si>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</si>
  <si>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</si>
  <si>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</si>
  <si>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</si>
  <si>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</si>
  <si>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</si>
  <si>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</si>
  <si>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</si>
  <si>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</si>
  <si>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</si>
  <si>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</si>
  <si>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</si>
  <si>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</si>
  <si>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</si>
  <si>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</si>
  <si>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</si>
  <si>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</si>
  <si>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</si>
  <si>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</si>
  <si>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</si>
  <si>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</si>
  <si>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</si>
  <si>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</si>
  <si>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</si>
  <si>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</si>
  <si>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</si>
  <si>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</si>
  <si>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</si>
  <si>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</si>
  <si>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</si>
  <si>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</si>
  <si>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</si>
  <si>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</si>
  <si>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</si>
  <si>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</si>
  <si>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</si>
  <si>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</si>
  <si>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</si>
  <si>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</si>
  <si>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</si>
  <si>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</si>
  <si>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</si>
  <si>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</si>
  <si>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</si>
  <si>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</si>
  <si>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</si>
  <si>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</si>
  <si>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</si>
  <si>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</si>
  <si>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
  </si>
  <si>
    <t>სს " პაშა ბანკი საქართველო"</t>
  </si>
  <si>
    <t>ფარიდ მამმადოვი</t>
  </si>
  <si>
    <t>ნიკოლოზ შურღაია</t>
  </si>
  <si>
    <t>www.pashabank.ge</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</si>
  <si>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</si>
  <si>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</si>
  <si>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</si>
  <si>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</si>
  <si>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</si>
  <si>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</si>
  <si>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</si>
  <si>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</si>
  <si>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</si>
  <si>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</si>
  <si>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</si>
  <si>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</si>
  <si>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ღსს "პაშა ბანკი" (PASHA Bank OJSC) -</t>
  </si>
  <si>
    <t xml:space="preserve">არიფ პაშაევი </t>
  </si>
  <si>
    <t xml:space="preserve">არზუ ალიევა </t>
  </si>
  <si>
    <t xml:space="preserve">ლეილა ალიევა </t>
  </si>
  <si>
    <t>მირ ჯამალ პაშაევი</t>
  </si>
  <si>
    <t xml:space="preserve"> ცხრილი 9 (Capital), N38</t>
  </si>
  <si>
    <t xml:space="preserve"> ცხრილი 9 (Capital), N2</t>
  </si>
  <si>
    <t xml:space="preserve"> ცხრილი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</si>
</sst>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11"/>
      <color rgb="FFFF0000"/>
      <name val="Calibri"/>
      <family val="2"/>
      <scheme val="minor"/>
    </font>
    <font>
      <b/>
      <sz val="11"/>
      <color rgb="FFFF0000"/>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5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top style="thin">
        <color theme="6" tint="-0.499984740745262"/>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0" applyNumberFormat="0" applyFill="0" applyAlignment="0" applyProtection="0"/>
    <xf numFmtId="168" fontId="94" fillId="0" borderId="100" applyNumberFormat="0" applyFill="0" applyAlignment="0" applyProtection="0"/>
    <xf numFmtId="169" fontId="94" fillId="0" borderId="100" applyNumberFormat="0" applyFill="0" applyAlignment="0" applyProtection="0"/>
    <xf numFmtId="168" fontId="94" fillId="0" borderId="100" applyNumberFormat="0" applyFill="0" applyAlignment="0" applyProtection="0"/>
    <xf numFmtId="168" fontId="94" fillId="0" borderId="100" applyNumberFormat="0" applyFill="0" applyAlignment="0" applyProtection="0"/>
    <xf numFmtId="169" fontId="94" fillId="0" borderId="100" applyNumberFormat="0" applyFill="0" applyAlignment="0" applyProtection="0"/>
    <xf numFmtId="168" fontId="94" fillId="0" borderId="100" applyNumberFormat="0" applyFill="0" applyAlignment="0" applyProtection="0"/>
    <xf numFmtId="168" fontId="94" fillId="0" borderId="100" applyNumberFormat="0" applyFill="0" applyAlignment="0" applyProtection="0"/>
    <xf numFmtId="169" fontId="94" fillId="0" borderId="100" applyNumberFormat="0" applyFill="0" applyAlignment="0" applyProtection="0"/>
    <xf numFmtId="168" fontId="94" fillId="0" borderId="100" applyNumberFormat="0" applyFill="0" applyAlignment="0" applyProtection="0"/>
    <xf numFmtId="168" fontId="94" fillId="0" borderId="100" applyNumberFormat="0" applyFill="0" applyAlignment="0" applyProtection="0"/>
    <xf numFmtId="169" fontId="94" fillId="0" borderId="100" applyNumberFormat="0" applyFill="0" applyAlignment="0" applyProtection="0"/>
    <xf numFmtId="168" fontId="94"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169" fontId="94"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168" fontId="94"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168" fontId="94"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0" fontId="47" fillId="0" borderId="100" applyNumberFormat="0" applyFill="0" applyAlignment="0" applyProtection="0"/>
    <xf numFmtId="188" fontId="2" fillId="70" borderId="95" applyFont="0">
      <alignment horizontal="right" vertical="center"/>
    </xf>
    <xf numFmtId="3" fontId="2" fillId="70" borderId="95" applyFont="0">
      <alignment horizontal="right" vertical="center"/>
    </xf>
    <xf numFmtId="0" fontId="83" fillId="64" borderId="99" applyNumberFormat="0" applyAlignment="0" applyProtection="0"/>
    <xf numFmtId="168" fontId="85" fillId="64" borderId="99" applyNumberFormat="0" applyAlignment="0" applyProtection="0"/>
    <xf numFmtId="169" fontId="85" fillId="64" borderId="99" applyNumberFormat="0" applyAlignment="0" applyProtection="0"/>
    <xf numFmtId="168" fontId="85" fillId="64" borderId="99" applyNumberFormat="0" applyAlignment="0" applyProtection="0"/>
    <xf numFmtId="168" fontId="85" fillId="64" borderId="99" applyNumberFormat="0" applyAlignment="0" applyProtection="0"/>
    <xf numFmtId="169" fontId="85" fillId="64" borderId="99" applyNumberFormat="0" applyAlignment="0" applyProtection="0"/>
    <xf numFmtId="168" fontId="85" fillId="64" borderId="99" applyNumberFormat="0" applyAlignment="0" applyProtection="0"/>
    <xf numFmtId="168" fontId="85" fillId="64" borderId="99" applyNumberFormat="0" applyAlignment="0" applyProtection="0"/>
    <xf numFmtId="169" fontId="85" fillId="64" borderId="99" applyNumberFormat="0" applyAlignment="0" applyProtection="0"/>
    <xf numFmtId="168" fontId="85" fillId="64" borderId="99" applyNumberFormat="0" applyAlignment="0" applyProtection="0"/>
    <xf numFmtId="168" fontId="85" fillId="64" borderId="99" applyNumberFormat="0" applyAlignment="0" applyProtection="0"/>
    <xf numFmtId="169" fontId="85" fillId="64" borderId="99" applyNumberFormat="0" applyAlignment="0" applyProtection="0"/>
    <xf numFmtId="168" fontId="85"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169" fontId="85"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168" fontId="85"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168" fontId="85"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0" fontId="83" fillId="64" borderId="99" applyNumberFormat="0" applyAlignment="0" applyProtection="0"/>
    <xf numFmtId="3" fontId="2" fillId="75" borderId="95" applyFont="0">
      <alignment horizontal="right" vertical="center"/>
      <protection locked="0"/>
    </xf>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 fillId="74" borderId="98" applyNumberFormat="0" applyFont="0" applyAlignment="0" applyProtection="0"/>
    <xf numFmtId="0" fontId="27" fillId="74" borderId="98" applyNumberFormat="0" applyFont="0" applyAlignment="0" applyProtection="0"/>
    <xf numFmtId="0" fontId="2" fillId="74" borderId="98" applyNumberFormat="0" applyFont="0" applyAlignment="0" applyProtection="0"/>
    <xf numFmtId="0" fontId="2"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0" fontId="27" fillId="74" borderId="98" applyNumberFormat="0" applyFont="0" applyAlignment="0" applyProtection="0"/>
    <xf numFmtId="3" fontId="2" fillId="72" borderId="95" applyFont="0">
      <alignment horizontal="right" vertical="center"/>
      <protection locked="0"/>
    </xf>
    <xf numFmtId="0" fontId="66" fillId="43" borderId="97" applyNumberFormat="0" applyAlignment="0" applyProtection="0"/>
    <xf numFmtId="168" fontId="68" fillId="43" borderId="97" applyNumberFormat="0" applyAlignment="0" applyProtection="0"/>
    <xf numFmtId="169" fontId="68" fillId="43" borderId="97" applyNumberFormat="0" applyAlignment="0" applyProtection="0"/>
    <xf numFmtId="168" fontId="68" fillId="43" borderId="97" applyNumberFormat="0" applyAlignment="0" applyProtection="0"/>
    <xf numFmtId="168" fontId="68" fillId="43" borderId="97" applyNumberFormat="0" applyAlignment="0" applyProtection="0"/>
    <xf numFmtId="169" fontId="68" fillId="43" borderId="97" applyNumberFormat="0" applyAlignment="0" applyProtection="0"/>
    <xf numFmtId="168" fontId="68" fillId="43" borderId="97" applyNumberFormat="0" applyAlignment="0" applyProtection="0"/>
    <xf numFmtId="168" fontId="68" fillId="43" borderId="97" applyNumberFormat="0" applyAlignment="0" applyProtection="0"/>
    <xf numFmtId="169" fontId="68" fillId="43" borderId="97" applyNumberFormat="0" applyAlignment="0" applyProtection="0"/>
    <xf numFmtId="168" fontId="68" fillId="43" borderId="97" applyNumberFormat="0" applyAlignment="0" applyProtection="0"/>
    <xf numFmtId="168" fontId="68" fillId="43" borderId="97" applyNumberFormat="0" applyAlignment="0" applyProtection="0"/>
    <xf numFmtId="169" fontId="68" fillId="43" borderId="97" applyNumberFormat="0" applyAlignment="0" applyProtection="0"/>
    <xf numFmtId="168" fontId="68"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169" fontId="68"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168" fontId="68"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168" fontId="68"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66" fillId="43" borderId="97"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2" fillId="70" borderId="96" applyFont="0" applyBorder="0">
      <alignment horizontal="center" wrapText="1"/>
    </xf>
    <xf numFmtId="168" fontId="54" fillId="0" borderId="93">
      <alignment horizontal="left" vertical="center"/>
    </xf>
    <xf numFmtId="0" fontId="54" fillId="0" borderId="93">
      <alignment horizontal="left" vertical="center"/>
    </xf>
    <xf numFmtId="0" fontId="54" fillId="0" borderId="93">
      <alignment horizontal="left" vertical="center"/>
    </xf>
    <xf numFmtId="0" fontId="2" fillId="69" borderId="95" applyNumberFormat="0" applyFont="0" applyBorder="0" applyProtection="0">
      <alignment horizontal="center" vertical="center"/>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8" fillId="64" borderId="97" applyNumberFormat="0" applyAlignment="0" applyProtection="0"/>
    <xf numFmtId="168" fontId="40" fillId="64" borderId="97" applyNumberFormat="0" applyAlignment="0" applyProtection="0"/>
    <xf numFmtId="169" fontId="40" fillId="64" borderId="97" applyNumberFormat="0" applyAlignment="0" applyProtection="0"/>
    <xf numFmtId="168" fontId="40" fillId="64" borderId="97" applyNumberFormat="0" applyAlignment="0" applyProtection="0"/>
    <xf numFmtId="168" fontId="40" fillId="64" borderId="97" applyNumberFormat="0" applyAlignment="0" applyProtection="0"/>
    <xf numFmtId="169" fontId="40" fillId="64" borderId="97" applyNumberFormat="0" applyAlignment="0" applyProtection="0"/>
    <xf numFmtId="168" fontId="40" fillId="64" borderId="97" applyNumberFormat="0" applyAlignment="0" applyProtection="0"/>
    <xf numFmtId="168" fontId="40" fillId="64" borderId="97" applyNumberFormat="0" applyAlignment="0" applyProtection="0"/>
    <xf numFmtId="169" fontId="40" fillId="64" borderId="97" applyNumberFormat="0" applyAlignment="0" applyProtection="0"/>
    <xf numFmtId="168" fontId="40" fillId="64" borderId="97" applyNumberFormat="0" applyAlignment="0" applyProtection="0"/>
    <xf numFmtId="168" fontId="40" fillId="64" borderId="97" applyNumberFormat="0" applyAlignment="0" applyProtection="0"/>
    <xf numFmtId="169" fontId="40" fillId="64" borderId="97" applyNumberFormat="0" applyAlignment="0" applyProtection="0"/>
    <xf numFmtId="168" fontId="40"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169" fontId="40"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168" fontId="40"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168" fontId="40"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38" fillId="64" borderId="97"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38">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20" fillId="0" borderId="22" xfId="0" applyFont="1" applyBorder="1" applyAlignment="1">
      <alignment horizontal="center" vertical="center" wrapText="1"/>
    </xf>
    <xf numFmtId="0" fontId="4" fillId="0" borderId="54"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5"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106" fillId="0" borderId="0" xfId="0" applyFont="1"/>
    <xf numFmtId="49" fontId="106" fillId="0" borderId="7" xfId="0" applyNumberFormat="1" applyFont="1" applyBorder="1" applyAlignment="1">
      <alignment horizontal="right" vertical="center"/>
    </xf>
    <xf numFmtId="49" fontId="106" fillId="0" borderId="73"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81" xfId="0" applyNumberFormat="1" applyFont="1" applyBorder="1" applyAlignment="1">
      <alignment horizontal="right" vertical="center"/>
    </xf>
    <xf numFmtId="0" fontId="106" fillId="0" borderId="0" xfId="0" applyFont="1" applyAlignment="1">
      <alignment horizontal="left"/>
    </xf>
    <xf numFmtId="0" fontId="106" fillId="0" borderId="81"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0"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89" xfId="20" applyBorder="1"/>
    <xf numFmtId="0" fontId="4" fillId="0" borderId="7" xfId="0" applyFont="1" applyBorder="1" applyAlignment="1">
      <alignment vertical="center"/>
    </xf>
    <xf numFmtId="0" fontId="4" fillId="0" borderId="52" xfId="0" applyFont="1" applyBorder="1" applyAlignment="1">
      <alignment vertical="center"/>
    </xf>
    <xf numFmtId="0" fontId="4" fillId="0" borderId="17" xfId="0" applyFont="1" applyBorder="1" applyAlignment="1">
      <alignment vertical="center"/>
    </xf>
    <xf numFmtId="0" fontId="4" fillId="0" borderId="92" xfId="0" applyFont="1" applyBorder="1" applyAlignment="1">
      <alignment vertical="center"/>
    </xf>
    <xf numFmtId="0" fontId="4" fillId="0" borderId="16"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169" fontId="26" fillId="37" borderId="29" xfId="20" applyBorder="1"/>
    <xf numFmtId="169" fontId="26" fillId="37" borderId="105" xfId="20" applyBorder="1"/>
    <xf numFmtId="169" fontId="26" fillId="37" borderId="54" xfId="20" applyBorder="1"/>
    <xf numFmtId="0" fontId="4" fillId="3" borderId="60" xfId="0" applyFont="1" applyFill="1" applyBorder="1" applyAlignment="1">
      <alignment horizontal="center" vertical="center"/>
    </xf>
    <xf numFmtId="0" fontId="4" fillId="3" borderId="0" xfId="0" applyFont="1" applyFill="1" applyAlignment="1">
      <alignment vertical="center"/>
    </xf>
    <xf numFmtId="0" fontId="4" fillId="0" borderId="66" xfId="0" applyFont="1" applyBorder="1" applyAlignment="1">
      <alignment horizontal="center" vertical="center"/>
    </xf>
    <xf numFmtId="0" fontId="14" fillId="3" borderId="106" xfId="0" applyFont="1" applyFill="1" applyBorder="1" applyAlignment="1">
      <alignment horizontal="left"/>
    </xf>
    <xf numFmtId="0" fontId="106" fillId="0" borderId="83" xfId="0" applyFont="1" applyBorder="1" applyAlignment="1">
      <alignment horizontal="right" vertical="center"/>
    </xf>
    <xf numFmtId="0" fontId="6" fillId="3" borderId="108" xfId="0" applyFont="1" applyFill="1" applyBorder="1" applyAlignment="1">
      <alignment vertical="center"/>
    </xf>
    <xf numFmtId="0" fontId="4" fillId="3" borderId="21" xfId="0" applyFont="1" applyFill="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09" xfId="0" applyBorder="1"/>
    <xf numFmtId="0" fontId="0" fillId="0" borderId="22" xfId="0" applyBorder="1"/>
    <xf numFmtId="0" fontId="6" fillId="36" borderId="110"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09"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09" xfId="0" applyFont="1" applyBorder="1" applyAlignment="1">
      <alignment horizontal="right" vertical="center" wrapText="1"/>
    </xf>
    <xf numFmtId="0" fontId="4" fillId="0" borderId="95" xfId="0" applyFont="1" applyBorder="1" applyAlignment="1">
      <alignment horizontal="left" vertical="center" wrapText="1"/>
    </xf>
    <xf numFmtId="0" fontId="109" fillId="0" borderId="109" xfId="0" applyFont="1" applyBorder="1" applyAlignment="1">
      <alignment horizontal="right" vertical="center" wrapText="1"/>
    </xf>
    <xf numFmtId="0" fontId="109" fillId="0" borderId="95" xfId="0" applyFont="1" applyBorder="1" applyAlignment="1">
      <alignment horizontal="left" vertical="center" wrapText="1"/>
    </xf>
    <xf numFmtId="0" fontId="6" fillId="0" borderId="109"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09" xfId="0" applyFont="1" applyBorder="1" applyAlignment="1">
      <alignment horizontal="center" vertical="center" wrapText="1"/>
    </xf>
    <xf numFmtId="3" fontId="21" fillId="36" borderId="95" xfId="0" applyNumberFormat="1" applyFont="1" applyFill="1" applyBorder="1" applyAlignment="1">
      <alignment vertical="center" wrapText="1"/>
    </xf>
    <xf numFmtId="3" fontId="21" fillId="36" borderId="107"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14" fontId="7" fillId="3" borderId="95" xfId="8" quotePrefix="1" applyNumberFormat="1" applyFont="1" applyFill="1" applyBorder="1" applyAlignment="1" applyProtection="1">
      <alignment horizontal="left" vertical="center" wrapText="1" indent="3"/>
      <protection locked="0"/>
    </xf>
    <xf numFmtId="0" fontId="11" fillId="0" borderId="95" xfId="17" applyFill="1" applyBorder="1" applyAlignment="1" applyProtection="1"/>
    <xf numFmtId="49" fontId="109" fillId="0" borderId="109" xfId="0" applyNumberFormat="1" applyFont="1" applyBorder="1" applyAlignment="1">
      <alignment horizontal="right" vertical="center" wrapText="1"/>
    </xf>
    <xf numFmtId="0" fontId="7" fillId="3" borderId="95" xfId="20960" applyFont="1" applyFill="1" applyBorder="1"/>
    <xf numFmtId="0" fontId="103" fillId="0" borderId="95" xfId="20960" applyFont="1" applyBorder="1" applyAlignment="1">
      <alignment horizontal="center" vertical="center"/>
    </xf>
    <xf numFmtId="0" fontId="4" fillId="0" borderId="95" xfId="0" applyFont="1" applyBorder="1"/>
    <xf numFmtId="0" fontId="11" fillId="0" borderId="95" xfId="17" applyFill="1" applyBorder="1" applyAlignment="1" applyProtection="1">
      <alignment horizontal="left" vertical="center" wrapText="1"/>
    </xf>
    <xf numFmtId="49" fontId="109" fillId="0" borderId="95" xfId="0" applyNumberFormat="1" applyFont="1" applyBorder="1" applyAlignment="1">
      <alignment horizontal="right" vertical="center" wrapText="1"/>
    </xf>
    <xf numFmtId="0" fontId="11" fillId="0" borderId="95" xfId="17" applyFill="1" applyBorder="1" applyAlignment="1" applyProtection="1">
      <alignment horizontal="left" vertical="center"/>
    </xf>
    <xf numFmtId="0" fontId="112" fillId="78" borderId="96" xfId="21412" applyFont="1" applyFill="1" applyBorder="1" applyAlignment="1" applyProtection="1">
      <alignment vertical="center" wrapText="1"/>
      <protection locked="0"/>
    </xf>
    <xf numFmtId="0" fontId="113" fillId="70" borderId="91" xfId="21412" applyFont="1" applyFill="1" applyBorder="1" applyAlignment="1" applyProtection="1">
      <alignment horizontal="center" vertical="center"/>
      <protection locked="0"/>
    </xf>
    <xf numFmtId="0" fontId="112" fillId="79" borderId="95" xfId="21412" applyFont="1" applyFill="1" applyBorder="1" applyAlignment="1" applyProtection="1">
      <alignment horizontal="center" vertical="center"/>
      <protection locked="0"/>
    </xf>
    <xf numFmtId="0" fontId="112" fillId="78" borderId="96" xfId="21412" applyFont="1" applyFill="1" applyBorder="1" applyProtection="1">
      <alignment vertical="center"/>
      <protection locked="0"/>
    </xf>
    <xf numFmtId="0" fontId="114" fillId="70" borderId="91" xfId="21412" applyFont="1" applyFill="1" applyBorder="1" applyAlignment="1" applyProtection="1">
      <alignment horizontal="center" vertical="center"/>
      <protection locked="0"/>
    </xf>
    <xf numFmtId="0" fontId="114" fillId="3" borderId="91" xfId="21412" applyFont="1" applyFill="1" applyBorder="1" applyAlignment="1" applyProtection="1">
      <alignment horizontal="center" vertical="center"/>
      <protection locked="0"/>
    </xf>
    <xf numFmtId="0" fontId="114" fillId="0" borderId="91" xfId="21412" applyFont="1" applyBorder="1" applyAlignment="1" applyProtection="1">
      <alignment horizontal="center" vertical="center"/>
      <protection locked="0"/>
    </xf>
    <xf numFmtId="0" fontId="115"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horizontal="center" vertical="center"/>
      <protection locked="0"/>
    </xf>
    <xf numFmtId="0" fontId="62" fillId="78" borderId="96" xfId="21412" applyFont="1" applyFill="1" applyBorder="1" applyProtection="1">
      <alignment vertical="center"/>
      <protection locked="0"/>
    </xf>
    <xf numFmtId="0" fontId="114" fillId="70" borderId="95" xfId="21412" applyFont="1" applyFill="1" applyBorder="1" applyAlignment="1" applyProtection="1">
      <alignment horizontal="center" vertical="center"/>
      <protection locked="0"/>
    </xf>
    <xf numFmtId="0" fontId="36" fillId="70" borderId="95" xfId="21412" applyFont="1" applyFill="1" applyBorder="1" applyAlignment="1" applyProtection="1">
      <alignment horizontal="center" vertical="center"/>
      <protection locked="0"/>
    </xf>
    <xf numFmtId="0" fontId="62" fillId="78" borderId="94" xfId="21412" applyFont="1" applyFill="1" applyBorder="1" applyProtection="1">
      <alignment vertical="center"/>
      <protection locked="0"/>
    </xf>
    <xf numFmtId="0" fontId="113" fillId="0" borderId="94" xfId="21412" applyFont="1" applyBorder="1" applyAlignment="1" applyProtection="1">
      <alignment horizontal="left" vertical="center" wrapText="1"/>
      <protection locked="0"/>
    </xf>
    <xf numFmtId="164" fontId="113" fillId="0" borderId="95" xfId="948" applyNumberFormat="1" applyFont="1" applyFill="1" applyBorder="1" applyAlignment="1" applyProtection="1">
      <alignment horizontal="right" vertical="center"/>
      <protection locked="0"/>
    </xf>
    <xf numFmtId="0" fontId="112" fillId="79" borderId="94" xfId="21412" applyFont="1" applyFill="1" applyBorder="1" applyAlignment="1" applyProtection="1">
      <alignment vertical="top" wrapText="1"/>
      <protection locked="0"/>
    </xf>
    <xf numFmtId="164" fontId="113" fillId="79" borderId="95" xfId="948" applyNumberFormat="1" applyFont="1" applyFill="1" applyBorder="1" applyAlignment="1" applyProtection="1">
      <alignment horizontal="right" vertical="center"/>
    </xf>
    <xf numFmtId="164" fontId="62" fillId="78" borderId="94" xfId="948" applyNumberFormat="1" applyFont="1" applyFill="1" applyBorder="1" applyAlignment="1" applyProtection="1">
      <alignment horizontal="right" vertical="center"/>
      <protection locked="0"/>
    </xf>
    <xf numFmtId="0" fontId="113" fillId="70" borderId="94" xfId="21412" applyFont="1" applyFill="1" applyBorder="1" applyAlignment="1" applyProtection="1">
      <alignment vertical="center" wrapText="1"/>
      <protection locked="0"/>
    </xf>
    <xf numFmtId="0" fontId="113" fillId="70" borderId="94" xfId="21412" applyFont="1" applyFill="1" applyBorder="1" applyAlignment="1" applyProtection="1">
      <alignment horizontal="left" vertical="center" wrapText="1"/>
      <protection locked="0"/>
    </xf>
    <xf numFmtId="0" fontId="113" fillId="0" borderId="94" xfId="21412" applyFont="1" applyBorder="1" applyAlignment="1" applyProtection="1">
      <alignment vertical="center" wrapText="1"/>
      <protection locked="0"/>
    </xf>
    <xf numFmtId="0" fontId="113" fillId="3" borderId="94" xfId="21412" applyFont="1" applyFill="1" applyBorder="1" applyAlignment="1" applyProtection="1">
      <alignment horizontal="left" vertical="center" wrapText="1"/>
      <protection locked="0"/>
    </xf>
    <xf numFmtId="0" fontId="112" fillId="79" borderId="94" xfId="21412" applyFont="1" applyFill="1" applyBorder="1" applyAlignment="1" applyProtection="1">
      <alignment vertical="center" wrapText="1"/>
      <protection locked="0"/>
    </xf>
    <xf numFmtId="164" fontId="112" fillId="78" borderId="94" xfId="948" applyNumberFormat="1" applyFont="1" applyFill="1" applyBorder="1" applyAlignment="1" applyProtection="1">
      <alignment horizontal="right" vertical="center"/>
      <protection locked="0"/>
    </xf>
    <xf numFmtId="164" fontId="113" fillId="3" borderId="95" xfId="948" applyNumberFormat="1" applyFont="1" applyFill="1" applyBorder="1" applyAlignment="1" applyProtection="1">
      <alignment horizontal="right" vertical="center"/>
      <protection locked="0"/>
    </xf>
    <xf numFmtId="1" fontId="6" fillId="36" borderId="107" xfId="0" applyNumberFormat="1" applyFont="1" applyFill="1" applyBorder="1" applyAlignment="1">
      <alignment horizontal="right" vertical="center" wrapText="1"/>
    </xf>
    <xf numFmtId="1" fontId="6" fillId="36" borderId="107" xfId="0" applyNumberFormat="1" applyFont="1" applyFill="1" applyBorder="1" applyAlignment="1">
      <alignment horizontal="center" vertical="center" wrapText="1"/>
    </xf>
    <xf numFmtId="10" fontId="7" fillId="0" borderId="95" xfId="20961" applyNumberFormat="1" applyFont="1" applyFill="1" applyBorder="1" applyAlignment="1">
      <alignment horizontal="left" vertical="center" wrapText="1"/>
    </xf>
    <xf numFmtId="10" fontId="4" fillId="0"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9" fillId="0" borderId="95" xfId="20961" applyNumberFormat="1" applyFont="1" applyFill="1" applyBorder="1" applyAlignment="1">
      <alignment horizontal="left" vertical="center" wrapText="1"/>
    </xf>
    <xf numFmtId="10" fontId="6" fillId="36"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09" xfId="0" applyFont="1" applyBorder="1" applyAlignment="1">
      <alignment horizontal="right" vertical="center" wrapText="1"/>
    </xf>
    <xf numFmtId="0" fontId="7" fillId="0" borderId="95" xfId="0" applyFont="1" applyBorder="1" applyAlignment="1">
      <alignment vertical="center" wrapText="1"/>
    </xf>
    <xf numFmtId="0" fontId="4" fillId="0" borderId="95" xfId="0" applyFont="1" applyBorder="1" applyAlignment="1">
      <alignment vertical="center" wrapText="1"/>
    </xf>
    <xf numFmtId="0" fontId="4" fillId="0" borderId="95" xfId="0" applyFont="1" applyBorder="1" applyAlignment="1">
      <alignment horizontal="left" vertical="center" wrapText="1" indent="2"/>
    </xf>
    <xf numFmtId="3" fontId="21" fillId="36" borderId="96"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6" fillId="0" borderId="23" xfId="0" applyFont="1" applyBorder="1" applyAlignment="1">
      <alignment vertical="center" wrapText="1"/>
    </xf>
    <xf numFmtId="0" fontId="4" fillId="0" borderId="107" xfId="0" applyFont="1" applyBorder="1"/>
    <xf numFmtId="0" fontId="9" fillId="0" borderId="107" xfId="0" applyFont="1" applyBorder="1"/>
    <xf numFmtId="0" fontId="9" fillId="0" borderId="107" xfId="0" applyFont="1" applyBorder="1" applyAlignment="1">
      <alignment wrapText="1"/>
    </xf>
    <xf numFmtId="0" fontId="10" fillId="0" borderId="18" xfId="0" applyFont="1" applyBorder="1" applyAlignment="1">
      <alignment horizontal="center"/>
    </xf>
    <xf numFmtId="0" fontId="10" fillId="0" borderId="107"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09" xfId="0" applyFont="1" applyBorder="1" applyAlignment="1">
      <alignment horizontal="center" vertical="center" wrapText="1"/>
    </xf>
    <xf numFmtId="0" fontId="15" fillId="0" borderId="95" xfId="0" applyFont="1" applyBorder="1" applyAlignment="1">
      <alignment horizontal="center" vertical="center" wrapText="1"/>
    </xf>
    <xf numFmtId="0" fontId="16" fillId="0" borderId="95" xfId="0" applyFont="1" applyBorder="1" applyAlignment="1">
      <alignment horizontal="left" vertical="center" wrapText="1"/>
    </xf>
    <xf numFmtId="193" fontId="7" fillId="0" borderId="95" xfId="0" applyNumberFormat="1" applyFont="1" applyBorder="1" applyAlignment="1" applyProtection="1">
      <alignment vertical="center" wrapText="1"/>
      <protection locked="0"/>
    </xf>
    <xf numFmtId="193" fontId="4" fillId="0" borderId="95" xfId="0" applyNumberFormat="1" applyFont="1" applyBorder="1" applyAlignment="1" applyProtection="1">
      <alignment vertical="center" wrapText="1"/>
      <protection locked="0"/>
    </xf>
    <xf numFmtId="193" fontId="4" fillId="0" borderId="107" xfId="0" applyNumberFormat="1" applyFont="1" applyBorder="1" applyAlignment="1" applyProtection="1">
      <alignment vertical="center" wrapText="1"/>
      <protection locked="0"/>
    </xf>
    <xf numFmtId="193" fontId="7" fillId="0" borderId="95" xfId="0" applyNumberFormat="1" applyFont="1" applyBorder="1" applyAlignment="1" applyProtection="1">
      <alignment horizontal="right" vertical="center" wrapText="1"/>
      <protection locked="0"/>
    </xf>
    <xf numFmtId="0" fontId="9" fillId="2" borderId="109" xfId="0" applyFont="1" applyFill="1" applyBorder="1" applyAlignment="1">
      <alignment horizontal="right" vertical="center"/>
    </xf>
    <xf numFmtId="0" fontId="9" fillId="2" borderId="95" xfId="0" applyFont="1" applyFill="1" applyBorder="1" applyAlignment="1">
      <alignment vertical="center"/>
    </xf>
    <xf numFmtId="193" fontId="9" fillId="2" borderId="95" xfId="0" applyNumberFormat="1" applyFont="1" applyFill="1" applyBorder="1" applyAlignment="1" applyProtection="1">
      <alignment vertical="center"/>
      <protection locked="0"/>
    </xf>
    <xf numFmtId="0" fontId="15" fillId="0" borderId="109" xfId="0" applyFont="1" applyBorder="1" applyAlignment="1">
      <alignment horizontal="center" vertical="center" wrapText="1"/>
    </xf>
    <xf numFmtId="14" fontId="4" fillId="0" borderId="0" xfId="0" applyNumberFormat="1" applyFont="1"/>
    <xf numFmtId="10" fontId="4" fillId="0" borderId="95" xfId="20961" applyNumberFormat="1" applyFont="1" applyFill="1" applyBorder="1" applyAlignment="1" applyProtection="1">
      <alignment horizontal="right" vertical="center" wrapText="1"/>
      <protection locked="0"/>
    </xf>
    <xf numFmtId="10" fontId="4" fillId="0" borderId="95" xfId="20961" applyNumberFormat="1" applyFont="1" applyBorder="1" applyAlignment="1" applyProtection="1">
      <alignment vertical="center" wrapText="1"/>
      <protection locked="0"/>
    </xf>
    <xf numFmtId="10" fontId="4" fillId="0" borderId="107" xfId="20961" applyNumberFormat="1" applyFont="1" applyBorder="1" applyAlignment="1" applyProtection="1">
      <alignment vertical="center" wrapText="1"/>
      <protection locked="0"/>
    </xf>
    <xf numFmtId="0" fontId="4" fillId="3" borderId="53" xfId="0" applyFont="1" applyFill="1" applyBorder="1"/>
    <xf numFmtId="0" fontId="4" fillId="3" borderId="112" xfId="0" applyFont="1" applyFill="1" applyBorder="1" applyAlignment="1">
      <alignment wrapText="1"/>
    </xf>
    <xf numFmtId="0" fontId="4" fillId="3" borderId="113" xfId="0" applyFont="1" applyFill="1" applyBorder="1"/>
    <xf numFmtId="0" fontId="6" fillId="3" borderId="11" xfId="0" applyFont="1" applyFill="1" applyBorder="1" applyAlignment="1">
      <alignment horizontal="center" wrapText="1"/>
    </xf>
    <xf numFmtId="0" fontId="4" fillId="3" borderId="60"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9" xfId="0" applyFont="1" applyFill="1" applyBorder="1" applyAlignment="1">
      <alignment horizontal="center" vertical="center" wrapText="1"/>
    </xf>
    <xf numFmtId="0" fontId="3" fillId="3" borderId="6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9" xfId="7" applyNumberFormat="1" applyFont="1" applyFill="1" applyBorder="1"/>
    <xf numFmtId="0" fontId="4" fillId="3" borderId="0" xfId="0" applyFont="1" applyFill="1" applyAlignment="1">
      <alignment wrapText="1"/>
    </xf>
    <xf numFmtId="0" fontId="4" fillId="3" borderId="0" xfId="0" applyFont="1" applyFill="1"/>
    <xf numFmtId="0" fontId="4" fillId="3" borderId="89" xfId="0" applyFont="1" applyFill="1" applyBorder="1"/>
    <xf numFmtId="169" fontId="26" fillId="37" borderId="110" xfId="20" applyBorder="1"/>
    <xf numFmtId="0" fontId="9" fillId="2" borderId="102" xfId="0" applyFont="1" applyFill="1" applyBorder="1" applyAlignment="1">
      <alignment horizontal="right" vertical="center"/>
    </xf>
    <xf numFmtId="0" fontId="9" fillId="2" borderId="91" xfId="0" applyFont="1" applyFill="1" applyBorder="1" applyAlignment="1">
      <alignment vertical="center"/>
    </xf>
    <xf numFmtId="193" fontId="9" fillId="2" borderId="91" xfId="0" applyNumberFormat="1" applyFont="1" applyFill="1" applyBorder="1" applyAlignment="1" applyProtection="1">
      <alignment vertical="center"/>
      <protection locked="0"/>
    </xf>
    <xf numFmtId="193" fontId="17" fillId="2" borderId="91"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0" fontId="9" fillId="0" borderId="95" xfId="0" applyFont="1" applyBorder="1" applyAlignment="1">
      <alignment horizontal="left" vertical="center" wrapText="1"/>
    </xf>
    <xf numFmtId="0" fontId="6" fillId="3" borderId="0" xfId="0" applyFont="1" applyFill="1" applyAlignment="1">
      <alignment horizontal="center"/>
    </xf>
    <xf numFmtId="0" fontId="106" fillId="0" borderId="83" xfId="0" applyFont="1" applyBorder="1" applyAlignment="1">
      <alignment horizontal="left" vertical="center"/>
    </xf>
    <xf numFmtId="0" fontId="106" fillId="0" borderId="81" xfId="0" applyFont="1" applyBorder="1" applyAlignment="1">
      <alignment vertical="center" wrapText="1"/>
    </xf>
    <xf numFmtId="0" fontId="106" fillId="0" borderId="81"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3" xfId="0" applyFont="1" applyBorder="1" applyAlignment="1">
      <alignment horizontal="left" vertical="center" wrapText="1"/>
    </xf>
    <xf numFmtId="0" fontId="125" fillId="0" borderId="0" xfId="0" applyFont="1"/>
    <xf numFmtId="49" fontId="106" fillId="0" borderId="95"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07" xfId="2" applyNumberFormat="1" applyFont="1" applyFill="1" applyBorder="1" applyAlignment="1" applyProtection="1">
      <alignment vertical="top" wrapText="1"/>
      <protection locked="0"/>
    </xf>
    <xf numFmtId="0" fontId="9" fillId="0" borderId="95" xfId="0" applyFont="1" applyBorder="1" applyAlignment="1">
      <alignment horizontal="center" vertical="center" wrapText="1"/>
    </xf>
    <xf numFmtId="0" fontId="3" fillId="0" borderId="95" xfId="0" applyFont="1" applyBorder="1" applyAlignment="1">
      <alignment horizontal="center" vertical="center"/>
    </xf>
    <xf numFmtId="0" fontId="130" fillId="3" borderId="95" xfId="21414" applyFont="1" applyFill="1" applyBorder="1" applyAlignment="1">
      <alignment horizontal="left" vertical="center" wrapText="1"/>
    </xf>
    <xf numFmtId="0" fontId="131" fillId="0" borderId="95" xfId="21414" applyFont="1" applyBorder="1" applyAlignment="1">
      <alignment horizontal="left" vertical="center" wrapText="1" indent="1"/>
    </xf>
    <xf numFmtId="0" fontId="132" fillId="3" borderId="95" xfId="21414" applyFont="1" applyFill="1" applyBorder="1" applyAlignment="1">
      <alignment horizontal="left" vertical="center" wrapText="1"/>
    </xf>
    <xf numFmtId="0" fontId="131" fillId="3" borderId="95" xfId="21414" applyFont="1" applyFill="1" applyBorder="1" applyAlignment="1">
      <alignment horizontal="left" vertical="center" wrapText="1" indent="1"/>
    </xf>
    <xf numFmtId="0" fontId="130" fillId="0" borderId="130" xfId="0" applyFont="1" applyBorder="1" applyAlignment="1">
      <alignment horizontal="left" vertical="center" wrapText="1"/>
    </xf>
    <xf numFmtId="0" fontId="132" fillId="0" borderId="130" xfId="0" applyFont="1" applyBorder="1" applyAlignment="1">
      <alignment horizontal="left" vertical="center" wrapText="1"/>
    </xf>
    <xf numFmtId="0" fontId="133" fillId="3" borderId="130" xfId="0" applyFont="1" applyFill="1" applyBorder="1" applyAlignment="1">
      <alignment horizontal="left" vertical="center" wrapText="1" indent="1"/>
    </xf>
    <xf numFmtId="0" fontId="132" fillId="3" borderId="130" xfId="0" applyFont="1" applyFill="1" applyBorder="1" applyAlignment="1">
      <alignment horizontal="left" vertical="center" wrapText="1"/>
    </xf>
    <xf numFmtId="0" fontId="132" fillId="3" borderId="131" xfId="0" applyFont="1" applyFill="1" applyBorder="1" applyAlignment="1">
      <alignment horizontal="left" vertical="center" wrapText="1"/>
    </xf>
    <xf numFmtId="0" fontId="133" fillId="0" borderId="130" xfId="0" applyFont="1" applyBorder="1" applyAlignment="1">
      <alignment horizontal="left" vertical="center" wrapText="1" indent="1"/>
    </xf>
    <xf numFmtId="0" fontId="133" fillId="0" borderId="95" xfId="21414" applyFont="1" applyBorder="1" applyAlignment="1">
      <alignment horizontal="left" vertical="center" wrapText="1" indent="1"/>
    </xf>
    <xf numFmtId="0" fontId="0" fillId="0" borderId="0" xfId="0" applyAlignment="1">
      <alignment horizontal="left" vertical="center"/>
    </xf>
    <xf numFmtId="0" fontId="9" fillId="0" borderId="132" xfId="0" applyFont="1" applyBorder="1" applyAlignment="1">
      <alignment horizontal="center" vertical="center" wrapText="1"/>
    </xf>
    <xf numFmtId="0" fontId="9" fillId="0" borderId="107" xfId="0" applyFont="1" applyBorder="1" applyAlignment="1">
      <alignment horizontal="center" vertical="center" wrapText="1"/>
    </xf>
    <xf numFmtId="0" fontId="0" fillId="0" borderId="132" xfId="0" applyBorder="1" applyAlignment="1">
      <alignment horizontal="center"/>
    </xf>
    <xf numFmtId="0" fontId="15" fillId="83" borderId="132" xfId="0" applyFont="1" applyFill="1" applyBorder="1" applyAlignment="1">
      <alignment vertical="center" wrapText="1"/>
    </xf>
    <xf numFmtId="0" fontId="15" fillId="0" borderId="132" xfId="0" applyFont="1" applyBorder="1" applyAlignment="1">
      <alignment vertical="center" wrapText="1"/>
    </xf>
    <xf numFmtId="0" fontId="7" fillId="0" borderId="132" xfId="0" applyFont="1" applyBorder="1" applyAlignment="1">
      <alignment horizontal="left" vertical="center" wrapText="1" indent="1"/>
    </xf>
    <xf numFmtId="0" fontId="3" fillId="0" borderId="132" xfId="0" applyFont="1" applyBorder="1" applyAlignment="1">
      <alignment vertical="center"/>
    </xf>
    <xf numFmtId="0" fontId="136" fillId="0" borderId="132" xfId="0" applyFont="1" applyBorder="1" applyAlignment="1" applyProtection="1">
      <alignment horizontal="left" vertical="center" indent="1"/>
      <protection locked="0"/>
    </xf>
    <xf numFmtId="0" fontId="137" fillId="0" borderId="132" xfId="0" applyFont="1" applyBorder="1" applyAlignment="1" applyProtection="1">
      <alignment horizontal="left" vertical="center" indent="3"/>
      <protection locked="0"/>
    </xf>
    <xf numFmtId="0" fontId="138" fillId="0" borderId="132" xfId="0" applyFont="1" applyBorder="1" applyAlignment="1" applyProtection="1">
      <alignment horizontal="left" vertical="center" indent="3"/>
      <protection locked="0"/>
    </xf>
    <xf numFmtId="0" fontId="3" fillId="0" borderId="132"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2" xfId="0" applyNumberFormat="1" applyFont="1" applyBorder="1" applyAlignment="1">
      <alignment horizontal="right" vertical="center"/>
    </xf>
    <xf numFmtId="0" fontId="0" fillId="0" borderId="132" xfId="0" applyBorder="1" applyAlignment="1">
      <alignment horizontal="center" vertical="center"/>
    </xf>
    <xf numFmtId="43" fontId="4" fillId="0" borderId="132" xfId="7" applyFont="1" applyFill="1" applyBorder="1" applyAlignment="1">
      <alignment vertical="center" wrapText="1"/>
    </xf>
    <xf numFmtId="43" fontId="4" fillId="0" borderId="95" xfId="7" applyFont="1" applyBorder="1" applyAlignment="1">
      <alignment vertical="center"/>
    </xf>
    <xf numFmtId="43" fontId="4" fillId="0" borderId="132" xfId="7" applyFont="1" applyBorder="1" applyAlignment="1">
      <alignment vertical="center"/>
    </xf>
    <xf numFmtId="167" fontId="22" fillId="0" borderId="55" xfId="0" applyNumberFormat="1" applyFont="1" applyBorder="1" applyAlignment="1">
      <alignment horizontal="center"/>
    </xf>
    <xf numFmtId="167" fontId="18" fillId="0" borderId="57" xfId="0" applyNumberFormat="1" applyFont="1" applyBorder="1" applyAlignment="1">
      <alignment horizontal="center"/>
    </xf>
    <xf numFmtId="0" fontId="120" fillId="0" borderId="132" xfId="0" applyFont="1" applyBorder="1"/>
    <xf numFmtId="49" fontId="122" fillId="0" borderId="132" xfId="5" applyNumberFormat="1" applyFont="1" applyBorder="1" applyAlignment="1" applyProtection="1">
      <alignment horizontal="right" vertical="center"/>
      <protection locked="0"/>
    </xf>
    <xf numFmtId="0" fontId="121" fillId="3" borderId="132" xfId="13" applyFont="1" applyFill="1" applyBorder="1" applyAlignment="1" applyProtection="1">
      <alignment horizontal="left" vertical="center" wrapText="1"/>
      <protection locked="0"/>
    </xf>
    <xf numFmtId="49" fontId="121" fillId="3" borderId="132" xfId="5" applyNumberFormat="1" applyFont="1" applyFill="1" applyBorder="1" applyAlignment="1" applyProtection="1">
      <alignment horizontal="right" vertical="center"/>
      <protection locked="0"/>
    </xf>
    <xf numFmtId="0" fontId="121" fillId="0" borderId="132" xfId="13" applyFont="1" applyBorder="1" applyAlignment="1" applyProtection="1">
      <alignment horizontal="left" vertical="center" wrapText="1"/>
      <protection locked="0"/>
    </xf>
    <xf numFmtId="49" fontId="121" fillId="0" borderId="132" xfId="5" applyNumberFormat="1" applyFont="1" applyBorder="1" applyAlignment="1" applyProtection="1">
      <alignment horizontal="right" vertical="center"/>
      <protection locked="0"/>
    </xf>
    <xf numFmtId="0" fontId="123" fillId="0" borderId="132" xfId="13" applyFont="1" applyBorder="1" applyAlignment="1" applyProtection="1">
      <alignment horizontal="left" vertical="center" wrapText="1"/>
      <protection locked="0"/>
    </xf>
    <xf numFmtId="0" fontId="120" fillId="0" borderId="132" xfId="0" applyFont="1" applyBorder="1" applyAlignment="1">
      <alignment horizontal="center" vertical="center" wrapText="1"/>
    </xf>
    <xf numFmtId="166" fontId="116" fillId="36" borderId="138" xfId="21413" applyFont="1" applyFill="1" applyBorder="1"/>
    <xf numFmtId="0" fontId="116" fillId="0" borderId="138" xfId="0" applyFont="1" applyBorder="1"/>
    <xf numFmtId="0" fontId="116" fillId="0" borderId="138" xfId="0" applyFont="1" applyBorder="1" applyAlignment="1">
      <alignment horizontal="left" indent="8"/>
    </xf>
    <xf numFmtId="0" fontId="116" fillId="0" borderId="138" xfId="0" applyFont="1" applyBorder="1" applyAlignment="1">
      <alignment wrapText="1"/>
    </xf>
    <xf numFmtId="0" fontId="119" fillId="0" borderId="138" xfId="0" applyFont="1" applyBorder="1"/>
    <xf numFmtId="49" fontId="122" fillId="0" borderId="138" xfId="5" applyNumberFormat="1" applyFont="1" applyBorder="1" applyAlignment="1" applyProtection="1">
      <alignment horizontal="right" vertical="center" wrapText="1"/>
      <protection locked="0"/>
    </xf>
    <xf numFmtId="49" fontId="121" fillId="3" borderId="138" xfId="5" applyNumberFormat="1" applyFont="1" applyFill="1" applyBorder="1" applyAlignment="1" applyProtection="1">
      <alignment horizontal="right" vertical="center" wrapText="1"/>
      <protection locked="0"/>
    </xf>
    <xf numFmtId="49" fontId="121" fillId="0" borderId="138" xfId="5" applyNumberFormat="1" applyFont="1" applyBorder="1" applyAlignment="1" applyProtection="1">
      <alignment horizontal="right" vertical="center" wrapText="1"/>
      <protection locked="0"/>
    </xf>
    <xf numFmtId="0" fontId="116" fillId="0" borderId="138"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38"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38" xfId="0" applyFont="1" applyBorder="1" applyAlignment="1">
      <alignment horizontal="left" vertical="center" wrapText="1"/>
    </xf>
    <xf numFmtId="0" fontId="119" fillId="0" borderId="138" xfId="0" applyFont="1" applyBorder="1" applyAlignment="1">
      <alignment horizontal="left" wrapText="1" indent="1"/>
    </xf>
    <xf numFmtId="0" fontId="119" fillId="0" borderId="138" xfId="0" applyFont="1" applyBorder="1" applyAlignment="1">
      <alignment horizontal="left" vertical="center" indent="1"/>
    </xf>
    <xf numFmtId="0" fontId="116" fillId="0" borderId="138" xfId="0" applyFont="1" applyBorder="1" applyAlignment="1">
      <alignment horizontal="left" wrapText="1" indent="1"/>
    </xf>
    <xf numFmtId="0" fontId="116" fillId="0" borderId="138" xfId="0" applyFont="1" applyBorder="1" applyAlignment="1">
      <alignment horizontal="left" indent="1"/>
    </xf>
    <xf numFmtId="0" fontId="116" fillId="0" borderId="138" xfId="0" applyFont="1" applyBorder="1" applyAlignment="1">
      <alignment horizontal="left" wrapText="1" indent="4"/>
    </xf>
    <xf numFmtId="0" fontId="116" fillId="0" borderId="138" xfId="0" applyFont="1" applyBorder="1" applyAlignment="1">
      <alignment horizontal="left" indent="3"/>
    </xf>
    <xf numFmtId="0" fontId="119" fillId="0" borderId="138" xfId="0" applyFont="1" applyBorder="1" applyAlignment="1">
      <alignment horizontal="left" indent="1"/>
    </xf>
    <xf numFmtId="0" fontId="120" fillId="0" borderId="138" xfId="0" applyFont="1" applyBorder="1" applyAlignment="1">
      <alignment horizontal="center" vertical="center" wrapText="1"/>
    </xf>
    <xf numFmtId="0" fontId="116" fillId="80" borderId="138" xfId="0" applyFont="1" applyFill="1" applyBorder="1"/>
    <xf numFmtId="0" fontId="119" fillId="0" borderId="7" xfId="0" applyFont="1" applyBorder="1"/>
    <xf numFmtId="0" fontId="116" fillId="0" borderId="138" xfId="0" applyFont="1" applyBorder="1" applyAlignment="1">
      <alignment horizontal="left" wrapText="1" indent="2"/>
    </xf>
    <xf numFmtId="0" fontId="116" fillId="0" borderId="138" xfId="0" applyFont="1" applyBorder="1" applyAlignment="1">
      <alignment horizontal="left" wrapText="1"/>
    </xf>
    <xf numFmtId="0" fontId="119" fillId="84" borderId="138" xfId="0" applyFont="1" applyFill="1" applyBorder="1"/>
    <xf numFmtId="0" fontId="116" fillId="0" borderId="138"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37"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136" xfId="0" applyFont="1" applyBorder="1" applyAlignment="1">
      <alignment horizontal="center" vertical="center" wrapText="1"/>
    </xf>
    <xf numFmtId="0" fontId="116" fillId="0" borderId="144" xfId="0" applyFont="1" applyBorder="1"/>
    <xf numFmtId="0" fontId="116" fillId="0" borderId="145" xfId="0" applyFont="1" applyBorder="1"/>
    <xf numFmtId="49" fontId="116" fillId="0" borderId="146" xfId="0" applyNumberFormat="1" applyFont="1" applyBorder="1" applyAlignment="1">
      <alignment horizontal="left" wrapText="1" indent="1"/>
    </xf>
    <xf numFmtId="49" fontId="116" fillId="0" borderId="144" xfId="0" applyNumberFormat="1" applyFont="1" applyBorder="1" applyAlignment="1">
      <alignment horizontal="left" wrapText="1" indent="1"/>
    </xf>
    <xf numFmtId="0" fontId="116" fillId="0" borderId="146" xfId="0" applyFont="1" applyBorder="1" applyAlignment="1">
      <alignment horizontal="left" wrapText="1" indent="1"/>
    </xf>
    <xf numFmtId="0" fontId="116" fillId="0" borderId="147" xfId="0" applyFont="1" applyBorder="1"/>
    <xf numFmtId="49" fontId="116" fillId="0" borderId="148" xfId="0" applyNumberFormat="1" applyFont="1" applyBorder="1" applyAlignment="1">
      <alignment horizontal="left" wrapText="1" indent="1"/>
    </xf>
    <xf numFmtId="49" fontId="116" fillId="0" borderId="147" xfId="0" applyNumberFormat="1" applyFont="1" applyBorder="1" applyAlignment="1">
      <alignment horizontal="left" wrapText="1" indent="1"/>
    </xf>
    <xf numFmtId="0" fontId="116" fillId="0" borderId="148" xfId="0" applyFont="1" applyBorder="1" applyAlignment="1">
      <alignment horizontal="left" wrapText="1" indent="1"/>
    </xf>
    <xf numFmtId="49" fontId="116" fillId="0" borderId="148" xfId="0" applyNumberFormat="1" applyFont="1" applyBorder="1" applyAlignment="1">
      <alignment horizontal="left" wrapText="1" indent="3"/>
    </xf>
    <xf numFmtId="49" fontId="116" fillId="0" borderId="147" xfId="0" applyNumberFormat="1" applyFont="1" applyBorder="1" applyAlignment="1">
      <alignment horizontal="left" wrapText="1" indent="3"/>
    </xf>
    <xf numFmtId="49" fontId="116" fillId="0" borderId="148" xfId="0" applyNumberFormat="1" applyFont="1" applyBorder="1" applyAlignment="1">
      <alignment horizontal="left" wrapText="1" indent="2"/>
    </xf>
    <xf numFmtId="49" fontId="116" fillId="0" borderId="147" xfId="0" applyNumberFormat="1" applyFont="1" applyBorder="1" applyAlignment="1">
      <alignment horizontal="left" wrapText="1" indent="2"/>
    </xf>
    <xf numFmtId="49" fontId="116" fillId="0" borderId="148" xfId="0" applyNumberFormat="1" applyFont="1" applyBorder="1" applyAlignment="1">
      <alignment horizontal="left" vertical="top" wrapText="1" indent="2"/>
    </xf>
    <xf numFmtId="49" fontId="116" fillId="0" borderId="147" xfId="0" applyNumberFormat="1" applyFont="1" applyBorder="1" applyAlignment="1">
      <alignment horizontal="left" vertical="top" wrapText="1" indent="2"/>
    </xf>
    <xf numFmtId="0" fontId="116" fillId="81" borderId="147" xfId="0" applyFont="1" applyFill="1" applyBorder="1"/>
    <xf numFmtId="0" fontId="116" fillId="81" borderId="138" xfId="0" applyFont="1" applyFill="1" applyBorder="1"/>
    <xf numFmtId="0" fontId="116" fillId="81" borderId="148" xfId="0" applyFont="1" applyFill="1" applyBorder="1"/>
    <xf numFmtId="49" fontId="116" fillId="0" borderId="147" xfId="0" applyNumberFormat="1" applyFont="1" applyBorder="1" applyAlignment="1">
      <alignment horizontal="left" indent="1"/>
    </xf>
    <xf numFmtId="0" fontId="116" fillId="0" borderId="148" xfId="0" applyFont="1" applyBorder="1" applyAlignment="1">
      <alignment horizontal="left" indent="1"/>
    </xf>
    <xf numFmtId="49" fontId="116" fillId="0" borderId="148" xfId="0" applyNumberFormat="1" applyFont="1" applyBorder="1" applyAlignment="1">
      <alignment horizontal="left" indent="3"/>
    </xf>
    <xf numFmtId="49" fontId="116" fillId="0" borderId="147" xfId="0" applyNumberFormat="1" applyFont="1" applyBorder="1" applyAlignment="1">
      <alignment horizontal="left" indent="3"/>
    </xf>
    <xf numFmtId="0" fontId="116" fillId="0" borderId="148" xfId="0" applyFont="1" applyBorder="1" applyAlignment="1">
      <alignment horizontal="left" indent="2"/>
    </xf>
    <xf numFmtId="0" fontId="116" fillId="0" borderId="147" xfId="0" applyFont="1" applyBorder="1" applyAlignment="1">
      <alignment horizontal="left" indent="2"/>
    </xf>
    <xf numFmtId="0" fontId="116" fillId="0" borderId="147" xfId="0" applyFont="1" applyBorder="1" applyAlignment="1">
      <alignment horizontal="left" indent="1"/>
    </xf>
    <xf numFmtId="0" fontId="119" fillId="0" borderId="61" xfId="0" applyFont="1" applyBorder="1"/>
    <xf numFmtId="0" fontId="116" fillId="0" borderId="66" xfId="0" applyFont="1" applyBorder="1"/>
    <xf numFmtId="0" fontId="116" fillId="0" borderId="0" xfId="0" applyFont="1" applyAlignment="1">
      <alignment horizontal="left"/>
    </xf>
    <xf numFmtId="0" fontId="119" fillId="0" borderId="138" xfId="0" applyFont="1" applyBorder="1" applyAlignment="1">
      <alignment horizontal="left" vertical="center" wrapText="1"/>
    </xf>
    <xf numFmtId="0" fontId="9" fillId="0" borderId="0" xfId="0" applyFont="1" applyAlignment="1">
      <alignment wrapText="1"/>
    </xf>
    <xf numFmtId="0" fontId="121" fillId="0" borderId="138" xfId="0" applyFont="1" applyBorder="1"/>
    <xf numFmtId="0" fontId="119" fillId="0" borderId="138"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28" xfId="0" applyFont="1" applyBorder="1" applyAlignment="1">
      <alignment horizontal="left" vertical="center" wrapText="1" indent="1" readingOrder="1"/>
    </xf>
    <xf numFmtId="0" fontId="121" fillId="0" borderId="138" xfId="0" applyFont="1" applyBorder="1" applyAlignment="1">
      <alignment horizontal="left" indent="3"/>
    </xf>
    <xf numFmtId="0" fontId="119" fillId="0" borderId="138" xfId="0" applyFont="1" applyBorder="1" applyAlignment="1">
      <alignment vertical="center" wrapText="1" readingOrder="1"/>
    </xf>
    <xf numFmtId="0" fontId="121" fillId="0" borderId="138" xfId="0" applyFont="1" applyBorder="1" applyAlignment="1">
      <alignment horizontal="left" indent="2"/>
    </xf>
    <xf numFmtId="0" fontId="116" fillId="0" borderId="129" xfId="0" applyFont="1" applyBorder="1" applyAlignment="1">
      <alignment vertical="center" wrapText="1" readingOrder="1"/>
    </xf>
    <xf numFmtId="0" fontId="121" fillId="0" borderId="139" xfId="0" applyFont="1" applyBorder="1" applyAlignment="1">
      <alignment horizontal="left" indent="2"/>
    </xf>
    <xf numFmtId="0" fontId="116" fillId="0" borderId="128" xfId="0" applyFont="1" applyBorder="1" applyAlignment="1">
      <alignment vertical="center" wrapText="1" readingOrder="1"/>
    </xf>
    <xf numFmtId="0" fontId="116" fillId="0" borderId="127" xfId="0" applyFont="1" applyBorder="1" applyAlignment="1">
      <alignment vertical="center" wrapText="1" readingOrder="1"/>
    </xf>
    <xf numFmtId="0" fontId="139" fillId="0" borderId="7" xfId="0" applyFont="1" applyBorder="1"/>
    <xf numFmtId="0" fontId="106" fillId="0" borderId="138" xfId="0" applyFont="1" applyBorder="1" applyAlignment="1">
      <alignment vertical="center" wrapText="1"/>
    </xf>
    <xf numFmtId="0" fontId="106" fillId="0" borderId="138" xfId="0" applyFont="1" applyBorder="1" applyAlignment="1">
      <alignment horizontal="left" vertical="center" wrapText="1"/>
    </xf>
    <xf numFmtId="0" fontId="106" fillId="0" borderId="138" xfId="0" applyFont="1" applyBorder="1" applyAlignment="1">
      <alignment horizontal="left" indent="2"/>
    </xf>
    <xf numFmtId="0" fontId="106" fillId="0" borderId="138" xfId="0" applyFont="1" applyBorder="1" applyAlignment="1">
      <alignment horizontal="left" vertical="center" indent="1"/>
    </xf>
    <xf numFmtId="0" fontId="106" fillId="0" borderId="138" xfId="0" applyFont="1" applyBorder="1" applyAlignment="1">
      <alignment horizontal="left" vertical="center" wrapText="1" indent="1"/>
    </xf>
    <xf numFmtId="0" fontId="106" fillId="0" borderId="138" xfId="0" applyFont="1" applyBorder="1" applyAlignment="1">
      <alignment horizontal="right" vertical="center"/>
    </xf>
    <xf numFmtId="49" fontId="106" fillId="0" borderId="138" xfId="0" applyNumberFormat="1" applyFont="1" applyBorder="1" applyAlignment="1">
      <alignment horizontal="right" vertical="center"/>
    </xf>
    <xf numFmtId="0" fontId="106" fillId="0" borderId="139" xfId="0" applyFont="1" applyBorder="1" applyAlignment="1">
      <alignment horizontal="left" vertical="top" wrapText="1"/>
    </xf>
    <xf numFmtId="49" fontId="106" fillId="0" borderId="138" xfId="0" applyNumberFormat="1" applyFont="1" applyBorder="1" applyAlignment="1">
      <alignment vertical="top" wrapText="1"/>
    </xf>
    <xf numFmtId="49" fontId="106" fillId="0" borderId="138" xfId="0" applyNumberFormat="1" applyFont="1" applyBorder="1" applyAlignment="1">
      <alignment horizontal="left" vertical="top" wrapText="1" indent="2"/>
    </xf>
    <xf numFmtId="49" fontId="106" fillId="0" borderId="138" xfId="0" applyNumberFormat="1" applyFont="1" applyBorder="1" applyAlignment="1">
      <alignment horizontal="left" vertical="center" wrapText="1" indent="3"/>
    </xf>
    <xf numFmtId="49" fontId="106" fillId="0" borderId="138" xfId="0" applyNumberFormat="1" applyFont="1" applyBorder="1" applyAlignment="1">
      <alignment horizontal="left" wrapText="1" indent="2"/>
    </xf>
    <xf numFmtId="49" fontId="106" fillId="0" borderId="138" xfId="0" applyNumberFormat="1" applyFont="1" applyBorder="1" applyAlignment="1">
      <alignment horizontal="left" vertical="top" wrapText="1"/>
    </xf>
    <xf numFmtId="49" fontId="106" fillId="0" borderId="138" xfId="0" applyNumberFormat="1" applyFont="1" applyBorder="1" applyAlignment="1">
      <alignment horizontal="left" wrapText="1" indent="3"/>
    </xf>
    <xf numFmtId="49" fontId="106" fillId="0" borderId="138" xfId="0" applyNumberFormat="1" applyFont="1" applyBorder="1" applyAlignment="1">
      <alignment vertical="center"/>
    </xf>
    <xf numFmtId="49" fontId="106" fillId="0" borderId="138" xfId="0" applyNumberFormat="1" applyFont="1" applyBorder="1" applyAlignment="1">
      <alignment horizontal="left" indent="3"/>
    </xf>
    <xf numFmtId="0" fontId="106" fillId="0" borderId="138" xfId="0" applyFont="1" applyBorder="1" applyAlignment="1">
      <alignment horizontal="left" indent="1"/>
    </xf>
    <xf numFmtId="0" fontId="106" fillId="0" borderId="138" xfId="0" applyFont="1" applyBorder="1" applyAlignment="1">
      <alignment horizontal="left" wrapText="1" indent="2"/>
    </xf>
    <xf numFmtId="0" fontId="106" fillId="0" borderId="138" xfId="0" applyFont="1" applyBorder="1" applyAlignment="1">
      <alignment horizontal="left" vertical="top" wrapText="1"/>
    </xf>
    <xf numFmtId="0" fontId="105" fillId="0" borderId="7" xfId="0" applyFont="1" applyBorder="1" applyAlignment="1">
      <alignment wrapText="1"/>
    </xf>
    <xf numFmtId="0" fontId="106" fillId="0" borderId="138" xfId="0" applyFont="1" applyBorder="1" applyAlignment="1">
      <alignment horizontal="left" vertical="top" wrapText="1" indent="2"/>
    </xf>
    <xf numFmtId="0" fontId="106" fillId="0" borderId="138" xfId="0" applyFont="1" applyBorder="1" applyAlignment="1">
      <alignment horizontal="left" wrapText="1"/>
    </xf>
    <xf numFmtId="0" fontId="106" fillId="0" borderId="138" xfId="12672" applyFont="1" applyBorder="1" applyAlignment="1">
      <alignment horizontal="left" vertical="center" wrapText="1" indent="2"/>
    </xf>
    <xf numFmtId="0" fontId="106" fillId="0" borderId="138" xfId="0" applyFont="1" applyBorder="1" applyAlignment="1">
      <alignment wrapText="1"/>
    </xf>
    <xf numFmtId="0" fontId="106" fillId="0" borderId="138" xfId="0" applyFont="1" applyBorder="1"/>
    <xf numFmtId="0" fontId="106" fillId="0" borderId="138" xfId="12672" applyFont="1" applyBorder="1" applyAlignment="1">
      <alignment horizontal="left" vertical="center" wrapText="1"/>
    </xf>
    <xf numFmtId="0" fontId="105" fillId="0" borderId="138" xfId="0" applyFont="1" applyBorder="1" applyAlignment="1">
      <alignment wrapText="1"/>
    </xf>
    <xf numFmtId="0" fontId="106" fillId="0" borderId="140" xfId="0" applyFont="1" applyBorder="1" applyAlignment="1">
      <alignment horizontal="left" vertical="center" wrapText="1"/>
    </xf>
    <xf numFmtId="0" fontId="106" fillId="3" borderId="138" xfId="5" applyFont="1" applyFill="1" applyBorder="1" applyAlignment="1" applyProtection="1">
      <alignment horizontal="right" vertical="center"/>
      <protection locked="0"/>
    </xf>
    <xf numFmtId="2" fontId="106" fillId="3" borderId="138" xfId="5" applyNumberFormat="1" applyFont="1" applyFill="1" applyBorder="1" applyAlignment="1" applyProtection="1">
      <alignment horizontal="right" vertical="center"/>
      <protection locked="0"/>
    </xf>
    <xf numFmtId="0" fontId="106" fillId="0" borderId="138" xfId="0" applyFont="1" applyBorder="1" applyAlignment="1">
      <alignment vertical="center"/>
    </xf>
    <xf numFmtId="0" fontId="106" fillId="0" borderId="140" xfId="13" applyFont="1" applyBorder="1" applyAlignment="1" applyProtection="1">
      <alignment horizontal="left" vertical="top" wrapText="1"/>
      <protection locked="0"/>
    </xf>
    <xf numFmtId="0" fontId="106" fillId="0" borderId="141" xfId="13" applyFont="1" applyBorder="1" applyAlignment="1" applyProtection="1">
      <alignment horizontal="left" vertical="top" wrapText="1"/>
      <protection locked="0"/>
    </xf>
    <xf numFmtId="0" fontId="106" fillId="0" borderId="139"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39" xfId="0" applyFont="1" applyBorder="1" applyAlignment="1">
      <alignment horizontal="left" indent="2"/>
    </xf>
    <xf numFmtId="0" fontId="106" fillId="0" borderId="129" xfId="0" applyFont="1" applyBorder="1" applyAlignment="1">
      <alignment horizontal="left" vertical="center" wrapText="1" readingOrder="1"/>
    </xf>
    <xf numFmtId="0" fontId="106" fillId="0" borderId="138" xfId="0" applyFont="1" applyBorder="1" applyAlignment="1">
      <alignment horizontal="left" vertical="center" wrapText="1" readingOrder="1"/>
    </xf>
    <xf numFmtId="167" fontId="19" fillId="85" borderId="56"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0" xfId="20" applyBorder="1"/>
    <xf numFmtId="193" fontId="4" fillId="0" borderId="148" xfId="0" applyNumberFormat="1" applyFont="1" applyBorder="1" applyAlignment="1" applyProtection="1">
      <alignment vertical="center" wrapText="1"/>
      <protection locked="0"/>
    </xf>
    <xf numFmtId="193" fontId="4" fillId="0" borderId="138" xfId="0" applyNumberFormat="1" applyFont="1" applyBorder="1" applyAlignment="1" applyProtection="1">
      <alignment vertical="center" wrapText="1"/>
      <protection locked="0"/>
    </xf>
    <xf numFmtId="193" fontId="4" fillId="0" borderId="147" xfId="0" applyNumberFormat="1" applyFont="1" applyBorder="1" applyAlignment="1" applyProtection="1">
      <alignment vertical="center" wrapText="1"/>
      <protection locked="0"/>
    </xf>
    <xf numFmtId="10" fontId="4" fillId="0" borderId="148" xfId="20961" applyNumberFormat="1" applyFont="1" applyBorder="1" applyAlignment="1" applyProtection="1">
      <alignment vertical="center" wrapText="1"/>
      <protection locked="0"/>
    </xf>
    <xf numFmtId="10" fontId="4" fillId="0" borderId="138" xfId="20961"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193" fontId="17" fillId="2" borderId="148" xfId="0" applyNumberFormat="1" applyFont="1" applyFill="1" applyBorder="1" applyAlignment="1" applyProtection="1">
      <alignment vertical="center"/>
      <protection locked="0"/>
    </xf>
    <xf numFmtId="193" fontId="17" fillId="2" borderId="138"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193" fontId="9" fillId="2" borderId="148" xfId="0" applyNumberFormat="1" applyFont="1" applyFill="1" applyBorder="1" applyAlignment="1" applyProtection="1">
      <alignment vertical="center"/>
      <protection locked="0"/>
    </xf>
    <xf numFmtId="193" fontId="9" fillId="2" borderId="138" xfId="0" applyNumberFormat="1" applyFont="1" applyFill="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17" fillId="2" borderId="139" xfId="0" applyNumberFormat="1" applyFont="1" applyFill="1" applyBorder="1" applyAlignment="1" applyProtection="1">
      <alignment vertical="center"/>
      <protection locked="0"/>
    </xf>
    <xf numFmtId="0" fontId="11" fillId="0" borderId="95" xfId="17" applyFill="1" applyBorder="1" applyAlignment="1" applyProtection="1">
      <alignment horizontal="left" vertical="top" wrapText="1"/>
    </xf>
    <xf numFmtId="0" fontId="7" fillId="83" borderId="138"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0" fontId="143" fillId="0" borderId="0" xfId="0" applyFont="1" applyAlignment="1">
      <alignment wrapText="1"/>
    </xf>
    <xf numFmtId="0" fontId="144" fillId="0" borderId="0" xfId="0" applyFont="1" applyAlignment="1">
      <alignment horizontal="left" vertical="center" wrapText="1" indent="1"/>
    </xf>
    <xf numFmtId="43" fontId="116" fillId="0" borderId="138" xfId="7" applyFont="1" applyBorder="1"/>
    <xf numFmtId="43" fontId="119" fillId="0" borderId="138" xfId="7" applyFont="1" applyBorder="1"/>
    <xf numFmtId="43" fontId="116" fillId="0" borderId="148" xfId="7" applyFont="1" applyBorder="1" applyAlignment="1">
      <alignment horizontal="left" indent="3"/>
    </xf>
    <xf numFmtId="43" fontId="119" fillId="0" borderId="66" xfId="7" applyFont="1" applyBorder="1"/>
    <xf numFmtId="43" fontId="116" fillId="0" borderId="148" xfId="7" applyFont="1" applyBorder="1" applyAlignment="1">
      <alignment horizontal="left" indent="1"/>
    </xf>
    <xf numFmtId="43" fontId="116" fillId="0" borderId="148" xfId="7" applyFont="1" applyBorder="1" applyAlignment="1">
      <alignment horizontal="left" indent="2"/>
    </xf>
    <xf numFmtId="49" fontId="116" fillId="0" borderId="148" xfId="0" applyNumberFormat="1" applyFont="1" applyBorder="1" applyAlignment="1">
      <alignment horizontal="left" indent="1"/>
    </xf>
    <xf numFmtId="43" fontId="116" fillId="0" borderId="148" xfId="7" applyFont="1" applyFill="1" applyBorder="1" applyAlignment="1">
      <alignment horizontal="left" indent="1"/>
    </xf>
    <xf numFmtId="43" fontId="3" fillId="0" borderId="0" xfId="7" applyFont="1"/>
    <xf numFmtId="43" fontId="116" fillId="0" borderId="138" xfId="0" applyNumberFormat="1" applyFont="1" applyBorder="1"/>
    <xf numFmtId="43" fontId="116" fillId="0" borderId="0" xfId="0" applyNumberFormat="1" applyFont="1"/>
    <xf numFmtId="43" fontId="117" fillId="0" borderId="138" xfId="7" applyFont="1" applyBorder="1"/>
    <xf numFmtId="0" fontId="102" fillId="0" borderId="138" xfId="0" applyFont="1" applyBorder="1"/>
    <xf numFmtId="43" fontId="0" fillId="0" borderId="95" xfId="7" applyFont="1" applyBorder="1"/>
    <xf numFmtId="43" fontId="0" fillId="36" borderId="95" xfId="7" applyFont="1" applyFill="1" applyBorder="1"/>
    <xf numFmtId="43" fontId="0" fillId="0" borderId="95" xfId="7" applyFont="1" applyBorder="1" applyAlignment="1">
      <alignment vertical="center"/>
    </xf>
    <xf numFmtId="43" fontId="0" fillId="36" borderId="95" xfId="7" applyFont="1" applyFill="1" applyBorder="1" applyAlignment="1">
      <alignment vertical="center"/>
    </xf>
    <xf numFmtId="43" fontId="0" fillId="0" borderId="132" xfId="7" applyFont="1" applyBorder="1"/>
    <xf numFmtId="43" fontId="0" fillId="36" borderId="132" xfId="7" applyFont="1" applyFill="1" applyBorder="1"/>
    <xf numFmtId="0" fontId="130" fillId="0" borderId="138" xfId="0" applyFont="1" applyBorder="1" applyAlignment="1">
      <alignment horizontal="left" vertical="center" wrapText="1"/>
    </xf>
    <xf numFmtId="0" fontId="132" fillId="0" borderId="138" xfId="0" applyFont="1" applyBorder="1" applyAlignment="1">
      <alignment horizontal="left" vertical="center" wrapText="1"/>
    </xf>
    <xf numFmtId="0" fontId="133" fillId="3" borderId="138" xfId="0" applyFont="1" applyFill="1" applyBorder="1" applyAlignment="1">
      <alignment horizontal="left" vertical="center" wrapText="1" indent="1"/>
    </xf>
    <xf numFmtId="0" fontId="132" fillId="3" borderId="138" xfId="0" applyFont="1" applyFill="1" applyBorder="1" applyAlignment="1">
      <alignment horizontal="left" vertical="center" wrapText="1"/>
    </xf>
    <xf numFmtId="0" fontId="133" fillId="0" borderId="138" xfId="0" applyFont="1" applyBorder="1" applyAlignment="1">
      <alignment horizontal="left" vertical="center" wrapText="1" indent="1"/>
    </xf>
    <xf numFmtId="0" fontId="133" fillId="0" borderId="138" xfId="21414" applyFont="1" applyBorder="1" applyAlignment="1">
      <alignment horizontal="left" vertical="center" wrapText="1" indent="1"/>
    </xf>
    <xf numFmtId="0" fontId="132" fillId="0" borderId="138" xfId="21414" applyFont="1" applyBorder="1" applyAlignment="1">
      <alignment horizontal="left" vertical="center" wrapText="1"/>
    </xf>
    <xf numFmtId="0" fontId="134" fillId="0" borderId="138" xfId="21414" applyFont="1" applyBorder="1" applyAlignment="1">
      <alignment horizontal="center" vertical="center" wrapText="1"/>
    </xf>
    <xf numFmtId="0" fontId="131" fillId="3" borderId="138" xfId="21414" applyFont="1" applyFill="1" applyBorder="1" applyAlignment="1">
      <alignment horizontal="left" vertical="center" wrapText="1" indent="1"/>
    </xf>
    <xf numFmtId="0" fontId="131" fillId="3" borderId="138"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8" xfId="0" applyFont="1" applyBorder="1" applyAlignment="1">
      <alignment horizontal="left" vertical="center" wrapText="1" indent="1"/>
    </xf>
    <xf numFmtId="0" fontId="132" fillId="3" borderId="138" xfId="21414" applyFont="1" applyFill="1" applyBorder="1" applyAlignment="1">
      <alignment horizontal="left" vertical="center" wrapText="1"/>
    </xf>
    <xf numFmtId="0" fontId="135" fillId="0" borderId="138" xfId="0" applyFont="1" applyBorder="1" applyAlignment="1">
      <alignment horizontal="left"/>
    </xf>
    <xf numFmtId="43" fontId="0" fillId="0" borderId="138" xfId="7" applyFont="1" applyBorder="1"/>
    <xf numFmtId="43" fontId="0" fillId="0" borderId="0" xfId="0" applyNumberFormat="1"/>
    <xf numFmtId="10" fontId="9" fillId="2" borderId="95" xfId="20961" applyNumberFormat="1" applyFont="1" applyFill="1" applyBorder="1" applyAlignment="1" applyProtection="1">
      <alignment vertical="center"/>
      <protection locked="0"/>
    </xf>
    <xf numFmtId="10" fontId="17" fillId="2" borderId="148" xfId="20961" applyNumberFormat="1" applyFont="1" applyFill="1" applyBorder="1" applyAlignment="1" applyProtection="1">
      <alignment vertical="center"/>
      <protection locked="0"/>
    </xf>
    <xf numFmtId="10" fontId="17" fillId="2" borderId="138" xfId="20961" applyNumberFormat="1" applyFont="1" applyFill="1" applyBorder="1" applyAlignment="1" applyProtection="1">
      <alignment vertical="center"/>
      <protection locked="0"/>
    </xf>
    <xf numFmtId="10" fontId="17" fillId="2" borderId="147" xfId="20961" applyNumberFormat="1" applyFont="1" applyFill="1" applyBorder="1" applyAlignment="1" applyProtection="1">
      <alignment vertical="center"/>
      <protection locked="0"/>
    </xf>
    <xf numFmtId="10" fontId="17" fillId="2" borderId="95"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10" fontId="9" fillId="2" borderId="107" xfId="20961" applyNumberFormat="1" applyFont="1" applyFill="1" applyBorder="1" applyAlignment="1" applyProtection="1">
      <alignment vertical="center"/>
      <protection locked="0"/>
    </xf>
    <xf numFmtId="165" fontId="9" fillId="2" borderId="148" xfId="20961" applyNumberFormat="1" applyFont="1" applyFill="1" applyBorder="1" applyAlignment="1" applyProtection="1">
      <alignment vertical="center"/>
      <protection locked="0"/>
    </xf>
    <xf numFmtId="165" fontId="9" fillId="2" borderId="138" xfId="20961" applyNumberFormat="1" applyFont="1" applyFill="1" applyBorder="1" applyAlignment="1" applyProtection="1">
      <alignment vertical="center"/>
      <protection locked="0"/>
    </xf>
    <xf numFmtId="165" fontId="9" fillId="2" borderId="147" xfId="20961" applyNumberFormat="1" applyFont="1" applyFill="1" applyBorder="1" applyAlignment="1" applyProtection="1">
      <alignment vertical="center"/>
      <protection locked="0"/>
    </xf>
    <xf numFmtId="10" fontId="9" fillId="2" borderId="148" xfId="20961" applyNumberFormat="1" applyFont="1" applyFill="1" applyBorder="1" applyAlignment="1" applyProtection="1">
      <alignment vertical="center"/>
      <protection locked="0"/>
    </xf>
    <xf numFmtId="10" fontId="9" fillId="2" borderId="138" xfId="20961" applyNumberFormat="1" applyFont="1" applyFill="1" applyBorder="1" applyAlignment="1" applyProtection="1">
      <alignment vertical="center"/>
      <protection locked="0"/>
    </xf>
    <xf numFmtId="10" fontId="9" fillId="2" borderId="147"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45" xfId="20961" applyNumberFormat="1" applyFont="1" applyFill="1" applyBorder="1" applyAlignment="1" applyProtection="1">
      <alignment vertical="center"/>
      <protection locked="0"/>
    </xf>
    <xf numFmtId="10" fontId="17" fillId="2" borderId="144" xfId="20961" applyNumberFormat="1" applyFont="1" applyFill="1" applyBorder="1" applyAlignment="1" applyProtection="1">
      <alignment vertical="center"/>
      <protection locked="0"/>
    </xf>
    <xf numFmtId="0" fontId="132" fillId="0" borderId="138" xfId="0" applyFont="1" applyBorder="1" applyAlignment="1">
      <alignment horizontal="justify" vertical="center" wrapText="1"/>
    </xf>
    <xf numFmtId="0" fontId="130" fillId="0" borderId="138" xfId="0" applyFont="1" applyBorder="1" applyAlignment="1">
      <alignment horizontal="justify" vertical="center" wrapText="1"/>
    </xf>
    <xf numFmtId="0" fontId="132" fillId="3" borderId="138" xfId="0" applyFont="1" applyFill="1" applyBorder="1" applyAlignment="1">
      <alignment horizontal="justify" vertical="center" wrapText="1"/>
    </xf>
    <xf numFmtId="0" fontId="132" fillId="0" borderId="138" xfId="21414" applyFont="1" applyBorder="1" applyAlignment="1">
      <alignment horizontal="justify" vertical="center" wrapText="1"/>
    </xf>
    <xf numFmtId="0" fontId="130" fillId="0" borderId="138" xfId="0" applyFont="1" applyBorder="1" applyAlignment="1">
      <alignment vertical="center" wrapText="1"/>
    </xf>
    <xf numFmtId="0" fontId="132" fillId="0" borderId="138" xfId="0" applyFont="1" applyBorder="1" applyAlignment="1">
      <alignment vertical="center" wrapText="1"/>
    </xf>
    <xf numFmtId="0" fontId="132" fillId="0" borderId="138" xfId="21414" applyFont="1" applyBorder="1" applyAlignment="1">
      <alignment vertical="center" wrapText="1"/>
    </xf>
    <xf numFmtId="0" fontId="0" fillId="0" borderId="148" xfId="0" applyBorder="1" applyAlignment="1">
      <alignment horizontal="center" vertical="center"/>
    </xf>
    <xf numFmtId="43" fontId="0" fillId="36" borderId="138" xfId="7" applyFont="1" applyFill="1" applyBorder="1"/>
    <xf numFmtId="0" fontId="0" fillId="0" borderId="146" xfId="0" applyBorder="1" applyAlignment="1">
      <alignment horizontal="center" vertical="center"/>
    </xf>
    <xf numFmtId="0" fontId="132" fillId="0" borderId="145" xfId="21414" applyFont="1" applyBorder="1" applyAlignment="1">
      <alignment vertical="center" wrapText="1"/>
    </xf>
    <xf numFmtId="43" fontId="0" fillId="0" borderId="145" xfId="7" applyFont="1" applyBorder="1"/>
    <xf numFmtId="43" fontId="0" fillId="36" borderId="145" xfId="7" applyFont="1" applyFill="1" applyBorder="1"/>
    <xf numFmtId="43" fontId="4" fillId="0" borderId="0" xfId="7" applyFont="1"/>
    <xf numFmtId="43" fontId="9" fillId="0" borderId="138" xfId="7" applyFont="1" applyBorder="1" applyAlignment="1">
      <alignment horizontal="center" vertical="center" wrapText="1"/>
    </xf>
    <xf numFmtId="43" fontId="0" fillId="0" borderId="0" xfId="7" applyFont="1"/>
    <xf numFmtId="43" fontId="0" fillId="36" borderId="144" xfId="7" applyFont="1" applyFill="1" applyBorder="1"/>
    <xf numFmtId="43" fontId="9" fillId="0" borderId="147" xfId="7" applyFont="1" applyBorder="1" applyAlignment="1">
      <alignment horizontal="center" vertical="center" wrapText="1"/>
    </xf>
    <xf numFmtId="43" fontId="0" fillId="36" borderId="147" xfId="7" applyFont="1" applyFill="1" applyBorder="1"/>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47" xfId="0" applyNumberFormat="1" applyFont="1" applyFill="1" applyBorder="1" applyAlignment="1">
      <alignment horizontal="right"/>
    </xf>
    <xf numFmtId="164" fontId="21" fillId="0" borderId="95" xfId="7" applyNumberFormat="1" applyFont="1" applyBorder="1" applyAlignment="1">
      <alignment vertical="center" wrapText="1"/>
    </xf>
    <xf numFmtId="164" fontId="21" fillId="0" borderId="96" xfId="7" applyNumberFormat="1" applyFont="1" applyBorder="1" applyAlignment="1">
      <alignment vertical="center" wrapText="1"/>
    </xf>
    <xf numFmtId="164" fontId="21" fillId="0" borderId="21" xfId="7" applyNumberFormat="1" applyFont="1" applyBorder="1" applyAlignment="1">
      <alignment vertical="center" wrapText="1"/>
    </xf>
    <xf numFmtId="0" fontId="13" fillId="0" borderId="141" xfId="0" applyFont="1" applyBorder="1" applyAlignment="1">
      <alignment wrapText="1"/>
    </xf>
    <xf numFmtId="0" fontId="9" fillId="0" borderId="148" xfId="0" applyFont="1" applyBorder="1" applyAlignment="1">
      <alignment vertical="center"/>
    </xf>
    <xf numFmtId="0" fontId="9" fillId="0" borderId="102" xfId="0" applyFont="1" applyBorder="1" applyAlignment="1">
      <alignment vertical="center"/>
    </xf>
    <xf numFmtId="0" fontId="13" fillId="0" borderId="137" xfId="0" applyFont="1" applyBorder="1" applyAlignment="1">
      <alignment wrapText="1"/>
    </xf>
    <xf numFmtId="0" fontId="9" fillId="0" borderId="146" xfId="0" applyFont="1" applyBorder="1"/>
    <xf numFmtId="9" fontId="4" fillId="0" borderId="147" xfId="20961" applyFont="1" applyBorder="1"/>
    <xf numFmtId="9" fontId="4" fillId="0" borderId="103" xfId="20961" applyFont="1" applyBorder="1"/>
    <xf numFmtId="9" fontId="4" fillId="0" borderId="144" xfId="20961" applyFont="1" applyBorder="1"/>
    <xf numFmtId="164" fontId="4" fillId="0" borderId="107" xfId="7" applyNumberFormat="1" applyFont="1" applyBorder="1" applyAlignment="1">
      <alignment horizontal="right" vertical="center" wrapText="1"/>
    </xf>
    <xf numFmtId="164" fontId="7" fillId="0" borderId="24" xfId="7" applyNumberFormat="1" applyFont="1" applyFill="1" applyBorder="1" applyAlignment="1" applyProtection="1">
      <alignment horizontal="right" vertical="center"/>
    </xf>
    <xf numFmtId="0" fontId="130" fillId="3" borderId="138" xfId="21414" applyFont="1" applyFill="1" applyBorder="1" applyAlignment="1">
      <alignment horizontal="left" vertical="center" wrapText="1"/>
    </xf>
    <xf numFmtId="193" fontId="23" fillId="0" borderId="12" xfId="0" applyNumberFormat="1" applyFont="1" applyBorder="1" applyAlignment="1">
      <alignment vertical="center"/>
    </xf>
    <xf numFmtId="43" fontId="22" fillId="0" borderId="12" xfId="7" applyFont="1" applyBorder="1" applyAlignment="1">
      <alignment vertical="center"/>
    </xf>
    <xf numFmtId="193" fontId="19" fillId="0" borderId="12" xfId="0" applyNumberFormat="1" applyFont="1" applyBorder="1" applyAlignment="1">
      <alignment vertical="center"/>
    </xf>
    <xf numFmtId="193" fontId="104" fillId="0" borderId="12" xfId="0" applyNumberFormat="1" applyFont="1" applyBorder="1" applyAlignment="1">
      <alignment vertical="center"/>
    </xf>
    <xf numFmtId="193" fontId="22" fillId="0" borderId="12" xfId="0" applyNumberFormat="1" applyFont="1" applyBorder="1" applyAlignment="1">
      <alignment vertical="center"/>
    </xf>
    <xf numFmtId="193" fontId="23" fillId="0" borderId="13" xfId="0" applyNumberFormat="1" applyFont="1" applyBorder="1" applyAlignment="1">
      <alignment vertical="center"/>
    </xf>
    <xf numFmtId="193" fontId="22"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53" xfId="0" applyNumberFormat="1" applyFont="1" applyBorder="1" applyAlignment="1">
      <alignment vertical="center"/>
    </xf>
    <xf numFmtId="193" fontId="19" fillId="0" borderId="153" xfId="0" applyNumberFormat="1" applyFont="1" applyBorder="1" applyAlignment="1">
      <alignment vertical="center"/>
    </xf>
    <xf numFmtId="0" fontId="0" fillId="0" borderId="148" xfId="0" applyBorder="1" applyAlignment="1">
      <alignment horizontal="center"/>
    </xf>
    <xf numFmtId="193" fontId="22" fillId="0" borderId="154" xfId="0" applyNumberFormat="1" applyFont="1" applyBorder="1" applyAlignment="1">
      <alignment vertical="center"/>
    </xf>
    <xf numFmtId="167" fontId="23" fillId="0" borderId="155" xfId="0" applyNumberFormat="1" applyFont="1" applyBorder="1" applyAlignment="1">
      <alignment horizontal="center"/>
    </xf>
    <xf numFmtId="167" fontId="23" fillId="0" borderId="147" xfId="0" applyNumberFormat="1" applyFont="1" applyBorder="1" applyAlignment="1">
      <alignment horizontal="center"/>
    </xf>
    <xf numFmtId="0" fontId="0" fillId="0" borderId="102" xfId="0" applyBorder="1" applyAlignment="1">
      <alignment horizontal="center"/>
    </xf>
    <xf numFmtId="193" fontId="23" fillId="0" borderId="138" xfId="0" applyNumberFormat="1" applyFont="1" applyBorder="1" applyAlignment="1">
      <alignment vertical="center"/>
    </xf>
    <xf numFmtId="193" fontId="22" fillId="0" borderId="138" xfId="0" applyNumberFormat="1" applyFont="1" applyBorder="1" applyAlignment="1">
      <alignment vertical="center"/>
    </xf>
    <xf numFmtId="0" fontId="22" fillId="0" borderId="138" xfId="0" applyFont="1" applyBorder="1" applyAlignment="1">
      <alignment vertical="center"/>
    </xf>
    <xf numFmtId="0" fontId="23" fillId="0" borderId="147" xfId="0" applyFont="1" applyBorder="1"/>
    <xf numFmtId="0" fontId="23" fillId="0" borderId="138" xfId="0" applyFont="1" applyBorder="1" applyAlignment="1">
      <alignment vertical="center"/>
    </xf>
    <xf numFmtId="0" fontId="0" fillId="0" borderId="146" xfId="0" applyBorder="1" applyAlignment="1">
      <alignment horizontal="center"/>
    </xf>
    <xf numFmtId="0" fontId="132" fillId="0" borderId="145" xfId="0" applyFont="1" applyBorder="1" applyAlignment="1">
      <alignment horizontal="left" vertical="center" wrapText="1"/>
    </xf>
    <xf numFmtId="0" fontId="22" fillId="0" borderId="145" xfId="0" applyFont="1" applyBorder="1" applyAlignment="1">
      <alignment vertical="center"/>
    </xf>
    <xf numFmtId="0" fontId="23" fillId="0" borderId="144" xfId="0" applyFont="1" applyBorder="1"/>
    <xf numFmtId="164" fontId="4" fillId="0" borderId="3" xfId="7" applyNumberFormat="1" applyFont="1" applyBorder="1"/>
    <xf numFmtId="164" fontId="4" fillId="0" borderId="8" xfId="7" applyNumberFormat="1" applyFont="1" applyBorder="1"/>
    <xf numFmtId="164" fontId="4" fillId="0" borderId="20" xfId="7" applyNumberFormat="1" applyFont="1" applyBorder="1"/>
    <xf numFmtId="164" fontId="4" fillId="36" borderId="24" xfId="7" applyNumberFormat="1" applyFont="1" applyFill="1" applyBorder="1"/>
    <xf numFmtId="0" fontId="14" fillId="3" borderId="136" xfId="0" applyFont="1" applyFill="1" applyBorder="1" applyAlignment="1">
      <alignment horizontal="left"/>
    </xf>
    <xf numFmtId="0" fontId="4" fillId="0" borderId="138" xfId="0" applyFont="1" applyBorder="1" applyAlignment="1">
      <alignment horizontal="center" vertical="center" wrapText="1"/>
    </xf>
    <xf numFmtId="0" fontId="4" fillId="0" borderId="147" xfId="0" applyFont="1" applyBorder="1" applyAlignment="1">
      <alignment horizontal="center" vertical="center" wrapText="1"/>
    </xf>
    <xf numFmtId="0" fontId="4" fillId="3" borderId="143" xfId="0" applyFont="1" applyFill="1" applyBorder="1" applyAlignment="1">
      <alignment vertical="center"/>
    </xf>
    <xf numFmtId="43" fontId="4" fillId="0" borderId="141" xfId="7" applyFont="1" applyBorder="1" applyAlignment="1">
      <alignment vertical="center"/>
    </xf>
    <xf numFmtId="43" fontId="4" fillId="0" borderId="52" xfId="7" applyFont="1" applyBorder="1" applyAlignment="1">
      <alignment vertical="center"/>
    </xf>
    <xf numFmtId="43" fontId="4" fillId="0" borderId="61" xfId="7" applyFont="1" applyBorder="1" applyAlignment="1">
      <alignment vertical="center"/>
    </xf>
    <xf numFmtId="43" fontId="4" fillId="3" borderId="143" xfId="7" applyFont="1" applyFill="1" applyBorder="1" applyAlignment="1">
      <alignment vertical="center"/>
    </xf>
    <xf numFmtId="43" fontId="4" fillId="3" borderId="21" xfId="7" applyFont="1" applyFill="1" applyBorder="1" applyAlignment="1">
      <alignment vertical="center"/>
    </xf>
    <xf numFmtId="0" fontId="4" fillId="0" borderId="148" xfId="0" applyFont="1" applyBorder="1" applyAlignment="1">
      <alignment horizontal="center" vertical="center"/>
    </xf>
    <xf numFmtId="0" fontId="4" fillId="0" borderId="138" xfId="0" applyFont="1" applyBorder="1" applyAlignment="1">
      <alignment vertical="center"/>
    </xf>
    <xf numFmtId="43" fontId="4" fillId="0" borderId="138" xfId="7" applyFont="1" applyBorder="1" applyAlignment="1">
      <alignment vertical="center"/>
    </xf>
    <xf numFmtId="0" fontId="4" fillId="0" borderId="141" xfId="0" applyFont="1" applyBorder="1" applyAlignment="1">
      <alignment vertical="center"/>
    </xf>
    <xf numFmtId="0" fontId="6" fillId="0" borderId="138" xfId="0" applyFont="1" applyBorder="1" applyAlignment="1">
      <alignment vertical="center"/>
    </xf>
    <xf numFmtId="164" fontId="4" fillId="0" borderId="138" xfId="7" applyNumberFormat="1" applyFont="1" applyFill="1" applyBorder="1" applyAlignment="1">
      <alignment vertical="center"/>
    </xf>
    <xf numFmtId="164" fontId="4" fillId="0" borderId="141" xfId="7" applyNumberFormat="1" applyFont="1" applyFill="1" applyBorder="1" applyAlignment="1">
      <alignment vertical="center"/>
    </xf>
    <xf numFmtId="43" fontId="4" fillId="0" borderId="147" xfId="7" applyFont="1" applyBorder="1" applyAlignment="1">
      <alignment vertical="center"/>
    </xf>
    <xf numFmtId="0" fontId="4" fillId="0" borderId="146" xfId="0" applyFont="1" applyBorder="1" applyAlignment="1">
      <alignment horizontal="center" vertical="center"/>
    </xf>
    <xf numFmtId="0" fontId="6" fillId="0" borderId="145" xfId="0" applyFont="1" applyBorder="1" applyAlignment="1">
      <alignment vertical="center"/>
    </xf>
    <xf numFmtId="43" fontId="4" fillId="0" borderId="145" xfId="7" applyFont="1" applyFill="1" applyBorder="1" applyAlignment="1">
      <alignment vertical="center"/>
    </xf>
    <xf numFmtId="43" fontId="4" fillId="0" borderId="25" xfId="7" applyFont="1" applyFill="1" applyBorder="1" applyAlignment="1">
      <alignment vertical="center"/>
    </xf>
    <xf numFmtId="164" fontId="4" fillId="0" borderId="145"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144" xfId="7" applyNumberFormat="1" applyFont="1" applyFill="1" applyBorder="1" applyAlignment="1">
      <alignment vertical="center"/>
    </xf>
    <xf numFmtId="43" fontId="4" fillId="0" borderId="25" xfId="7" applyFont="1" applyBorder="1" applyAlignment="1">
      <alignment vertical="center"/>
    </xf>
    <xf numFmtId="43" fontId="4" fillId="0" borderId="144" xfId="7" applyFont="1" applyBorder="1" applyAlignment="1">
      <alignment vertical="center"/>
    </xf>
    <xf numFmtId="43" fontId="4" fillId="0" borderId="26" xfId="7" applyFont="1" applyBorder="1" applyAlignment="1">
      <alignment vertical="center"/>
    </xf>
    <xf numFmtId="43" fontId="4" fillId="0" borderId="18" xfId="0" applyNumberFormat="1" applyFont="1" applyBorder="1" applyAlignment="1">
      <alignment vertical="center"/>
    </xf>
    <xf numFmtId="0" fontId="4" fillId="0" borderId="139" xfId="0" applyFont="1" applyBorder="1" applyAlignment="1">
      <alignment vertical="center"/>
    </xf>
    <xf numFmtId="43" fontId="4" fillId="0" borderId="137" xfId="7" applyFont="1" applyBorder="1" applyAlignment="1">
      <alignment vertical="center"/>
    </xf>
    <xf numFmtId="165" fontId="4" fillId="0" borderId="90" xfId="20961" applyNumberFormat="1" applyFont="1" applyBorder="1" applyAlignment="1">
      <alignment vertical="center"/>
    </xf>
    <xf numFmtId="10" fontId="113" fillId="79" borderId="95" xfId="20961" applyNumberFormat="1" applyFont="1" applyFill="1" applyBorder="1" applyAlignment="1" applyProtection="1">
      <alignment horizontal="right" vertical="center"/>
    </xf>
    <xf numFmtId="0" fontId="4" fillId="0" borderId="138" xfId="0" applyFont="1" applyBorder="1" applyAlignment="1">
      <alignment horizontal="center"/>
    </xf>
    <xf numFmtId="0" fontId="4" fillId="0" borderId="148" xfId="0" applyFont="1" applyBorder="1"/>
    <xf numFmtId="0" fontId="4" fillId="0" borderId="138" xfId="0" applyFont="1" applyBorder="1" applyAlignment="1">
      <alignment wrapText="1"/>
    </xf>
    <xf numFmtId="164" fontId="4" fillId="0" borderId="138" xfId="7" applyNumberFormat="1" applyFont="1" applyBorder="1"/>
    <xf numFmtId="164" fontId="4" fillId="0" borderId="147" xfId="7" applyNumberFormat="1" applyFont="1" applyBorder="1"/>
    <xf numFmtId="0" fontId="14" fillId="0" borderId="138" xfId="0" applyFont="1" applyBorder="1" applyAlignment="1">
      <alignment horizontal="left" wrapText="1" indent="2"/>
    </xf>
    <xf numFmtId="169" fontId="26" fillId="37" borderId="138" xfId="20" applyBorder="1"/>
    <xf numFmtId="164" fontId="4" fillId="0" borderId="138" xfId="7" applyNumberFormat="1" applyFont="1" applyBorder="1" applyAlignment="1">
      <alignment vertical="center"/>
    </xf>
    <xf numFmtId="0" fontId="6" fillId="0" borderId="148" xfId="0" applyFont="1" applyBorder="1"/>
    <xf numFmtId="0" fontId="6" fillId="0" borderId="138" xfId="0" applyFont="1" applyBorder="1" applyAlignment="1">
      <alignment wrapText="1"/>
    </xf>
    <xf numFmtId="164" fontId="6" fillId="0" borderId="147" xfId="7" applyNumberFormat="1" applyFont="1" applyBorder="1"/>
    <xf numFmtId="164" fontId="4" fillId="0" borderId="138" xfId="7" applyNumberFormat="1" applyFont="1" applyFill="1" applyBorder="1"/>
    <xf numFmtId="0" fontId="14" fillId="0" borderId="138" xfId="0" applyFont="1" applyBorder="1" applyAlignment="1">
      <alignment horizontal="left" wrapText="1" indent="4"/>
    </xf>
    <xf numFmtId="0" fontId="6" fillId="0" borderId="146" xfId="0" applyFont="1" applyBorder="1"/>
    <xf numFmtId="0" fontId="6" fillId="0" borderId="145" xfId="0" applyFont="1" applyBorder="1" applyAlignment="1">
      <alignment wrapText="1"/>
    </xf>
    <xf numFmtId="10" fontId="6" fillId="0" borderId="144" xfId="20961" applyNumberFormat="1" applyFont="1" applyBorder="1"/>
    <xf numFmtId="164" fontId="120" fillId="0" borderId="132" xfId="7" applyNumberFormat="1" applyFont="1" applyBorder="1"/>
    <xf numFmtId="164" fontId="117" fillId="0" borderId="132" xfId="7" applyNumberFormat="1" applyFont="1" applyBorder="1"/>
    <xf numFmtId="3" fontId="116" fillId="0" borderId="138" xfId="0" applyNumberFormat="1" applyFont="1" applyBorder="1" applyAlignment="1">
      <alignment horizontal="left" indent="1"/>
    </xf>
    <xf numFmtId="3" fontId="116" fillId="0" borderId="138" xfId="0" applyNumberFormat="1" applyFont="1" applyBorder="1"/>
    <xf numFmtId="43" fontId="120" fillId="0" borderId="138" xfId="7" applyFont="1" applyBorder="1"/>
    <xf numFmtId="43" fontId="117" fillId="0" borderId="0" xfId="7" applyFont="1"/>
    <xf numFmtId="43" fontId="117" fillId="0" borderId="0" xfId="0" applyNumberFormat="1" applyFont="1"/>
    <xf numFmtId="43" fontId="120" fillId="0" borderId="0" xfId="0" applyNumberFormat="1" applyFont="1"/>
    <xf numFmtId="10" fontId="9" fillId="0" borderId="95" xfId="20961" applyNumberFormat="1" applyFont="1" applyFill="1" applyBorder="1" applyAlignment="1" applyProtection="1">
      <alignment vertical="center"/>
      <protection locked="0"/>
    </xf>
    <xf numFmtId="10" fontId="17" fillId="0" borderId="95" xfId="20961" applyNumberFormat="1" applyFont="1" applyFill="1" applyBorder="1" applyAlignment="1" applyProtection="1">
      <alignment vertical="center"/>
      <protection locked="0"/>
    </xf>
    <xf numFmtId="10" fontId="17" fillId="0" borderId="107" xfId="20961" applyNumberFormat="1" applyFont="1" applyFill="1" applyBorder="1" applyAlignment="1" applyProtection="1">
      <alignment vertical="center"/>
      <protection locked="0"/>
    </xf>
    <xf numFmtId="193" fontId="9" fillId="0" borderId="107" xfId="0" applyNumberFormat="1" applyFont="1" applyBorder="1" applyAlignment="1" applyProtection="1">
      <alignment vertical="center"/>
      <protection locked="0"/>
    </xf>
    <xf numFmtId="193" fontId="17" fillId="0" borderId="107" xfId="0" applyNumberFormat="1" applyFont="1" applyBorder="1" applyAlignment="1" applyProtection="1">
      <alignment vertical="center"/>
      <protection locked="0"/>
    </xf>
    <xf numFmtId="193" fontId="9" fillId="0" borderId="95" xfId="0" applyNumberFormat="1" applyFont="1" applyBorder="1" applyAlignment="1" applyProtection="1">
      <alignment vertical="center"/>
      <protection locked="0"/>
    </xf>
    <xf numFmtId="193" fontId="17" fillId="0" borderId="95" xfId="0" applyNumberFormat="1" applyFont="1" applyBorder="1" applyAlignment="1" applyProtection="1">
      <alignment vertical="center"/>
      <protection locked="0"/>
    </xf>
    <xf numFmtId="0" fontId="104" fillId="0" borderId="63" xfId="0" applyFont="1" applyBorder="1" applyAlignment="1">
      <alignment horizontal="left" vertical="center" wrapText="1"/>
    </xf>
    <xf numFmtId="0" fontId="104" fillId="0" borderId="62" xfId="0" applyFont="1" applyBorder="1" applyAlignment="1">
      <alignment horizontal="left" vertical="center" wrapText="1"/>
    </xf>
    <xf numFmtId="0" fontId="141" fillId="0" borderId="151" xfId="0" applyFont="1" applyBorder="1" applyAlignment="1">
      <alignment horizontal="center" vertical="center"/>
    </xf>
    <xf numFmtId="0" fontId="141" fillId="0" borderId="29" xfId="0" applyFont="1" applyBorder="1" applyAlignment="1">
      <alignment horizontal="center" vertical="center"/>
    </xf>
    <xf numFmtId="0" fontId="141" fillId="0" borderId="152" xfId="0" applyFont="1" applyBorder="1" applyAlignment="1">
      <alignment horizontal="center" vertical="center"/>
    </xf>
    <xf numFmtId="0" fontId="142" fillId="0" borderId="151" xfId="0" applyFont="1" applyBorder="1" applyAlignment="1">
      <alignment horizontal="center" wrapText="1"/>
    </xf>
    <xf numFmtId="0" fontId="142" fillId="0" borderId="29" xfId="0" applyFont="1" applyBorder="1" applyAlignment="1">
      <alignment horizontal="center" wrapText="1"/>
    </xf>
    <xf numFmtId="0" fontId="142" fillId="0" borderId="152" xfId="0" applyFont="1" applyBorder="1" applyAlignment="1">
      <alignment horizontal="center" wrapText="1"/>
    </xf>
    <xf numFmtId="43" fontId="0" fillId="0" borderId="96" xfId="7" applyFont="1" applyBorder="1" applyAlignment="1">
      <alignment horizontal="center"/>
    </xf>
    <xf numFmtId="43" fontId="0" fillId="0" borderId="93" xfId="7" applyFont="1" applyBorder="1" applyAlignment="1">
      <alignment horizontal="center"/>
    </xf>
    <xf numFmtId="43" fontId="0" fillId="0" borderId="94" xfId="7" applyFont="1" applyBorder="1" applyAlignment="1">
      <alignment horizontal="center"/>
    </xf>
    <xf numFmtId="43" fontId="0" fillId="0" borderId="133" xfId="7" applyFont="1" applyBorder="1" applyAlignment="1">
      <alignment horizontal="center"/>
    </xf>
    <xf numFmtId="43" fontId="0" fillId="0" borderId="134" xfId="7" applyFont="1" applyBorder="1" applyAlignment="1">
      <alignment horizontal="center"/>
    </xf>
    <xf numFmtId="43" fontId="0" fillId="0" borderId="135" xfId="7" applyFont="1" applyBorder="1" applyAlignment="1">
      <alignment horizontal="center"/>
    </xf>
    <xf numFmtId="0" fontId="0" fillId="0" borderId="132" xfId="0" applyBorder="1" applyAlignment="1">
      <alignment horizontal="center" vertical="center"/>
    </xf>
    <xf numFmtId="0" fontId="128" fillId="0" borderId="91"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6"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128" fillId="0" borderId="5" xfId="0" applyFont="1" applyBorder="1" applyAlignment="1">
      <alignment horizontal="center" vertical="center" wrapText="1"/>
    </xf>
    <xf numFmtId="0" fontId="128" fillId="0" borderId="7" xfId="0" applyFont="1" applyBorder="1" applyAlignment="1">
      <alignment horizontal="center" vertical="center" wrapText="1"/>
    </xf>
    <xf numFmtId="43" fontId="10" fillId="0" borderId="17" xfId="7" applyFont="1" applyBorder="1" applyAlignment="1">
      <alignment horizontal="center" vertical="center"/>
    </xf>
    <xf numFmtId="43" fontId="10" fillId="0" borderId="18" xfId="7" applyFont="1"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132"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xf>
    <xf numFmtId="0" fontId="4" fillId="0" borderId="21" xfId="0" applyFont="1" applyBorder="1" applyAlignment="1">
      <alignment horizontal="center"/>
    </xf>
    <xf numFmtId="0" fontId="6" fillId="36" borderId="111"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08"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01" fillId="3" borderId="64" xfId="13" applyFont="1" applyFill="1" applyBorder="1" applyAlignment="1" applyProtection="1">
      <alignment horizontal="center" vertical="center" wrapText="1"/>
      <protection locked="0"/>
    </xf>
    <xf numFmtId="0" fontId="101" fillId="3" borderId="6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7" xfId="1" applyNumberFormat="1" applyFont="1" applyFill="1" applyBorder="1" applyAlignment="1" applyProtection="1">
      <alignment horizontal="center" vertical="center" wrapText="1"/>
      <protection locked="0"/>
    </xf>
    <xf numFmtId="164" fontId="15" fillId="0" borderId="88" xfId="1"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1" xfId="0" applyFont="1" applyBorder="1" applyAlignment="1">
      <alignment horizontal="center"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47" xfId="0" applyFont="1" applyBorder="1" applyAlignment="1">
      <alignment horizontal="center" vertical="center" wrapText="1"/>
    </xf>
    <xf numFmtId="0" fontId="119" fillId="0" borderId="114" xfId="0" applyFont="1" applyBorder="1" applyAlignment="1">
      <alignment horizontal="left" vertical="center" wrapText="1"/>
    </xf>
    <xf numFmtId="0" fontId="119" fillId="0" borderId="115" xfId="0" applyFont="1" applyBorder="1" applyAlignment="1">
      <alignment horizontal="left" vertical="center" wrapText="1"/>
    </xf>
    <xf numFmtId="0" fontId="119" fillId="0" borderId="117" xfId="0" applyFont="1" applyBorder="1" applyAlignment="1">
      <alignment horizontal="left" vertical="center" wrapText="1"/>
    </xf>
    <xf numFmtId="0" fontId="119" fillId="0" borderId="118"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1" xfId="0" applyFont="1" applyBorder="1" applyAlignment="1">
      <alignment horizontal="left" vertical="center" wrapText="1"/>
    </xf>
    <xf numFmtId="0" fontId="120" fillId="0" borderId="137" xfId="0" applyFont="1" applyBorder="1" applyAlignment="1">
      <alignment horizontal="center" vertical="center" wrapText="1"/>
    </xf>
    <xf numFmtId="0" fontId="120" fillId="0" borderId="136" xfId="0" applyFont="1" applyBorder="1" applyAlignment="1">
      <alignment horizontal="center" vertical="center" wrapText="1"/>
    </xf>
    <xf numFmtId="0" fontId="120" fillId="0" borderId="116" xfId="0" applyFont="1" applyBorder="1" applyAlignment="1">
      <alignment horizontal="center" vertical="center" wrapText="1"/>
    </xf>
    <xf numFmtId="0" fontId="120" fillId="0" borderId="52" xfId="0" applyFont="1" applyBorder="1" applyAlignment="1">
      <alignment horizontal="center" vertical="center" wrapText="1"/>
    </xf>
    <xf numFmtId="0" fontId="120" fillId="0" borderId="119"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38" xfId="0" applyFont="1" applyBorder="1" applyAlignment="1">
      <alignment horizontal="center" vertical="center" wrapText="1"/>
    </xf>
    <xf numFmtId="0" fontId="116" fillId="0" borderId="141" xfId="0" applyFont="1" applyBorder="1" applyAlignment="1">
      <alignment horizontal="center" vertical="center" wrapText="1"/>
    </xf>
    <xf numFmtId="0" fontId="116" fillId="0" borderId="140" xfId="0" applyFont="1" applyBorder="1" applyAlignment="1">
      <alignment horizontal="center" vertical="center" wrapText="1"/>
    </xf>
    <xf numFmtId="0" fontId="124" fillId="0" borderId="138" xfId="0" applyFont="1" applyBorder="1" applyAlignment="1">
      <alignment horizontal="center" vertical="center"/>
    </xf>
    <xf numFmtId="0" fontId="118" fillId="0" borderId="137" xfId="0" applyFont="1" applyBorder="1" applyAlignment="1">
      <alignment horizontal="center" vertical="center"/>
    </xf>
    <xf numFmtId="0" fontId="118" fillId="0" borderId="142" xfId="0" applyFont="1" applyBorder="1" applyAlignment="1">
      <alignment horizontal="center" vertical="center"/>
    </xf>
    <xf numFmtId="0" fontId="118" fillId="0" borderId="52" xfId="0" applyFont="1" applyBorder="1" applyAlignment="1">
      <alignment horizontal="center" vertical="center"/>
    </xf>
    <xf numFmtId="0" fontId="118" fillId="0" borderId="11" xfId="0" applyFont="1" applyBorder="1" applyAlignment="1">
      <alignment horizontal="center" vertical="center"/>
    </xf>
    <xf numFmtId="0" fontId="119" fillId="0" borderId="138"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142"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23"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43" xfId="0" applyFont="1" applyBorder="1" applyAlignment="1">
      <alignment horizontal="center" vertical="center" wrapText="1"/>
    </xf>
    <xf numFmtId="0" fontId="119" fillId="0" borderId="124"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4" xfId="0" applyFont="1" applyBorder="1" applyAlignment="1">
      <alignment horizontal="center" vertical="center" wrapText="1"/>
    </xf>
    <xf numFmtId="0" fontId="116" fillId="0" borderId="137" xfId="0" applyFont="1" applyBorder="1" applyAlignment="1">
      <alignment horizontal="center" vertical="center" wrapText="1"/>
    </xf>
    <xf numFmtId="0" fontId="116" fillId="0" borderId="136"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53"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101" xfId="0" applyFont="1" applyBorder="1" applyAlignment="1">
      <alignment horizontal="center" vertical="center" wrapText="1"/>
    </xf>
    <xf numFmtId="0" fontId="119" fillId="0" borderId="53" xfId="0" applyFont="1" applyBorder="1" applyAlignment="1">
      <alignment horizontal="left" vertical="top" wrapText="1"/>
    </xf>
    <xf numFmtId="0" fontId="119" fillId="0" borderId="101" xfId="0" applyFont="1" applyBorder="1" applyAlignment="1">
      <alignment horizontal="left" vertical="top" wrapText="1"/>
    </xf>
    <xf numFmtId="0" fontId="119" fillId="0" borderId="60" xfId="0" applyFont="1" applyBorder="1" applyAlignment="1">
      <alignment horizontal="left" vertical="top" wrapText="1"/>
    </xf>
    <xf numFmtId="0" fontId="119" fillId="0" borderId="89" xfId="0" applyFont="1" applyBorder="1" applyAlignment="1">
      <alignment horizontal="left" vertical="top" wrapText="1"/>
    </xf>
    <xf numFmtId="0" fontId="119" fillId="0" borderId="113" xfId="0" applyFont="1" applyBorder="1" applyAlignment="1">
      <alignment horizontal="left" vertical="top" wrapText="1"/>
    </xf>
    <xf numFmtId="0" fontId="119" fillId="0" borderId="149" xfId="0" applyFont="1" applyBorder="1" applyAlignment="1">
      <alignment horizontal="left" vertical="top" wrapText="1"/>
    </xf>
    <xf numFmtId="0" fontId="119" fillId="0" borderId="150" xfId="0" applyFont="1" applyBorder="1" applyAlignment="1">
      <alignment horizontal="center" vertical="center" wrapText="1"/>
    </xf>
    <xf numFmtId="0" fontId="119" fillId="0" borderId="66" xfId="0" applyFont="1" applyBorder="1" applyAlignment="1">
      <alignment horizontal="center" vertical="center" wrapText="1"/>
    </xf>
    <xf numFmtId="0" fontId="116" fillId="0" borderId="137" xfId="0" applyFont="1" applyBorder="1" applyAlignment="1">
      <alignment horizontal="center" vertical="top" wrapText="1"/>
    </xf>
    <xf numFmtId="0" fontId="116" fillId="0" borderId="136" xfId="0" applyFont="1" applyBorder="1" applyAlignment="1">
      <alignment horizontal="center" vertical="top" wrapText="1"/>
    </xf>
    <xf numFmtId="0" fontId="116" fillId="0" borderId="143" xfId="0" applyFont="1" applyBorder="1" applyAlignment="1">
      <alignment horizontal="center" vertical="top" wrapText="1"/>
    </xf>
    <xf numFmtId="0" fontId="116" fillId="0" borderId="140" xfId="0" applyFont="1" applyBorder="1" applyAlignment="1">
      <alignment horizontal="center" vertical="top" wrapText="1"/>
    </xf>
    <xf numFmtId="0" fontId="105" fillId="0" borderId="125" xfId="0" applyFont="1" applyBorder="1" applyAlignment="1">
      <alignment horizontal="left" vertical="top" wrapText="1"/>
    </xf>
    <xf numFmtId="0" fontId="105" fillId="0" borderId="126" xfId="0" applyFont="1" applyBorder="1" applyAlignment="1">
      <alignment horizontal="left" vertical="top" wrapText="1"/>
    </xf>
    <xf numFmtId="0" fontId="122" fillId="0" borderId="138" xfId="0" applyFont="1" applyBorder="1" applyAlignment="1">
      <alignment horizontal="center" vertical="center"/>
    </xf>
    <xf numFmtId="0" fontId="121" fillId="0" borderId="138" xfId="0" applyFont="1" applyBorder="1" applyAlignment="1">
      <alignment horizontal="center" vertical="center" wrapText="1"/>
    </xf>
    <xf numFmtId="0" fontId="121" fillId="0" borderId="139" xfId="0" applyFont="1" applyBorder="1" applyAlignment="1">
      <alignment horizontal="center" vertical="center" wrapText="1"/>
    </xf>
    <xf numFmtId="0" fontId="105" fillId="0" borderId="67" xfId="0" applyFont="1" applyBorder="1" applyAlignment="1">
      <alignment horizontal="center" vertical="center"/>
    </xf>
    <xf numFmtId="0" fontId="105" fillId="0" borderId="68" xfId="0" applyFont="1" applyBorder="1" applyAlignment="1">
      <alignment horizontal="center" vertical="center"/>
    </xf>
    <xf numFmtId="0" fontId="105" fillId="0" borderId="69" xfId="0" applyFont="1" applyBorder="1" applyAlignment="1">
      <alignment horizontal="center" vertical="center"/>
    </xf>
    <xf numFmtId="0" fontId="106" fillId="0" borderId="95" xfId="0" applyFont="1" applyBorder="1" applyAlignment="1">
      <alignment horizontal="left" vertical="center" wrapText="1"/>
    </xf>
    <xf numFmtId="0" fontId="105" fillId="76" borderId="70" xfId="0" applyFont="1" applyFill="1" applyBorder="1" applyAlignment="1">
      <alignment horizontal="center"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6" fillId="0" borderId="52"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6" xfId="0" applyFont="1" applyBorder="1" applyAlignment="1">
      <alignment horizontal="left" vertical="center" wrapText="1"/>
    </xf>
    <xf numFmtId="0" fontId="106" fillId="0" borderId="94" xfId="0" applyFont="1" applyBorder="1" applyAlignment="1">
      <alignment horizontal="left" vertical="center" wrapText="1"/>
    </xf>
    <xf numFmtId="0" fontId="106" fillId="3" borderId="96" xfId="0" applyFont="1" applyFill="1" applyBorder="1" applyAlignment="1">
      <alignment vertical="center" wrapText="1"/>
    </xf>
    <xf numFmtId="0" fontId="106" fillId="3" borderId="94" xfId="0" applyFont="1" applyFill="1" applyBorder="1" applyAlignment="1">
      <alignment vertical="center" wrapText="1"/>
    </xf>
    <xf numFmtId="0" fontId="126" fillId="3" borderId="96" xfId="0" applyFont="1" applyFill="1" applyBorder="1" applyAlignment="1">
      <alignment vertical="center" wrapText="1"/>
    </xf>
    <xf numFmtId="0" fontId="126" fillId="3" borderId="94" xfId="0" applyFont="1" applyFill="1" applyBorder="1" applyAlignment="1">
      <alignment vertical="center" wrapText="1"/>
    </xf>
    <xf numFmtId="0" fontId="106" fillId="0" borderId="96" xfId="0" applyFont="1" applyBorder="1" applyAlignment="1">
      <alignment horizontal="left"/>
    </xf>
    <xf numFmtId="0" fontId="106" fillId="0" borderId="94" xfId="0" applyFont="1" applyBorder="1" applyAlignment="1">
      <alignment horizontal="left"/>
    </xf>
    <xf numFmtId="0" fontId="106" fillId="82" borderId="96" xfId="0" applyFont="1" applyFill="1" applyBorder="1" applyAlignment="1">
      <alignment vertical="center" wrapText="1"/>
    </xf>
    <xf numFmtId="0" fontId="106" fillId="82" borderId="94" xfId="0" applyFont="1" applyFill="1" applyBorder="1" applyAlignment="1">
      <alignment vertical="center" wrapText="1"/>
    </xf>
    <xf numFmtId="0" fontId="106" fillId="82" borderId="133" xfId="0" applyFont="1" applyFill="1" applyBorder="1" applyAlignment="1">
      <alignment horizontal="left" vertical="center" wrapText="1"/>
    </xf>
    <xf numFmtId="0" fontId="106" fillId="82" borderId="134" xfId="0" applyFont="1" applyFill="1" applyBorder="1" applyAlignment="1">
      <alignment horizontal="left" vertical="center" wrapText="1"/>
    </xf>
    <xf numFmtId="0" fontId="106" fillId="82" borderId="135" xfId="0" applyFont="1" applyFill="1" applyBorder="1" applyAlignment="1">
      <alignment horizontal="left" vertical="center" wrapText="1"/>
    </xf>
    <xf numFmtId="0" fontId="106" fillId="3" borderId="74"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82" borderId="77"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0" borderId="74" xfId="0" applyFont="1" applyBorder="1" applyAlignment="1">
      <alignment horizontal="left" vertical="center" wrapText="1"/>
    </xf>
    <xf numFmtId="0" fontId="106" fillId="0" borderId="75" xfId="0" applyFont="1" applyBorder="1" applyAlignment="1">
      <alignment horizontal="left" vertical="center" wrapText="1"/>
    </xf>
    <xf numFmtId="0" fontId="106" fillId="3" borderId="96" xfId="0" applyFont="1" applyFill="1" applyBorder="1" applyAlignment="1">
      <alignment horizontal="left" vertical="center" wrapText="1"/>
    </xf>
    <xf numFmtId="0" fontId="106" fillId="3" borderId="94" xfId="0" applyFont="1" applyFill="1" applyBorder="1" applyAlignment="1">
      <alignment horizontal="left" vertical="center" wrapText="1"/>
    </xf>
    <xf numFmtId="0" fontId="105" fillId="76" borderId="79"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0" xfId="0" applyFont="1" applyFill="1" applyBorder="1" applyAlignment="1">
      <alignment horizontal="center" vertical="center" wrapText="1"/>
    </xf>
    <xf numFmtId="0" fontId="106" fillId="77" borderId="96" xfId="0" applyFont="1" applyFill="1" applyBorder="1" applyAlignment="1">
      <alignment vertical="center" wrapText="1"/>
    </xf>
    <xf numFmtId="0" fontId="106" fillId="77" borderId="94" xfId="0" applyFont="1" applyFill="1" applyBorder="1" applyAlignment="1">
      <alignment vertical="center" wrapText="1"/>
    </xf>
    <xf numFmtId="0" fontId="106" fillId="0" borderId="96" xfId="0" applyFont="1" applyBorder="1" applyAlignment="1">
      <alignment vertical="center" wrapText="1"/>
    </xf>
    <xf numFmtId="0" fontId="106" fillId="0" borderId="94" xfId="0" applyFont="1" applyBorder="1" applyAlignment="1">
      <alignment vertical="center" wrapText="1"/>
    </xf>
    <xf numFmtId="0" fontId="105" fillId="76" borderId="84" xfId="0" applyFont="1" applyFill="1" applyBorder="1" applyAlignment="1">
      <alignment horizontal="center" vertical="center"/>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138" xfId="0" applyFont="1" applyFill="1" applyBorder="1" applyAlignment="1">
      <alignment horizontal="center" vertical="center" wrapText="1"/>
    </xf>
    <xf numFmtId="0" fontId="105" fillId="0" borderId="138" xfId="0" applyFont="1" applyBorder="1" applyAlignment="1">
      <alignment horizontal="center" vertical="center"/>
    </xf>
    <xf numFmtId="0" fontId="106" fillId="0" borderId="141" xfId="13" applyFont="1" applyBorder="1" applyAlignment="1" applyProtection="1">
      <alignment horizontal="left" vertical="top" wrapText="1"/>
      <protection locked="0"/>
    </xf>
    <xf numFmtId="0" fontId="106" fillId="0" borderId="140" xfId="13" applyFont="1" applyBorder="1" applyAlignment="1" applyProtection="1">
      <alignment horizontal="left" vertical="top" wrapText="1"/>
      <protection locked="0"/>
    </xf>
    <xf numFmtId="0" fontId="106" fillId="3" borderId="141" xfId="13" applyFont="1" applyFill="1" applyBorder="1" applyAlignment="1" applyProtection="1">
      <alignment horizontal="left" vertical="top" wrapText="1"/>
      <protection locked="0"/>
    </xf>
    <xf numFmtId="0" fontId="106" fillId="3" borderId="140" xfId="13" applyFont="1" applyFill="1" applyBorder="1" applyAlignment="1" applyProtection="1">
      <alignment horizontal="left" vertical="top" wrapText="1"/>
      <protection locked="0"/>
    </xf>
    <xf numFmtId="0" fontId="105" fillId="0" borderId="82" xfId="0" applyFont="1" applyBorder="1" applyAlignment="1">
      <alignment horizontal="center" vertical="center"/>
    </xf>
    <xf numFmtId="49" fontId="106" fillId="0" borderId="0" xfId="0" applyNumberFormat="1" applyFont="1" applyAlignment="1">
      <alignment horizontal="center" vertical="center"/>
    </xf>
    <xf numFmtId="0" fontId="105" fillId="76" borderId="141" xfId="0" applyFont="1" applyFill="1" applyBorder="1" applyAlignment="1">
      <alignment horizontal="center" vertical="center" wrapText="1"/>
    </xf>
    <xf numFmtId="0" fontId="105" fillId="76" borderId="140" xfId="0" applyFont="1" applyFill="1" applyBorder="1" applyAlignment="1">
      <alignment horizontal="center" vertical="center" wrapText="1"/>
    </xf>
    <xf numFmtId="0" fontId="106" fillId="0" borderId="141" xfId="0" applyFont="1" applyBorder="1" applyAlignment="1">
      <alignment horizontal="left" vertical="center" wrapText="1"/>
    </xf>
    <xf numFmtId="0" fontId="106" fillId="0" borderId="140" xfId="0" applyFont="1" applyBorder="1" applyAlignment="1">
      <alignment horizontal="left" vertical="center" wrapText="1"/>
    </xf>
    <xf numFmtId="0" fontId="106" fillId="0" borderId="138" xfId="0" applyFont="1" applyBorder="1" applyAlignment="1">
      <alignment horizontal="left" vertical="top" wrapText="1"/>
    </xf>
    <xf numFmtId="0" fontId="106" fillId="0" borderId="141" xfId="0" applyFont="1" applyBorder="1" applyAlignment="1">
      <alignment horizontal="left" vertical="top" wrapText="1"/>
    </xf>
    <xf numFmtId="0" fontId="106" fillId="0" borderId="138" xfId="0" applyFont="1" applyBorder="1" applyAlignment="1">
      <alignment horizontal="left" vertical="center" wrapText="1"/>
    </xf>
    <xf numFmtId="0" fontId="106" fillId="0" borderId="138" xfId="0" applyFont="1" applyBorder="1" applyAlignment="1">
      <alignment horizontal="center"/>
    </xf>
    <xf numFmtId="0" fontId="106" fillId="0" borderId="140" xfId="0" applyFont="1" applyBorder="1" applyAlignment="1">
      <alignment horizontal="left" vertical="top" wrapText="1"/>
    </xf>
    <xf numFmtId="43" fontId="117" fillId="0" borderId="138" xfId="7" applyFont="1" applyFill="1" applyBorder="1"/>
    <xf numFmtId="0" fontId="119" fillId="0" borderId="138" xfId="0" applyFont="1" applyFill="1" applyBorder="1"/>
    <xf numFmtId="0" fontId="116" fillId="0" borderId="11" xfId="0" applyFont="1" applyFill="1" applyBorder="1" applyAlignment="1">
      <alignment horizontal="center" vertical="center" wrapText="1"/>
    </xf>
    <xf numFmtId="0" fontId="116" fillId="0" borderId="138" xfId="0" applyFont="1" applyFill="1" applyBorder="1"/>
    <xf numFmtId="0" fontId="116" fillId="0" borderId="138" xfId="0" applyFont="1" applyFill="1" applyBorder="1" applyAlignment="1">
      <alignment horizontal="center" vertical="center"/>
    </xf>
    <xf numFmtId="0" fontId="116" fillId="0" borderId="0" xfId="0" applyFont="1" applyFill="1" applyAlignment="1">
      <alignment horizontal="center" vertical="center"/>
    </xf>
    <xf numFmtId="0" fontId="121" fillId="0" borderId="138" xfId="0" applyFont="1" applyFill="1" applyBorder="1"/>
    <xf numFmtId="9" fontId="121" fillId="0" borderId="138" xfId="20961" applyFont="1" applyFill="1" applyBorder="1"/>
    <xf numFmtId="43" fontId="121" fillId="0" borderId="138" xfId="7" applyFont="1" applyFill="1" applyBorder="1"/>
    <xf numFmtId="0" fontId="121" fillId="0" borderId="139" xfId="0" applyFont="1" applyFill="1" applyBorder="1"/>
    <xf numFmtId="9" fontId="121" fillId="0" borderId="139" xfId="20961" applyFont="1" applyFill="1" applyBorder="1"/>
    <xf numFmtId="43" fontId="121" fillId="0" borderId="139" xfId="7" applyFont="1" applyFill="1" applyBorder="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sheetView>
  </sheetViews>
  <sheetFormatPr defaultRowHeight="14.4"/>
  <cols>
    <col min="1" max="1" width="10.21875" style="1" customWidth="1"/>
    <col min="2" max="2" width="153" bestFit="1" customWidth="1"/>
    <col min="3" max="3" width="39.44140625" customWidth="1"/>
    <col min="7" max="7" width="25" customWidth="1"/>
  </cols>
  <sheetData>
    <row r="1" spans="1:3">
      <c r="A1" s="6"/>
      <c r="B1" s="116" t="s">
        <v>160</v>
      </c>
      <c r="C1" s="46"/>
    </row>
    <row r="2" spans="1:3" s="113" customFormat="1">
      <c r="A2" s="156">
        <v>1</v>
      </c>
      <c r="B2" s="114" t="s">
        <v>161</v>
      </c>
      <c r="C2" s="573" t="s">
        <v>962</v>
      </c>
    </row>
    <row r="3" spans="1:3" s="113" customFormat="1">
      <c r="A3" s="156">
        <v>2</v>
      </c>
      <c r="B3" s="115" t="s">
        <v>162</v>
      </c>
      <c r="C3" s="573" t="s">
        <v>963</v>
      </c>
    </row>
    <row r="4" spans="1:3" s="113" customFormat="1">
      <c r="A4" s="156">
        <v>3</v>
      </c>
      <c r="B4" s="115" t="s">
        <v>163</v>
      </c>
      <c r="C4" s="573" t="s">
        <v>964</v>
      </c>
    </row>
    <row r="5" spans="1:3" s="113" customFormat="1">
      <c r="A5" s="157">
        <v>4</v>
      </c>
      <c r="B5" s="118" t="s">
        <v>164</v>
      </c>
      <c r="C5" s="573" t="s">
        <v>965</v>
      </c>
    </row>
    <row r="6" spans="1:3" s="117" customFormat="1" ht="65.25" customHeight="1">
      <c r="A6" s="742" t="s">
        <v>322</v>
      </c>
      <c r="B6" s="743"/>
      <c r="C6" s="743"/>
    </row>
    <row r="7" spans="1:3">
      <c r="A7" s="251" t="s">
        <v>252</v>
      </c>
      <c r="B7" s="252" t="s">
        <v>165</v>
      </c>
    </row>
    <row r="8" spans="1:3">
      <c r="A8" s="253">
        <v>1</v>
      </c>
      <c r="B8" s="249" t="s">
        <v>140</v>
      </c>
    </row>
    <row r="9" spans="1:3">
      <c r="A9" s="253">
        <v>2</v>
      </c>
      <c r="B9" s="249" t="s">
        <v>166</v>
      </c>
    </row>
    <row r="10" spans="1:3">
      <c r="A10" s="253">
        <v>3</v>
      </c>
      <c r="B10" s="249" t="s">
        <v>167</v>
      </c>
    </row>
    <row r="11" spans="1:3">
      <c r="A11" s="253">
        <v>4</v>
      </c>
      <c r="B11" s="249" t="s">
        <v>168</v>
      </c>
    </row>
    <row r="12" spans="1:3">
      <c r="A12" s="253">
        <v>5</v>
      </c>
      <c r="B12" s="249" t="s">
        <v>108</v>
      </c>
    </row>
    <row r="13" spans="1:3">
      <c r="A13" s="253">
        <v>6</v>
      </c>
      <c r="B13" s="254" t="s">
        <v>92</v>
      </c>
    </row>
    <row r="14" spans="1:3">
      <c r="A14" s="253">
        <v>7</v>
      </c>
      <c r="B14" s="249" t="s">
        <v>169</v>
      </c>
    </row>
    <row r="15" spans="1:3">
      <c r="A15" s="253">
        <v>8</v>
      </c>
      <c r="B15" s="249" t="s">
        <v>172</v>
      </c>
    </row>
    <row r="16" spans="1:3">
      <c r="A16" s="253">
        <v>9</v>
      </c>
      <c r="B16" s="249" t="s">
        <v>86</v>
      </c>
    </row>
    <row r="17" spans="1:2">
      <c r="A17" s="255" t="s">
        <v>379</v>
      </c>
      <c r="B17" s="249" t="s">
        <v>359</v>
      </c>
    </row>
    <row r="18" spans="1:2">
      <c r="A18" s="253">
        <v>10</v>
      </c>
      <c r="B18" s="249" t="s">
        <v>173</v>
      </c>
    </row>
    <row r="19" spans="1:2">
      <c r="A19" s="253">
        <v>11</v>
      </c>
      <c r="B19" s="254" t="s">
        <v>156</v>
      </c>
    </row>
    <row r="20" spans="1:2">
      <c r="A20" s="253">
        <v>12</v>
      </c>
      <c r="B20" s="254" t="s">
        <v>153</v>
      </c>
    </row>
    <row r="21" spans="1:2">
      <c r="A21" s="253">
        <v>13</v>
      </c>
      <c r="B21" s="256" t="s">
        <v>298</v>
      </c>
    </row>
    <row r="22" spans="1:2">
      <c r="A22" s="253">
        <v>14</v>
      </c>
      <c r="B22" s="249" t="s">
        <v>352</v>
      </c>
    </row>
    <row r="23" spans="1:2">
      <c r="A23" s="253">
        <v>15</v>
      </c>
      <c r="B23" s="249" t="s">
        <v>75</v>
      </c>
    </row>
    <row r="24" spans="1:2">
      <c r="A24" s="253">
        <v>15.1</v>
      </c>
      <c r="B24" s="249" t="s">
        <v>388</v>
      </c>
    </row>
    <row r="25" spans="1:2">
      <c r="A25" s="253">
        <v>16</v>
      </c>
      <c r="B25" s="249" t="s">
        <v>454</v>
      </c>
    </row>
    <row r="26" spans="1:2">
      <c r="A26" s="253">
        <v>17</v>
      </c>
      <c r="B26" s="249" t="s">
        <v>678</v>
      </c>
    </row>
    <row r="27" spans="1:2">
      <c r="A27" s="253">
        <v>18</v>
      </c>
      <c r="B27" s="249" t="s">
        <v>940</v>
      </c>
    </row>
    <row r="28" spans="1:2">
      <c r="A28" s="253">
        <v>19</v>
      </c>
      <c r="B28" s="249" t="s">
        <v>941</v>
      </c>
    </row>
    <row r="29" spans="1:2">
      <c r="A29" s="253">
        <v>20</v>
      </c>
      <c r="B29" s="249" t="s">
        <v>942</v>
      </c>
    </row>
    <row r="30" spans="1:2">
      <c r="A30" s="253">
        <v>21</v>
      </c>
      <c r="B30" s="249" t="s">
        <v>547</v>
      </c>
    </row>
    <row r="31" spans="1:2">
      <c r="A31" s="253">
        <v>22</v>
      </c>
      <c r="B31" s="249" t="s">
        <v>943</v>
      </c>
    </row>
    <row r="32" spans="1:2" ht="26.4">
      <c r="A32" s="253">
        <v>23</v>
      </c>
      <c r="B32" s="555" t="s">
        <v>939</v>
      </c>
    </row>
    <row r="33" spans="1:2">
      <c r="A33" s="253">
        <v>24</v>
      </c>
      <c r="B33" s="249" t="s">
        <v>944</v>
      </c>
    </row>
    <row r="34" spans="1:2">
      <c r="A34" s="253">
        <v>25</v>
      </c>
      <c r="B34" s="249" t="s">
        <v>945</v>
      </c>
    </row>
    <row r="35" spans="1:2">
      <c r="A35" s="253">
        <v>26</v>
      </c>
      <c r="B35" s="249" t="s">
        <v>724</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scale="41"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activeCell="C9" sqref="C9"/>
      <selection pane="topRight" activeCell="C9" sqref="C9"/>
      <selection pane="bottomLeft" activeCell="C9" sqref="C9"/>
      <selection pane="bottomRight"/>
    </sheetView>
  </sheetViews>
  <sheetFormatPr defaultRowHeight="14.4"/>
  <cols>
    <col min="1" max="1" width="9.5546875" style="1" bestFit="1" customWidth="1"/>
    <col min="2" max="2" width="132.44140625" style="1" customWidth="1"/>
    <col min="3" max="3" width="18.44140625" style="1" customWidth="1"/>
  </cols>
  <sheetData>
    <row r="1" spans="1:6">
      <c r="A1" s="12" t="s">
        <v>109</v>
      </c>
      <c r="B1" s="11" t="str">
        <f>Info!C2</f>
        <v>სს " პაშა ბანკი საქართველო"</v>
      </c>
      <c r="D1" s="1"/>
      <c r="E1" s="1"/>
      <c r="F1" s="1"/>
    </row>
    <row r="2" spans="1:6" s="12" customFormat="1" ht="15.75" customHeight="1">
      <c r="A2" s="12" t="s">
        <v>110</v>
      </c>
      <c r="B2" s="322">
        <f>'1. key ratios'!B2</f>
        <v>45016</v>
      </c>
    </row>
    <row r="3" spans="1:6" s="12" customFormat="1" ht="15.75" customHeight="1"/>
    <row r="4" spans="1:6" ht="15" thickBot="1">
      <c r="A4" s="1" t="s">
        <v>258</v>
      </c>
      <c r="B4" s="22" t="s">
        <v>86</v>
      </c>
    </row>
    <row r="5" spans="1:6">
      <c r="A5" s="77" t="s">
        <v>26</v>
      </c>
      <c r="B5" s="78"/>
      <c r="C5" s="79" t="s">
        <v>27</v>
      </c>
    </row>
    <row r="6" spans="1:6">
      <c r="A6" s="80">
        <v>1</v>
      </c>
      <c r="B6" s="42" t="s">
        <v>28</v>
      </c>
      <c r="C6" s="166">
        <f>SUM(C7:C11)</f>
        <v>101995246.18000001</v>
      </c>
    </row>
    <row r="7" spans="1:6">
      <c r="A7" s="80">
        <v>2</v>
      </c>
      <c r="B7" s="39" t="s">
        <v>29</v>
      </c>
      <c r="C7" s="167">
        <v>129000000</v>
      </c>
    </row>
    <row r="8" spans="1:6">
      <c r="A8" s="80">
        <v>3</v>
      </c>
      <c r="B8" s="34" t="s">
        <v>30</v>
      </c>
      <c r="C8" s="167"/>
    </row>
    <row r="9" spans="1:6">
      <c r="A9" s="80">
        <v>4</v>
      </c>
      <c r="B9" s="34" t="s">
        <v>31</v>
      </c>
      <c r="C9" s="167"/>
    </row>
    <row r="10" spans="1:6">
      <c r="A10" s="80">
        <v>5</v>
      </c>
      <c r="B10" s="34" t="s">
        <v>32</v>
      </c>
      <c r="C10" s="167"/>
    </row>
    <row r="11" spans="1:6">
      <c r="A11" s="80">
        <v>6</v>
      </c>
      <c r="B11" s="40" t="s">
        <v>33</v>
      </c>
      <c r="C11" s="167">
        <v>-27004753.82</v>
      </c>
    </row>
    <row r="12" spans="1:6" s="2" customFormat="1">
      <c r="A12" s="80">
        <v>7</v>
      </c>
      <c r="B12" s="42" t="s">
        <v>34</v>
      </c>
      <c r="C12" s="168">
        <f>SUM(C13:C28)</f>
        <v>5428708.8499999996</v>
      </c>
    </row>
    <row r="13" spans="1:6" s="2" customFormat="1">
      <c r="A13" s="80">
        <v>8</v>
      </c>
      <c r="B13" s="41" t="s">
        <v>35</v>
      </c>
      <c r="C13" s="169"/>
    </row>
    <row r="14" spans="1:6" s="2" customFormat="1" ht="27.6">
      <c r="A14" s="80">
        <v>9</v>
      </c>
      <c r="B14" s="35" t="s">
        <v>36</v>
      </c>
      <c r="C14" s="169"/>
    </row>
    <row r="15" spans="1:6" s="2" customFormat="1">
      <c r="A15" s="80">
        <v>10</v>
      </c>
      <c r="B15" s="36" t="s">
        <v>37</v>
      </c>
      <c r="C15" s="169">
        <v>5428708.8499999996</v>
      </c>
    </row>
    <row r="16" spans="1:6" s="2" customFormat="1">
      <c r="A16" s="80">
        <v>11</v>
      </c>
      <c r="B16" s="37" t="s">
        <v>38</v>
      </c>
      <c r="C16" s="169"/>
    </row>
    <row r="17" spans="1:3" s="2" customFormat="1">
      <c r="A17" s="80">
        <v>12</v>
      </c>
      <c r="B17" s="36" t="s">
        <v>39</v>
      </c>
      <c r="C17" s="169"/>
    </row>
    <row r="18" spans="1:3" s="2" customFormat="1">
      <c r="A18" s="80">
        <v>13</v>
      </c>
      <c r="B18" s="36" t="s">
        <v>40</v>
      </c>
      <c r="C18" s="169"/>
    </row>
    <row r="19" spans="1:3" s="2" customFormat="1">
      <c r="A19" s="80">
        <v>14</v>
      </c>
      <c r="B19" s="36" t="s">
        <v>41</v>
      </c>
      <c r="C19" s="169"/>
    </row>
    <row r="20" spans="1:3" s="2" customFormat="1" ht="27.6">
      <c r="A20" s="80">
        <v>15</v>
      </c>
      <c r="B20" s="36" t="s">
        <v>42</v>
      </c>
      <c r="C20" s="169"/>
    </row>
    <row r="21" spans="1:3" s="2" customFormat="1" ht="27.6">
      <c r="A21" s="80">
        <v>16</v>
      </c>
      <c r="B21" s="35" t="s">
        <v>43</v>
      </c>
      <c r="C21" s="169"/>
    </row>
    <row r="22" spans="1:3" s="2" customFormat="1">
      <c r="A22" s="80">
        <v>17</v>
      </c>
      <c r="B22" s="81" t="s">
        <v>44</v>
      </c>
      <c r="C22" s="169"/>
    </row>
    <row r="23" spans="1:3" s="2" customFormat="1">
      <c r="A23" s="80">
        <v>18</v>
      </c>
      <c r="B23" s="556" t="s">
        <v>727</v>
      </c>
      <c r="C23" s="371"/>
    </row>
    <row r="24" spans="1:3" s="2" customFormat="1" ht="27.6">
      <c r="A24" s="80">
        <v>19</v>
      </c>
      <c r="B24" s="35" t="s">
        <v>45</v>
      </c>
      <c r="C24" s="169"/>
    </row>
    <row r="25" spans="1:3" s="2" customFormat="1" ht="27.6">
      <c r="A25" s="80">
        <v>20</v>
      </c>
      <c r="B25" s="35" t="s">
        <v>46</v>
      </c>
      <c r="C25" s="169"/>
    </row>
    <row r="26" spans="1:3" s="2" customFormat="1" ht="27.6">
      <c r="A26" s="80">
        <v>21</v>
      </c>
      <c r="B26" s="37" t="s">
        <v>47</v>
      </c>
      <c r="C26" s="169"/>
    </row>
    <row r="27" spans="1:3" s="2" customFormat="1">
      <c r="A27" s="80">
        <v>22</v>
      </c>
      <c r="B27" s="37" t="s">
        <v>48</v>
      </c>
      <c r="C27" s="169"/>
    </row>
    <row r="28" spans="1:3" s="2" customFormat="1" ht="27.6">
      <c r="A28" s="80">
        <v>23</v>
      </c>
      <c r="B28" s="37" t="s">
        <v>49</v>
      </c>
      <c r="C28" s="169"/>
    </row>
    <row r="29" spans="1:3" s="2" customFormat="1">
      <c r="A29" s="80">
        <v>24</v>
      </c>
      <c r="B29" s="43" t="s">
        <v>23</v>
      </c>
      <c r="C29" s="168">
        <f>C6-C12</f>
        <v>96566537.330000013</v>
      </c>
    </row>
    <row r="30" spans="1:3" s="2" customFormat="1">
      <c r="A30" s="82"/>
      <c r="B30" s="38"/>
      <c r="C30" s="169"/>
    </row>
    <row r="31" spans="1:3" s="2" customFormat="1">
      <c r="A31" s="82">
        <v>25</v>
      </c>
      <c r="B31" s="43" t="s">
        <v>50</v>
      </c>
      <c r="C31" s="168">
        <f>C32+C35</f>
        <v>0</v>
      </c>
    </row>
    <row r="32" spans="1:3" s="2" customFormat="1">
      <c r="A32" s="82">
        <v>26</v>
      </c>
      <c r="B32" s="34" t="s">
        <v>51</v>
      </c>
      <c r="C32" s="170">
        <f>C33+C34</f>
        <v>0</v>
      </c>
    </row>
    <row r="33" spans="1:3" s="2" customFormat="1">
      <c r="A33" s="82">
        <v>27</v>
      </c>
      <c r="B33" s="111" t="s">
        <v>52</v>
      </c>
      <c r="C33" s="169"/>
    </row>
    <row r="34" spans="1:3" s="2" customFormat="1">
      <c r="A34" s="82">
        <v>28</v>
      </c>
      <c r="B34" s="111" t="s">
        <v>53</v>
      </c>
      <c r="C34" s="169"/>
    </row>
    <row r="35" spans="1:3" s="2" customFormat="1">
      <c r="A35" s="82">
        <v>29</v>
      </c>
      <c r="B35" s="34" t="s">
        <v>54</v>
      </c>
      <c r="C35" s="169"/>
    </row>
    <row r="36" spans="1:3" s="2" customFormat="1">
      <c r="A36" s="82">
        <v>30</v>
      </c>
      <c r="B36" s="43" t="s">
        <v>55</v>
      </c>
      <c r="C36" s="168">
        <f>SUM(C37:C41)</f>
        <v>0</v>
      </c>
    </row>
    <row r="37" spans="1:3" s="2" customFormat="1">
      <c r="A37" s="82">
        <v>31</v>
      </c>
      <c r="B37" s="35" t="s">
        <v>56</v>
      </c>
      <c r="C37" s="169"/>
    </row>
    <row r="38" spans="1:3" s="2" customFormat="1">
      <c r="A38" s="82">
        <v>32</v>
      </c>
      <c r="B38" s="36" t="s">
        <v>57</v>
      </c>
      <c r="C38" s="169"/>
    </row>
    <row r="39" spans="1:3" s="2" customFormat="1" ht="27.6">
      <c r="A39" s="82">
        <v>33</v>
      </c>
      <c r="B39" s="35" t="s">
        <v>58</v>
      </c>
      <c r="C39" s="169"/>
    </row>
    <row r="40" spans="1:3" s="2" customFormat="1" ht="27.6">
      <c r="A40" s="82">
        <v>34</v>
      </c>
      <c r="B40" s="35" t="s">
        <v>46</v>
      </c>
      <c r="C40" s="169"/>
    </row>
    <row r="41" spans="1:3" s="2" customFormat="1" ht="27.6">
      <c r="A41" s="82">
        <v>35</v>
      </c>
      <c r="B41" s="37" t="s">
        <v>59</v>
      </c>
      <c r="C41" s="169"/>
    </row>
    <row r="42" spans="1:3" s="2" customFormat="1">
      <c r="A42" s="82">
        <v>36</v>
      </c>
      <c r="B42" s="43" t="s">
        <v>24</v>
      </c>
      <c r="C42" s="168">
        <f>C31-C36</f>
        <v>0</v>
      </c>
    </row>
    <row r="43" spans="1:3" s="2" customFormat="1">
      <c r="A43" s="82"/>
      <c r="B43" s="38"/>
      <c r="C43" s="169"/>
    </row>
    <row r="44" spans="1:3" s="2" customFormat="1">
      <c r="A44" s="82">
        <v>37</v>
      </c>
      <c r="B44" s="44" t="s">
        <v>60</v>
      </c>
      <c r="C44" s="168">
        <f>SUM(C45:C47)</f>
        <v>10250013.2585</v>
      </c>
    </row>
    <row r="45" spans="1:3" s="2" customFormat="1">
      <c r="A45" s="82">
        <v>38</v>
      </c>
      <c r="B45" s="34" t="s">
        <v>61</v>
      </c>
      <c r="C45" s="169">
        <v>10250013.2585</v>
      </c>
    </row>
    <row r="46" spans="1:3" s="2" customFormat="1">
      <c r="A46" s="82">
        <v>39</v>
      </c>
      <c r="B46" s="34" t="s">
        <v>62</v>
      </c>
      <c r="C46" s="169"/>
    </row>
    <row r="47" spans="1:3" s="2" customFormat="1">
      <c r="A47" s="82">
        <v>40</v>
      </c>
      <c r="B47" s="557" t="s">
        <v>726</v>
      </c>
      <c r="C47" s="169"/>
    </row>
    <row r="48" spans="1:3" s="2" customFormat="1">
      <c r="A48" s="82">
        <v>41</v>
      </c>
      <c r="B48" s="44" t="s">
        <v>63</v>
      </c>
      <c r="C48" s="168">
        <f>SUM(C49:C52)</f>
        <v>0</v>
      </c>
    </row>
    <row r="49" spans="1:3" s="2" customFormat="1">
      <c r="A49" s="82">
        <v>42</v>
      </c>
      <c r="B49" s="35" t="s">
        <v>64</v>
      </c>
      <c r="C49" s="169"/>
    </row>
    <row r="50" spans="1:3" s="2" customFormat="1">
      <c r="A50" s="82">
        <v>43</v>
      </c>
      <c r="B50" s="36" t="s">
        <v>65</v>
      </c>
      <c r="C50" s="169"/>
    </row>
    <row r="51" spans="1:3" s="2" customFormat="1" ht="27.6">
      <c r="A51" s="82">
        <v>44</v>
      </c>
      <c r="B51" s="35" t="s">
        <v>66</v>
      </c>
      <c r="C51" s="169"/>
    </row>
    <row r="52" spans="1:3" s="2" customFormat="1" ht="27.6">
      <c r="A52" s="82">
        <v>45</v>
      </c>
      <c r="B52" s="35" t="s">
        <v>46</v>
      </c>
      <c r="C52" s="169"/>
    </row>
    <row r="53" spans="1:3" s="2" customFormat="1" ht="15" thickBot="1">
      <c r="A53" s="82">
        <v>46</v>
      </c>
      <c r="B53" s="83" t="s">
        <v>25</v>
      </c>
      <c r="C53" s="171">
        <f>C44-C48</f>
        <v>10250013.2585</v>
      </c>
    </row>
    <row r="56" spans="1:3">
      <c r="B56" s="1"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headerFooter>
    <oddFooter>&amp;C_x000D_&amp;1#&amp;"Calibri"&amp;10&amp;K000000 C1 - FOR INTERNAL USE ONLY</oddFooter>
  </headerFooter>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Normal="100" workbookViewId="0"/>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2" t="s">
        <v>109</v>
      </c>
      <c r="B1" s="11" t="str">
        <f>Info!C2</f>
        <v>სს " პაშა ბანკი საქართველო"</v>
      </c>
    </row>
    <row r="2" spans="1:4" s="12" customFormat="1" ht="15.75" customHeight="1">
      <c r="A2" s="12" t="s">
        <v>110</v>
      </c>
      <c r="B2" s="322">
        <f>'1. key ratios'!B2</f>
        <v>45016</v>
      </c>
    </row>
    <row r="3" spans="1:4" s="12" customFormat="1" ht="15.75" customHeight="1"/>
    <row r="4" spans="1:4" ht="14.4" thickBot="1">
      <c r="A4" s="1" t="s">
        <v>358</v>
      </c>
      <c r="B4" s="239" t="s">
        <v>359</v>
      </c>
    </row>
    <row r="5" spans="1:4" s="30" customFormat="1">
      <c r="A5" s="780" t="s">
        <v>360</v>
      </c>
      <c r="B5" s="781"/>
      <c r="C5" s="229" t="s">
        <v>361</v>
      </c>
      <c r="D5" s="230" t="s">
        <v>362</v>
      </c>
    </row>
    <row r="6" spans="1:4" s="240" customFormat="1">
      <c r="A6" s="231">
        <v>1</v>
      </c>
      <c r="B6" s="232" t="s">
        <v>363</v>
      </c>
      <c r="C6" s="232"/>
      <c r="D6" s="233"/>
    </row>
    <row r="7" spans="1:4" s="240" customFormat="1">
      <c r="A7" s="234" t="s">
        <v>364</v>
      </c>
      <c r="B7" s="235" t="s">
        <v>365</v>
      </c>
      <c r="C7" s="284">
        <v>4.4999999999999998E-2</v>
      </c>
      <c r="D7" s="648">
        <f>C7*'5. RWA'!$C$13</f>
        <v>23732052.62609382</v>
      </c>
    </row>
    <row r="8" spans="1:4" s="240" customFormat="1">
      <c r="A8" s="234" t="s">
        <v>366</v>
      </c>
      <c r="B8" s="235" t="s">
        <v>367</v>
      </c>
      <c r="C8" s="285">
        <v>0.06</v>
      </c>
      <c r="D8" s="648">
        <f>C8*'5. RWA'!$C$13</f>
        <v>31642736.834791761</v>
      </c>
    </row>
    <row r="9" spans="1:4" s="240" customFormat="1">
      <c r="A9" s="234" t="s">
        <v>368</v>
      </c>
      <c r="B9" s="235" t="s">
        <v>369</v>
      </c>
      <c r="C9" s="285">
        <v>0.08</v>
      </c>
      <c r="D9" s="648">
        <f>C9*'5. RWA'!$C$13</f>
        <v>42190315.779722348</v>
      </c>
    </row>
    <row r="10" spans="1:4" s="240" customFormat="1">
      <c r="A10" s="231" t="s">
        <v>370</v>
      </c>
      <c r="B10" s="232" t="s">
        <v>371</v>
      </c>
      <c r="C10" s="286"/>
      <c r="D10" s="282"/>
    </row>
    <row r="11" spans="1:4" s="241" customFormat="1">
      <c r="A11" s="236" t="s">
        <v>372</v>
      </c>
      <c r="B11" s="237" t="s">
        <v>434</v>
      </c>
      <c r="C11" s="287">
        <v>2.5000000000000001E-2</v>
      </c>
      <c r="D11" s="648">
        <f>C11*'5. RWA'!$C$13</f>
        <v>13184473.681163235</v>
      </c>
    </row>
    <row r="12" spans="1:4" s="241" customFormat="1">
      <c r="A12" s="236" t="s">
        <v>373</v>
      </c>
      <c r="B12" s="237" t="s">
        <v>374</v>
      </c>
      <c r="C12" s="287">
        <v>0</v>
      </c>
      <c r="D12" s="648">
        <f>C12*'5. RWA'!$C$13</f>
        <v>0</v>
      </c>
    </row>
    <row r="13" spans="1:4" s="241" customFormat="1">
      <c r="A13" s="236" t="s">
        <v>375</v>
      </c>
      <c r="B13" s="237" t="s">
        <v>376</v>
      </c>
      <c r="C13" s="287"/>
      <c r="D13" s="648">
        <f>C13*'5. RWA'!$C$13</f>
        <v>0</v>
      </c>
    </row>
    <row r="14" spans="1:4" s="240" customFormat="1">
      <c r="A14" s="231" t="s">
        <v>377</v>
      </c>
      <c r="B14" s="232" t="s">
        <v>432</v>
      </c>
      <c r="C14" s="288"/>
      <c r="D14" s="282"/>
    </row>
    <row r="15" spans="1:4" s="240" customFormat="1">
      <c r="A15" s="250" t="s">
        <v>380</v>
      </c>
      <c r="B15" s="237" t="s">
        <v>433</v>
      </c>
      <c r="C15" s="287">
        <v>5.5386021979855378E-2</v>
      </c>
      <c r="D15" s="648">
        <f>C15*'5. RWA'!$C$13</f>
        <v>29209421.963909265</v>
      </c>
    </row>
    <row r="16" spans="1:4" s="240" customFormat="1">
      <c r="A16" s="250" t="s">
        <v>381</v>
      </c>
      <c r="B16" s="237" t="s">
        <v>383</v>
      </c>
      <c r="C16" s="287">
        <v>7.1079531314831898E-2</v>
      </c>
      <c r="D16" s="648">
        <f>C16*'5. RWA'!$C$13</f>
        <v>37485848.395592764</v>
      </c>
    </row>
    <row r="17" spans="1:4" s="240" customFormat="1">
      <c r="A17" s="250" t="s">
        <v>382</v>
      </c>
      <c r="B17" s="237" t="s">
        <v>430</v>
      </c>
      <c r="C17" s="287">
        <v>9.1728885702958909E-2</v>
      </c>
      <c r="D17" s="648">
        <f>C17*'5. RWA'!$C$13</f>
        <v>48375883.17412369</v>
      </c>
    </row>
    <row r="18" spans="1:4" s="30" customFormat="1">
      <c r="A18" s="782" t="s">
        <v>431</v>
      </c>
      <c r="B18" s="783"/>
      <c r="C18" s="289" t="s">
        <v>361</v>
      </c>
      <c r="D18" s="283" t="s">
        <v>362</v>
      </c>
    </row>
    <row r="19" spans="1:4" s="240" customFormat="1">
      <c r="A19" s="238">
        <v>4</v>
      </c>
      <c r="B19" s="237" t="s">
        <v>23</v>
      </c>
      <c r="C19" s="287">
        <f>C7+C11+C12+C13+C15</f>
        <v>0.12538602197985538</v>
      </c>
      <c r="D19" s="648">
        <f>C19*'5. RWA'!$C$13</f>
        <v>66125948.271166317</v>
      </c>
    </row>
    <row r="20" spans="1:4" s="240" customFormat="1">
      <c r="A20" s="238">
        <v>5</v>
      </c>
      <c r="B20" s="237" t="s">
        <v>87</v>
      </c>
      <c r="C20" s="287">
        <f>C8+C11+C12+C13+C16</f>
        <v>0.15607953131483188</v>
      </c>
      <c r="D20" s="648">
        <f>C20*'5. RWA'!$C$13</f>
        <v>82313058.91154775</v>
      </c>
    </row>
    <row r="21" spans="1:4" s="240" customFormat="1" ht="14.4" thickBot="1">
      <c r="A21" s="242" t="s">
        <v>378</v>
      </c>
      <c r="B21" s="243" t="s">
        <v>86</v>
      </c>
      <c r="C21" s="290">
        <f>C9+C11+C12+C13+C17</f>
        <v>0.19672888570295893</v>
      </c>
      <c r="D21" s="649">
        <f>C21*'5. RWA'!$C$13</f>
        <v>103750672.63500927</v>
      </c>
    </row>
    <row r="23" spans="1:4" ht="69">
      <c r="B23" s="16" t="s">
        <v>435</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scale="80"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activeCell="C9" sqref="C9"/>
      <selection pane="topRight" activeCell="C9" sqref="C9"/>
      <selection pane="bottomLeft" activeCell="C9" sqref="C9"/>
      <selection pane="bottomRight"/>
    </sheetView>
  </sheetViews>
  <sheetFormatPr defaultRowHeight="14.4"/>
  <cols>
    <col min="1" max="1" width="10.77734375" style="31" customWidth="1"/>
    <col min="2" max="2" width="91.77734375" style="31" customWidth="1"/>
    <col min="3" max="3" width="53.21875" style="31" customWidth="1"/>
    <col min="4" max="4" width="32.21875" style="31" customWidth="1"/>
    <col min="5" max="5" width="9.44140625" customWidth="1"/>
  </cols>
  <sheetData>
    <row r="1" spans="1:6">
      <c r="A1" s="12" t="s">
        <v>109</v>
      </c>
      <c r="B1" s="13" t="str">
        <f>Info!C2</f>
        <v>სს " პაშა ბანკი საქართველო"</v>
      </c>
      <c r="E1" s="1"/>
      <c r="F1" s="1"/>
    </row>
    <row r="2" spans="1:6" s="12" customFormat="1" ht="15.75" customHeight="1">
      <c r="A2" s="12" t="s">
        <v>110</v>
      </c>
      <c r="B2" s="322">
        <f>'1. key ratios'!B2</f>
        <v>45016</v>
      </c>
    </row>
    <row r="3" spans="1:6" s="12" customFormat="1" ht="15.75" customHeight="1">
      <c r="A3" s="19"/>
    </row>
    <row r="4" spans="1:6" s="12" customFormat="1" ht="15.75" customHeight="1" thickBot="1">
      <c r="A4" s="12" t="s">
        <v>259</v>
      </c>
      <c r="B4" s="133" t="s">
        <v>173</v>
      </c>
      <c r="D4" s="135" t="s">
        <v>88</v>
      </c>
    </row>
    <row r="5" spans="1:6" ht="27.6">
      <c r="A5" s="87" t="s">
        <v>26</v>
      </c>
      <c r="B5" s="88" t="s">
        <v>145</v>
      </c>
      <c r="C5" s="89" t="s">
        <v>859</v>
      </c>
      <c r="D5" s="134" t="s">
        <v>174</v>
      </c>
    </row>
    <row r="6" spans="1:6">
      <c r="A6" s="661">
        <v>1</v>
      </c>
      <c r="B6" s="650" t="s">
        <v>844</v>
      </c>
      <c r="C6" s="662">
        <f>SUM(C7:C9)</f>
        <v>124700626.4699</v>
      </c>
      <c r="D6" s="663"/>
      <c r="E6" s="4"/>
    </row>
    <row r="7" spans="1:6">
      <c r="A7" s="661">
        <v>1.1000000000000001</v>
      </c>
      <c r="B7" s="590" t="s">
        <v>97</v>
      </c>
      <c r="C7" s="651">
        <v>5275000.3311999999</v>
      </c>
      <c r="D7" s="84"/>
      <c r="E7" s="4"/>
    </row>
    <row r="8" spans="1:6">
      <c r="A8" s="661">
        <v>1.2</v>
      </c>
      <c r="B8" s="590" t="s">
        <v>98</v>
      </c>
      <c r="C8" s="651">
        <v>45934147.27920001</v>
      </c>
      <c r="D8" s="84"/>
      <c r="E8" s="4"/>
    </row>
    <row r="9" spans="1:6">
      <c r="A9" s="661">
        <v>1.3</v>
      </c>
      <c r="B9" s="590" t="s">
        <v>99</v>
      </c>
      <c r="C9" s="651">
        <v>73491478.859499991</v>
      </c>
      <c r="D9" s="84"/>
      <c r="E9" s="4"/>
    </row>
    <row r="10" spans="1:6">
      <c r="A10" s="661">
        <v>2</v>
      </c>
      <c r="B10" s="592" t="s">
        <v>731</v>
      </c>
      <c r="C10" s="652">
        <f>C11</f>
        <v>1526125.55</v>
      </c>
      <c r="D10" s="84"/>
      <c r="E10" s="4"/>
    </row>
    <row r="11" spans="1:6">
      <c r="A11" s="661">
        <v>2.1</v>
      </c>
      <c r="B11" s="588" t="s">
        <v>732</v>
      </c>
      <c r="C11" s="653">
        <v>1526125.55</v>
      </c>
      <c r="D11" s="85"/>
      <c r="E11" s="5"/>
    </row>
    <row r="12" spans="1:6" ht="23.55" customHeight="1">
      <c r="A12" s="661">
        <v>3</v>
      </c>
      <c r="B12" s="580" t="s">
        <v>733</v>
      </c>
      <c r="C12" s="654"/>
      <c r="D12" s="85"/>
      <c r="E12" s="5"/>
    </row>
    <row r="13" spans="1:6" ht="22.95" customHeight="1">
      <c r="A13" s="661">
        <v>4</v>
      </c>
      <c r="B13" s="581" t="s">
        <v>734</v>
      </c>
      <c r="C13" s="654"/>
      <c r="D13" s="85"/>
      <c r="E13" s="5"/>
    </row>
    <row r="14" spans="1:6">
      <c r="A14" s="661">
        <v>5</v>
      </c>
      <c r="B14" s="581" t="s">
        <v>735</v>
      </c>
      <c r="C14" s="654">
        <f>SUM(C15:C17)</f>
        <v>0</v>
      </c>
      <c r="D14" s="85"/>
      <c r="E14" s="5"/>
    </row>
    <row r="15" spans="1:6">
      <c r="A15" s="661">
        <v>5.0999999999999996</v>
      </c>
      <c r="B15" s="582" t="s">
        <v>736</v>
      </c>
      <c r="C15" s="651"/>
      <c r="D15" s="85"/>
      <c r="E15" s="4"/>
    </row>
    <row r="16" spans="1:6">
      <c r="A16" s="661">
        <v>5.2</v>
      </c>
      <c r="B16" s="582" t="s">
        <v>570</v>
      </c>
      <c r="C16" s="651"/>
      <c r="D16" s="84"/>
      <c r="E16" s="4"/>
    </row>
    <row r="17" spans="1:5">
      <c r="A17" s="661">
        <v>5.3</v>
      </c>
      <c r="B17" s="582" t="s">
        <v>737</v>
      </c>
      <c r="C17" s="651"/>
      <c r="D17" s="84"/>
      <c r="E17" s="4"/>
    </row>
    <row r="18" spans="1:5">
      <c r="A18" s="661">
        <v>6</v>
      </c>
      <c r="B18" s="580" t="s">
        <v>738</v>
      </c>
      <c r="C18" s="655">
        <f>SUM(C19:C20)</f>
        <v>379274891.05729997</v>
      </c>
      <c r="D18" s="84"/>
      <c r="E18" s="4"/>
    </row>
    <row r="19" spans="1:5">
      <c r="A19" s="661">
        <v>6.1</v>
      </c>
      <c r="B19" s="582" t="s">
        <v>570</v>
      </c>
      <c r="C19" s="653">
        <v>58182108.428600006</v>
      </c>
      <c r="D19" s="84"/>
      <c r="E19" s="4"/>
    </row>
    <row r="20" spans="1:5">
      <c r="A20" s="661">
        <v>6.2</v>
      </c>
      <c r="B20" s="582" t="s">
        <v>737</v>
      </c>
      <c r="C20" s="653">
        <v>321092782.62869996</v>
      </c>
      <c r="D20" s="84"/>
      <c r="E20" s="4"/>
    </row>
    <row r="21" spans="1:5">
      <c r="A21" s="661">
        <v>7</v>
      </c>
      <c r="B21" s="583" t="s">
        <v>739</v>
      </c>
      <c r="C21" s="654"/>
      <c r="D21" s="84"/>
      <c r="E21" s="4"/>
    </row>
    <row r="22" spans="1:5">
      <c r="A22" s="661">
        <v>8</v>
      </c>
      <c r="B22" s="583" t="s">
        <v>740</v>
      </c>
      <c r="C22" s="655">
        <v>3516866.86</v>
      </c>
      <c r="D22" s="84"/>
      <c r="E22" s="4"/>
    </row>
    <row r="23" spans="1:5">
      <c r="A23" s="661">
        <v>9</v>
      </c>
      <c r="B23" s="581" t="s">
        <v>741</v>
      </c>
      <c r="C23" s="655">
        <f>SUM(C24:C25)</f>
        <v>5531986.7199999997</v>
      </c>
      <c r="D23" s="405"/>
      <c r="E23" s="4"/>
    </row>
    <row r="24" spans="1:5">
      <c r="A24" s="661">
        <v>9.1</v>
      </c>
      <c r="B24" s="584" t="s">
        <v>742</v>
      </c>
      <c r="C24" s="656">
        <v>5531986.7199999997</v>
      </c>
      <c r="D24" s="86"/>
      <c r="E24" s="4"/>
    </row>
    <row r="25" spans="1:5">
      <c r="A25" s="661">
        <v>9.1999999999999993</v>
      </c>
      <c r="B25" s="584" t="s">
        <v>743</v>
      </c>
      <c r="C25" s="657"/>
      <c r="D25" s="404"/>
      <c r="E25" s="3"/>
    </row>
    <row r="26" spans="1:5">
      <c r="A26" s="661">
        <v>10</v>
      </c>
      <c r="B26" s="581" t="s">
        <v>37</v>
      </c>
      <c r="C26" s="658">
        <f>SUM(C27:C28)</f>
        <v>5428708.8499999996</v>
      </c>
      <c r="D26" s="538" t="s">
        <v>936</v>
      </c>
      <c r="E26" s="4"/>
    </row>
    <row r="27" spans="1:5">
      <c r="A27" s="661">
        <v>10.1</v>
      </c>
      <c r="B27" s="584" t="s">
        <v>744</v>
      </c>
      <c r="C27" s="651"/>
      <c r="D27" s="84"/>
      <c r="E27" s="4"/>
    </row>
    <row r="28" spans="1:5">
      <c r="A28" s="661">
        <v>10.199999999999999</v>
      </c>
      <c r="B28" s="584" t="s">
        <v>745</v>
      </c>
      <c r="C28" s="651">
        <v>5428708.8499999996</v>
      </c>
      <c r="D28" s="84"/>
      <c r="E28" s="4"/>
    </row>
    <row r="29" spans="1:5">
      <c r="A29" s="661">
        <v>11</v>
      </c>
      <c r="B29" s="581" t="s">
        <v>746</v>
      </c>
      <c r="C29" s="655">
        <f>SUM(C30:C31)</f>
        <v>0</v>
      </c>
      <c r="D29" s="84"/>
      <c r="E29" s="4"/>
    </row>
    <row r="30" spans="1:5">
      <c r="A30" s="661">
        <v>11.1</v>
      </c>
      <c r="B30" s="584" t="s">
        <v>747</v>
      </c>
      <c r="C30" s="651"/>
      <c r="D30" s="84"/>
      <c r="E30" s="4"/>
    </row>
    <row r="31" spans="1:5">
      <c r="A31" s="661">
        <v>11.2</v>
      </c>
      <c r="B31" s="584" t="s">
        <v>748</v>
      </c>
      <c r="C31" s="651"/>
      <c r="D31" s="84"/>
      <c r="E31" s="4"/>
    </row>
    <row r="32" spans="1:5">
      <c r="A32" s="661">
        <v>13</v>
      </c>
      <c r="B32" s="581" t="s">
        <v>100</v>
      </c>
      <c r="C32" s="655">
        <v>2571452.5947000002</v>
      </c>
      <c r="D32" s="84"/>
      <c r="E32" s="4"/>
    </row>
    <row r="33" spans="1:5">
      <c r="A33" s="661">
        <v>13.1</v>
      </c>
      <c r="B33" s="585" t="s">
        <v>749</v>
      </c>
      <c r="C33" s="651"/>
      <c r="D33" s="84"/>
      <c r="E33" s="4"/>
    </row>
    <row r="34" spans="1:5">
      <c r="A34" s="661">
        <v>13.2</v>
      </c>
      <c r="B34" s="585" t="s">
        <v>750</v>
      </c>
      <c r="C34" s="656"/>
      <c r="D34" s="86"/>
      <c r="E34" s="4"/>
    </row>
    <row r="35" spans="1:5">
      <c r="A35" s="661">
        <v>14</v>
      </c>
      <c r="B35" s="586" t="s">
        <v>751</v>
      </c>
      <c r="C35" s="659">
        <f>SUM(C6,C10,C12,C13,C14,C18,C21,C22,C23,C26,C29,C32)</f>
        <v>522550658.10189998</v>
      </c>
      <c r="D35" s="664"/>
      <c r="E35" s="4"/>
    </row>
    <row r="36" spans="1:5">
      <c r="A36" s="661"/>
      <c r="B36" s="587" t="s">
        <v>105</v>
      </c>
      <c r="C36" s="660"/>
      <c r="D36" s="664"/>
      <c r="E36" s="4"/>
    </row>
    <row r="37" spans="1:5">
      <c r="A37" s="661">
        <v>15</v>
      </c>
      <c r="B37" s="583" t="s">
        <v>752</v>
      </c>
      <c r="C37" s="657">
        <f>C38</f>
        <v>3442155.54</v>
      </c>
      <c r="D37" s="404"/>
      <c r="E37" s="3"/>
    </row>
    <row r="38" spans="1:5">
      <c r="A38" s="661">
        <v>15.1</v>
      </c>
      <c r="B38" s="588" t="s">
        <v>732</v>
      </c>
      <c r="C38" s="651">
        <v>3442155.54</v>
      </c>
      <c r="D38" s="84"/>
      <c r="E38" s="4"/>
    </row>
    <row r="39" spans="1:5" ht="20.399999999999999">
      <c r="A39" s="661">
        <v>16</v>
      </c>
      <c r="B39" s="583" t="s">
        <v>753</v>
      </c>
      <c r="C39" s="655"/>
      <c r="D39" s="84"/>
      <c r="E39" s="4"/>
    </row>
    <row r="40" spans="1:5">
      <c r="A40" s="661">
        <v>17</v>
      </c>
      <c r="B40" s="583" t="s">
        <v>754</v>
      </c>
      <c r="C40" s="655">
        <f>SUM(C41:C44)</f>
        <v>383555032.63419998</v>
      </c>
      <c r="D40" s="84"/>
      <c r="E40" s="4"/>
    </row>
    <row r="41" spans="1:5">
      <c r="A41" s="661">
        <v>17.100000000000001</v>
      </c>
      <c r="B41" s="589" t="s">
        <v>755</v>
      </c>
      <c r="C41" s="651">
        <v>359714293.83339995</v>
      </c>
      <c r="D41" s="84"/>
      <c r="E41" s="4"/>
    </row>
    <row r="42" spans="1:5">
      <c r="A42" s="665">
        <v>17.2</v>
      </c>
      <c r="B42" s="590" t="s">
        <v>101</v>
      </c>
      <c r="C42" s="656">
        <v>20732649.090599999</v>
      </c>
      <c r="D42" s="86"/>
      <c r="E42" s="4"/>
    </row>
    <row r="43" spans="1:5">
      <c r="A43" s="661">
        <v>17.3</v>
      </c>
      <c r="B43" s="589" t="s">
        <v>756</v>
      </c>
      <c r="C43" s="666"/>
      <c r="D43" s="664"/>
      <c r="E43" s="4"/>
    </row>
    <row r="44" spans="1:5">
      <c r="A44" s="661">
        <v>17.399999999999999</v>
      </c>
      <c r="B44" s="589" t="s">
        <v>757</v>
      </c>
      <c r="C44" s="666">
        <v>3108089.7102000001</v>
      </c>
      <c r="D44" s="664"/>
      <c r="E44" s="4"/>
    </row>
    <row r="45" spans="1:5">
      <c r="A45" s="661">
        <v>18</v>
      </c>
      <c r="B45" s="581" t="s">
        <v>758</v>
      </c>
      <c r="C45" s="667">
        <v>631340.74790000007</v>
      </c>
      <c r="D45" s="664"/>
      <c r="E45" s="3"/>
    </row>
    <row r="46" spans="1:5">
      <c r="A46" s="661">
        <v>19</v>
      </c>
      <c r="B46" s="581" t="s">
        <v>759</v>
      </c>
      <c r="C46" s="668">
        <f>SUM(C47:C48)</f>
        <v>0</v>
      </c>
      <c r="D46" s="669"/>
    </row>
    <row r="47" spans="1:5">
      <c r="A47" s="661">
        <v>19.100000000000001</v>
      </c>
      <c r="B47" s="591" t="s">
        <v>760</v>
      </c>
      <c r="C47" s="670"/>
      <c r="D47" s="669"/>
    </row>
    <row r="48" spans="1:5">
      <c r="A48" s="661">
        <v>19.2</v>
      </c>
      <c r="B48" s="591" t="s">
        <v>761</v>
      </c>
      <c r="C48" s="670"/>
      <c r="D48" s="669"/>
    </row>
    <row r="49" spans="1:4">
      <c r="A49" s="661">
        <v>20</v>
      </c>
      <c r="B49" s="586" t="s">
        <v>102</v>
      </c>
      <c r="C49" s="668">
        <v>25461173.840599999</v>
      </c>
      <c r="D49" s="538" t="s">
        <v>983</v>
      </c>
    </row>
    <row r="50" spans="1:4">
      <c r="A50" s="661">
        <v>21</v>
      </c>
      <c r="B50" s="592" t="s">
        <v>90</v>
      </c>
      <c r="C50" s="668">
        <v>6310798.6684999997</v>
      </c>
      <c r="D50" s="669"/>
    </row>
    <row r="51" spans="1:4">
      <c r="A51" s="661">
        <v>21.1</v>
      </c>
      <c r="B51" s="590" t="s">
        <v>762</v>
      </c>
      <c r="C51" s="670"/>
      <c r="D51" s="669"/>
    </row>
    <row r="52" spans="1:4">
      <c r="A52" s="661">
        <v>22</v>
      </c>
      <c r="B52" s="586" t="s">
        <v>763</v>
      </c>
      <c r="C52" s="668">
        <f>SUM(C37,C39,C40,C45,C46,C49,C50)</f>
        <v>419400501.43120003</v>
      </c>
      <c r="D52" s="669"/>
    </row>
    <row r="53" spans="1:4">
      <c r="A53" s="661"/>
      <c r="B53" s="587" t="s">
        <v>764</v>
      </c>
      <c r="C53" s="670"/>
      <c r="D53" s="669"/>
    </row>
    <row r="54" spans="1:4">
      <c r="A54" s="661">
        <v>23</v>
      </c>
      <c r="B54" s="586" t="s">
        <v>106</v>
      </c>
      <c r="C54" s="668">
        <v>129000000</v>
      </c>
      <c r="D54" s="538" t="s">
        <v>984</v>
      </c>
    </row>
    <row r="55" spans="1:4">
      <c r="A55" s="661">
        <v>24</v>
      </c>
      <c r="B55" s="586" t="s">
        <v>765</v>
      </c>
      <c r="C55" s="668"/>
      <c r="D55" s="669"/>
    </row>
    <row r="56" spans="1:4">
      <c r="A56" s="661">
        <v>25</v>
      </c>
      <c r="B56" s="586" t="s">
        <v>103</v>
      </c>
      <c r="C56" s="668"/>
      <c r="D56" s="669"/>
    </row>
    <row r="57" spans="1:4">
      <c r="A57" s="661">
        <v>26</v>
      </c>
      <c r="B57" s="581" t="s">
        <v>766</v>
      </c>
      <c r="C57" s="668"/>
      <c r="D57" s="669"/>
    </row>
    <row r="58" spans="1:4">
      <c r="A58" s="661">
        <v>27</v>
      </c>
      <c r="B58" s="581" t="s">
        <v>767</v>
      </c>
      <c r="C58" s="668">
        <f>SUM(C59:C60)</f>
        <v>1154910.5</v>
      </c>
      <c r="D58" s="669"/>
    </row>
    <row r="59" spans="1:4">
      <c r="A59" s="661">
        <v>27.1</v>
      </c>
      <c r="B59" s="591" t="s">
        <v>768</v>
      </c>
      <c r="C59" s="670">
        <v>1154910.5</v>
      </c>
      <c r="D59" s="669"/>
    </row>
    <row r="60" spans="1:4">
      <c r="A60" s="661">
        <v>27.2</v>
      </c>
      <c r="B60" s="589" t="s">
        <v>769</v>
      </c>
      <c r="C60" s="670"/>
      <c r="D60" s="669"/>
    </row>
    <row r="61" spans="1:4">
      <c r="A61" s="661">
        <v>28</v>
      </c>
      <c r="B61" s="592" t="s">
        <v>770</v>
      </c>
      <c r="C61" s="668"/>
      <c r="D61" s="669"/>
    </row>
    <row r="62" spans="1:4">
      <c r="A62" s="661">
        <v>29</v>
      </c>
      <c r="B62" s="581" t="s">
        <v>771</v>
      </c>
      <c r="C62" s="668">
        <f>SUM(C63:C65)</f>
        <v>0</v>
      </c>
      <c r="D62" s="669"/>
    </row>
    <row r="63" spans="1:4">
      <c r="A63" s="661">
        <v>29.1</v>
      </c>
      <c r="B63" s="582" t="s">
        <v>772</v>
      </c>
      <c r="C63" s="670"/>
      <c r="D63" s="669"/>
    </row>
    <row r="64" spans="1:4" ht="24" customHeight="1">
      <c r="A64" s="661">
        <v>29.2</v>
      </c>
      <c r="B64" s="591" t="s">
        <v>773</v>
      </c>
      <c r="C64" s="670"/>
      <c r="D64" s="669"/>
    </row>
    <row r="65" spans="1:4" ht="22.05" customHeight="1">
      <c r="A65" s="661">
        <v>29.3</v>
      </c>
      <c r="B65" s="584" t="s">
        <v>774</v>
      </c>
      <c r="C65" s="670"/>
      <c r="D65" s="669"/>
    </row>
    <row r="66" spans="1:4">
      <c r="A66" s="661">
        <v>30</v>
      </c>
      <c r="B66" s="581" t="s">
        <v>104</v>
      </c>
      <c r="C66" s="668">
        <v>-27004753.82</v>
      </c>
      <c r="D66" s="538" t="s">
        <v>985</v>
      </c>
    </row>
    <row r="67" spans="1:4">
      <c r="A67" s="661">
        <v>31</v>
      </c>
      <c r="B67" s="593" t="s">
        <v>775</v>
      </c>
      <c r="C67" s="668">
        <f>SUM(C54,C55,C56,C57,C58,C61,C62,C66)</f>
        <v>103150156.68000001</v>
      </c>
      <c r="D67" s="669"/>
    </row>
    <row r="68" spans="1:4" ht="15" thickBot="1">
      <c r="A68" s="671">
        <v>32</v>
      </c>
      <c r="B68" s="672" t="s">
        <v>776</v>
      </c>
      <c r="C68" s="673">
        <f>SUM(C52,C67)</f>
        <v>522550658.11120003</v>
      </c>
      <c r="D68" s="674"/>
    </row>
  </sheetData>
  <pageMargins left="0.7" right="0.7" top="0.75" bottom="0.75" header="0.3" footer="0.3"/>
  <pageSetup paperSize="9" scale="45"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2" ySplit="7" topLeftCell="C8"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10.5546875" style="1" bestFit="1" customWidth="1"/>
    <col min="2" max="2" width="97" style="1" bestFit="1" customWidth="1"/>
    <col min="3" max="3" width="12.44140625" style="1" bestFit="1" customWidth="1"/>
    <col min="4" max="4" width="13.21875" style="1" bestFit="1" customWidth="1"/>
    <col min="5" max="5" width="13.5546875" style="1" bestFit="1" customWidth="1"/>
    <col min="6" max="6" width="13.21875" style="1" bestFit="1" customWidth="1"/>
    <col min="7" max="7" width="9.5546875" style="1" bestFit="1" customWidth="1"/>
    <col min="8" max="8" width="13.21875" style="1" bestFit="1" customWidth="1"/>
    <col min="9" max="9" width="12.44140625" style="1" bestFit="1" customWidth="1"/>
    <col min="10" max="10" width="13.21875" style="1" bestFit="1" customWidth="1"/>
    <col min="11" max="11" width="13.5546875" style="1" bestFit="1" customWidth="1"/>
    <col min="12" max="12" width="13.21875" style="1" bestFit="1" customWidth="1"/>
    <col min="13" max="13" width="14.5546875" style="1" bestFit="1" customWidth="1"/>
    <col min="14" max="14" width="13.5546875" style="1" bestFit="1" customWidth="1"/>
    <col min="15" max="15" width="9.5546875" style="1" bestFit="1" customWidth="1"/>
    <col min="16" max="16" width="13.21875" style="1" bestFit="1" customWidth="1"/>
    <col min="17" max="17" width="9.5546875" style="1" bestFit="1" customWidth="1"/>
    <col min="18" max="18" width="13.21875" style="1" bestFit="1" customWidth="1"/>
    <col min="19" max="19" width="31.5546875" style="1" bestFit="1" customWidth="1"/>
    <col min="20" max="16384" width="9.21875" style="8"/>
  </cols>
  <sheetData>
    <row r="1" spans="1:19">
      <c r="A1" s="1" t="s">
        <v>109</v>
      </c>
      <c r="B1" s="1" t="str">
        <f>Info!C2</f>
        <v>სს " პაშა ბანკი საქართველო"</v>
      </c>
    </row>
    <row r="2" spans="1:19">
      <c r="A2" s="1" t="s">
        <v>110</v>
      </c>
      <c r="B2" s="322">
        <f>'1. key ratios'!B2</f>
        <v>45016</v>
      </c>
    </row>
    <row r="4" spans="1:19" ht="28.2" thickBot="1">
      <c r="A4" s="30" t="s">
        <v>260</v>
      </c>
      <c r="B4" s="194" t="s">
        <v>295</v>
      </c>
    </row>
    <row r="5" spans="1:19">
      <c r="A5" s="74"/>
      <c r="B5" s="76"/>
      <c r="C5" s="68" t="s">
        <v>0</v>
      </c>
      <c r="D5" s="68" t="s">
        <v>1</v>
      </c>
      <c r="E5" s="68" t="s">
        <v>2</v>
      </c>
      <c r="F5" s="68" t="s">
        <v>3</v>
      </c>
      <c r="G5" s="68" t="s">
        <v>4</v>
      </c>
      <c r="H5" s="68" t="s">
        <v>6</v>
      </c>
      <c r="I5" s="68" t="s">
        <v>146</v>
      </c>
      <c r="J5" s="68" t="s">
        <v>147</v>
      </c>
      <c r="K5" s="68" t="s">
        <v>148</v>
      </c>
      <c r="L5" s="68" t="s">
        <v>149</v>
      </c>
      <c r="M5" s="68" t="s">
        <v>150</v>
      </c>
      <c r="N5" s="68" t="s">
        <v>151</v>
      </c>
      <c r="O5" s="68" t="s">
        <v>282</v>
      </c>
      <c r="P5" s="68" t="s">
        <v>283</v>
      </c>
      <c r="Q5" s="68" t="s">
        <v>284</v>
      </c>
      <c r="R5" s="188" t="s">
        <v>285</v>
      </c>
      <c r="S5" s="69" t="s">
        <v>286</v>
      </c>
    </row>
    <row r="6" spans="1:19" ht="46.5" customHeight="1">
      <c r="A6" s="90"/>
      <c r="B6" s="788" t="s">
        <v>287</v>
      </c>
      <c r="C6" s="786">
        <v>0</v>
      </c>
      <c r="D6" s="787"/>
      <c r="E6" s="786">
        <v>0.2</v>
      </c>
      <c r="F6" s="787"/>
      <c r="G6" s="786">
        <v>0.35</v>
      </c>
      <c r="H6" s="787"/>
      <c r="I6" s="786">
        <v>0.5</v>
      </c>
      <c r="J6" s="787"/>
      <c r="K6" s="786">
        <v>0.75</v>
      </c>
      <c r="L6" s="787"/>
      <c r="M6" s="786">
        <v>1</v>
      </c>
      <c r="N6" s="787"/>
      <c r="O6" s="786">
        <v>1.5</v>
      </c>
      <c r="P6" s="787"/>
      <c r="Q6" s="786">
        <v>2.5</v>
      </c>
      <c r="R6" s="787"/>
      <c r="S6" s="784" t="s">
        <v>157</v>
      </c>
    </row>
    <row r="7" spans="1:19">
      <c r="A7" s="90"/>
      <c r="B7" s="789"/>
      <c r="C7" s="193" t="s">
        <v>280</v>
      </c>
      <c r="D7" s="193" t="s">
        <v>281</v>
      </c>
      <c r="E7" s="193" t="s">
        <v>280</v>
      </c>
      <c r="F7" s="193" t="s">
        <v>281</v>
      </c>
      <c r="G7" s="193" t="s">
        <v>280</v>
      </c>
      <c r="H7" s="193" t="s">
        <v>281</v>
      </c>
      <c r="I7" s="193" t="s">
        <v>280</v>
      </c>
      <c r="J7" s="193" t="s">
        <v>281</v>
      </c>
      <c r="K7" s="193" t="s">
        <v>280</v>
      </c>
      <c r="L7" s="193" t="s">
        <v>281</v>
      </c>
      <c r="M7" s="193" t="s">
        <v>280</v>
      </c>
      <c r="N7" s="193" t="s">
        <v>281</v>
      </c>
      <c r="O7" s="193" t="s">
        <v>280</v>
      </c>
      <c r="P7" s="193" t="s">
        <v>281</v>
      </c>
      <c r="Q7" s="193" t="s">
        <v>280</v>
      </c>
      <c r="R7" s="193" t="s">
        <v>281</v>
      </c>
      <c r="S7" s="785"/>
    </row>
    <row r="8" spans="1:19">
      <c r="A8" s="72">
        <v>1</v>
      </c>
      <c r="B8" s="110" t="s">
        <v>135</v>
      </c>
      <c r="C8" s="675">
        <v>5813750.5199999996</v>
      </c>
      <c r="D8" s="675"/>
      <c r="E8" s="675">
        <v>0</v>
      </c>
      <c r="F8" s="676"/>
      <c r="G8" s="675">
        <v>0</v>
      </c>
      <c r="H8" s="675"/>
      <c r="I8" s="675">
        <v>0</v>
      </c>
      <c r="J8" s="675"/>
      <c r="K8" s="675">
        <v>0</v>
      </c>
      <c r="L8" s="675"/>
      <c r="M8" s="675">
        <v>45466796.759199999</v>
      </c>
      <c r="N8" s="675"/>
      <c r="O8" s="675">
        <v>0</v>
      </c>
      <c r="P8" s="675"/>
      <c r="Q8" s="675">
        <v>0</v>
      </c>
      <c r="R8" s="676"/>
      <c r="S8" s="677">
        <f>$C$6*SUM(C8:D8)+$E$6*SUM(E8:F8)+$G$6*SUM(G8:H8)+$I$6*SUM(I8:J8)+$K$6*SUM(K8:L8)+$M$6*SUM(M8:N8)+$O$6*SUM(O8:P8)+$Q$6*SUM(Q8:R8)</f>
        <v>45466796.759199999</v>
      </c>
    </row>
    <row r="9" spans="1:19">
      <c r="A9" s="72">
        <v>2</v>
      </c>
      <c r="B9" s="110" t="s">
        <v>136</v>
      </c>
      <c r="C9" s="675">
        <v>0</v>
      </c>
      <c r="D9" s="675"/>
      <c r="E9" s="675">
        <v>0</v>
      </c>
      <c r="F9" s="675"/>
      <c r="G9" s="675">
        <v>0</v>
      </c>
      <c r="H9" s="675"/>
      <c r="I9" s="675">
        <v>0</v>
      </c>
      <c r="J9" s="675"/>
      <c r="K9" s="675">
        <v>0</v>
      </c>
      <c r="L9" s="675"/>
      <c r="M9" s="675">
        <v>0</v>
      </c>
      <c r="N9" s="675"/>
      <c r="O9" s="675">
        <v>0</v>
      </c>
      <c r="P9" s="675"/>
      <c r="Q9" s="675">
        <v>0</v>
      </c>
      <c r="R9" s="676"/>
      <c r="S9" s="677">
        <f t="shared" ref="S9:S21" si="0">$C$6*SUM(C9:D9)+$E$6*SUM(E9:F9)+$G$6*SUM(G9:H9)+$I$6*SUM(I9:J9)+$K$6*SUM(K9:L9)+$M$6*SUM(M9:N9)+$O$6*SUM(O9:P9)+$Q$6*SUM(Q9:R9)</f>
        <v>0</v>
      </c>
    </row>
    <row r="10" spans="1:19">
      <c r="A10" s="72">
        <v>3</v>
      </c>
      <c r="B10" s="110" t="s">
        <v>137</v>
      </c>
      <c r="C10" s="675">
        <v>0</v>
      </c>
      <c r="D10" s="675"/>
      <c r="E10" s="675">
        <v>0</v>
      </c>
      <c r="F10" s="675"/>
      <c r="G10" s="675">
        <v>0</v>
      </c>
      <c r="H10" s="675"/>
      <c r="I10" s="675">
        <v>0</v>
      </c>
      <c r="J10" s="675"/>
      <c r="K10" s="675">
        <v>0</v>
      </c>
      <c r="L10" s="675"/>
      <c r="M10" s="675">
        <v>0</v>
      </c>
      <c r="N10" s="675"/>
      <c r="O10" s="675">
        <v>0</v>
      </c>
      <c r="P10" s="675"/>
      <c r="Q10" s="675">
        <v>0</v>
      </c>
      <c r="R10" s="676"/>
      <c r="S10" s="677">
        <f t="shared" si="0"/>
        <v>0</v>
      </c>
    </row>
    <row r="11" spans="1:19">
      <c r="A11" s="72">
        <v>4</v>
      </c>
      <c r="B11" s="110" t="s">
        <v>138</v>
      </c>
      <c r="C11" s="675">
        <v>0</v>
      </c>
      <c r="D11" s="675"/>
      <c r="E11" s="675">
        <v>0</v>
      </c>
      <c r="F11" s="675"/>
      <c r="G11" s="675">
        <v>0</v>
      </c>
      <c r="H11" s="675"/>
      <c r="I11" s="675">
        <v>0</v>
      </c>
      <c r="J11" s="675"/>
      <c r="K11" s="675">
        <v>0</v>
      </c>
      <c r="L11" s="675"/>
      <c r="M11" s="675">
        <v>0</v>
      </c>
      <c r="N11" s="675"/>
      <c r="O11" s="675">
        <v>0</v>
      </c>
      <c r="P11" s="675"/>
      <c r="Q11" s="675">
        <v>0</v>
      </c>
      <c r="R11" s="676"/>
      <c r="S11" s="677">
        <f t="shared" si="0"/>
        <v>0</v>
      </c>
    </row>
    <row r="12" spans="1:19">
      <c r="A12" s="72">
        <v>5</v>
      </c>
      <c r="B12" s="110" t="s">
        <v>950</v>
      </c>
      <c r="C12" s="675">
        <v>0</v>
      </c>
      <c r="D12" s="675"/>
      <c r="E12" s="675">
        <v>0</v>
      </c>
      <c r="F12" s="675"/>
      <c r="G12" s="675">
        <v>0</v>
      </c>
      <c r="H12" s="675"/>
      <c r="I12" s="675">
        <v>0</v>
      </c>
      <c r="J12" s="675"/>
      <c r="K12" s="675">
        <v>0</v>
      </c>
      <c r="L12" s="675"/>
      <c r="M12" s="675">
        <v>0</v>
      </c>
      <c r="N12" s="675"/>
      <c r="O12" s="675">
        <v>0</v>
      </c>
      <c r="P12" s="675"/>
      <c r="Q12" s="675">
        <v>0</v>
      </c>
      <c r="R12" s="676"/>
      <c r="S12" s="677">
        <f t="shared" si="0"/>
        <v>0</v>
      </c>
    </row>
    <row r="13" spans="1:19">
      <c r="A13" s="72">
        <v>6</v>
      </c>
      <c r="B13" s="110" t="s">
        <v>139</v>
      </c>
      <c r="C13" s="675">
        <v>0</v>
      </c>
      <c r="D13" s="675"/>
      <c r="E13" s="675">
        <v>66396857.841799997</v>
      </c>
      <c r="F13" s="675"/>
      <c r="G13" s="675">
        <v>0</v>
      </c>
      <c r="H13" s="675"/>
      <c r="I13" s="675">
        <v>7908461.8855999997</v>
      </c>
      <c r="J13" s="675"/>
      <c r="K13" s="675">
        <v>0</v>
      </c>
      <c r="L13" s="675"/>
      <c r="M13" s="675">
        <v>0</v>
      </c>
      <c r="N13" s="675">
        <v>435000</v>
      </c>
      <c r="O13" s="675">
        <v>0</v>
      </c>
      <c r="P13" s="675"/>
      <c r="Q13" s="675">
        <v>0</v>
      </c>
      <c r="R13" s="676"/>
      <c r="S13" s="677">
        <f t="shared" si="0"/>
        <v>17668602.511160001</v>
      </c>
    </row>
    <row r="14" spans="1:19">
      <c r="A14" s="72">
        <v>7</v>
      </c>
      <c r="B14" s="110" t="s">
        <v>72</v>
      </c>
      <c r="C14" s="675">
        <v>0</v>
      </c>
      <c r="D14" s="675"/>
      <c r="E14" s="675">
        <v>0</v>
      </c>
      <c r="F14" s="675"/>
      <c r="G14" s="675">
        <v>0</v>
      </c>
      <c r="H14" s="675"/>
      <c r="I14" s="675">
        <v>0</v>
      </c>
      <c r="J14" s="675"/>
      <c r="K14" s="675">
        <v>0</v>
      </c>
      <c r="L14" s="675"/>
      <c r="M14" s="675">
        <v>288482631.02029997</v>
      </c>
      <c r="N14" s="675">
        <v>106438.5471</v>
      </c>
      <c r="O14" s="675">
        <v>0</v>
      </c>
      <c r="P14" s="675"/>
      <c r="Q14" s="675">
        <v>0</v>
      </c>
      <c r="R14" s="676"/>
      <c r="S14" s="677">
        <f t="shared" si="0"/>
        <v>288589069.56739998</v>
      </c>
    </row>
    <row r="15" spans="1:19">
      <c r="A15" s="72">
        <v>8</v>
      </c>
      <c r="B15" s="110" t="s">
        <v>73</v>
      </c>
      <c r="C15" s="675">
        <v>0</v>
      </c>
      <c r="D15" s="675"/>
      <c r="E15" s="675">
        <v>0</v>
      </c>
      <c r="F15" s="675"/>
      <c r="G15" s="675">
        <v>0</v>
      </c>
      <c r="H15" s="675"/>
      <c r="I15" s="675">
        <v>0</v>
      </c>
      <c r="J15" s="675"/>
      <c r="K15" s="675">
        <v>48452015.234700002</v>
      </c>
      <c r="L15" s="675"/>
      <c r="M15" s="675">
        <v>6194.9101000000001</v>
      </c>
      <c r="N15" s="675">
        <v>33354210.284499999</v>
      </c>
      <c r="O15" s="675">
        <v>0</v>
      </c>
      <c r="P15" s="675"/>
      <c r="Q15" s="675">
        <v>0</v>
      </c>
      <c r="R15" s="676"/>
      <c r="S15" s="677">
        <f t="shared" si="0"/>
        <v>69699416.620625004</v>
      </c>
    </row>
    <row r="16" spans="1:19">
      <c r="A16" s="72">
        <v>9</v>
      </c>
      <c r="B16" s="110" t="s">
        <v>951</v>
      </c>
      <c r="C16" s="675">
        <v>0</v>
      </c>
      <c r="D16" s="675"/>
      <c r="E16" s="675">
        <v>0</v>
      </c>
      <c r="F16" s="675"/>
      <c r="G16" s="675">
        <v>0</v>
      </c>
      <c r="H16" s="675"/>
      <c r="I16" s="675">
        <v>0</v>
      </c>
      <c r="J16" s="675"/>
      <c r="K16" s="675">
        <v>0</v>
      </c>
      <c r="L16" s="675"/>
      <c r="M16" s="675">
        <v>0</v>
      </c>
      <c r="N16" s="675"/>
      <c r="O16" s="675">
        <v>0</v>
      </c>
      <c r="P16" s="675"/>
      <c r="Q16" s="675">
        <v>0</v>
      </c>
      <c r="R16" s="676"/>
      <c r="S16" s="677">
        <f t="shared" si="0"/>
        <v>0</v>
      </c>
    </row>
    <row r="17" spans="1:19">
      <c r="A17" s="72">
        <v>10</v>
      </c>
      <c r="B17" s="110" t="s">
        <v>68</v>
      </c>
      <c r="C17" s="675">
        <v>0</v>
      </c>
      <c r="D17" s="675"/>
      <c r="E17" s="675">
        <v>0</v>
      </c>
      <c r="F17" s="675"/>
      <c r="G17" s="675">
        <v>0</v>
      </c>
      <c r="H17" s="675"/>
      <c r="I17" s="675">
        <v>0</v>
      </c>
      <c r="J17" s="675"/>
      <c r="K17" s="675">
        <v>2733248.5723000001</v>
      </c>
      <c r="L17" s="675"/>
      <c r="M17" s="675">
        <v>34390325.835199997</v>
      </c>
      <c r="N17" s="675"/>
      <c r="O17" s="675">
        <v>0</v>
      </c>
      <c r="P17" s="675"/>
      <c r="Q17" s="675">
        <v>0</v>
      </c>
      <c r="R17" s="676"/>
      <c r="S17" s="677">
        <f t="shared" si="0"/>
        <v>36440262.264424995</v>
      </c>
    </row>
    <row r="18" spans="1:19">
      <c r="A18" s="72">
        <v>11</v>
      </c>
      <c r="B18" s="110" t="s">
        <v>69</v>
      </c>
      <c r="C18" s="675">
        <v>0</v>
      </c>
      <c r="D18" s="675"/>
      <c r="E18" s="675">
        <v>0</v>
      </c>
      <c r="F18" s="675"/>
      <c r="G18" s="675">
        <v>0</v>
      </c>
      <c r="H18" s="675"/>
      <c r="I18" s="675">
        <v>0</v>
      </c>
      <c r="J18" s="675"/>
      <c r="K18" s="675">
        <v>0</v>
      </c>
      <c r="L18" s="675"/>
      <c r="M18" s="675">
        <v>0</v>
      </c>
      <c r="N18" s="675"/>
      <c r="O18" s="675">
        <v>0</v>
      </c>
      <c r="P18" s="675"/>
      <c r="Q18" s="675">
        <v>0</v>
      </c>
      <c r="R18" s="676"/>
      <c r="S18" s="677">
        <f t="shared" si="0"/>
        <v>0</v>
      </c>
    </row>
    <row r="19" spans="1:19">
      <c r="A19" s="72">
        <v>12</v>
      </c>
      <c r="B19" s="110" t="s">
        <v>70</v>
      </c>
      <c r="C19" s="675">
        <v>0</v>
      </c>
      <c r="D19" s="675"/>
      <c r="E19" s="675">
        <v>0</v>
      </c>
      <c r="F19" s="675"/>
      <c r="G19" s="675">
        <v>0</v>
      </c>
      <c r="H19" s="675"/>
      <c r="I19" s="675">
        <v>0</v>
      </c>
      <c r="J19" s="675"/>
      <c r="K19" s="675">
        <v>0</v>
      </c>
      <c r="L19" s="675"/>
      <c r="M19" s="675">
        <v>0</v>
      </c>
      <c r="N19" s="675"/>
      <c r="O19" s="675">
        <v>0</v>
      </c>
      <c r="P19" s="675"/>
      <c r="Q19" s="675">
        <v>0</v>
      </c>
      <c r="R19" s="676"/>
      <c r="S19" s="677">
        <f t="shared" si="0"/>
        <v>0</v>
      </c>
    </row>
    <row r="20" spans="1:19">
      <c r="A20" s="72">
        <v>13</v>
      </c>
      <c r="B20" s="110" t="s">
        <v>71</v>
      </c>
      <c r="C20" s="675">
        <v>0</v>
      </c>
      <c r="D20" s="675"/>
      <c r="E20" s="675">
        <v>0</v>
      </c>
      <c r="F20" s="675"/>
      <c r="G20" s="675">
        <v>0</v>
      </c>
      <c r="H20" s="675"/>
      <c r="I20" s="675">
        <v>0</v>
      </c>
      <c r="J20" s="675"/>
      <c r="K20" s="675">
        <v>0</v>
      </c>
      <c r="L20" s="675"/>
      <c r="M20" s="675">
        <v>0</v>
      </c>
      <c r="N20" s="675"/>
      <c r="O20" s="675">
        <v>0</v>
      </c>
      <c r="P20" s="675"/>
      <c r="Q20" s="675">
        <v>0</v>
      </c>
      <c r="R20" s="676"/>
      <c r="S20" s="677">
        <f t="shared" si="0"/>
        <v>0</v>
      </c>
    </row>
    <row r="21" spans="1:19">
      <c r="A21" s="72">
        <v>14</v>
      </c>
      <c r="B21" s="110" t="s">
        <v>155</v>
      </c>
      <c r="C21" s="675">
        <v>5275000.3311999999</v>
      </c>
      <c r="D21" s="675"/>
      <c r="E21" s="675">
        <v>0</v>
      </c>
      <c r="F21" s="675"/>
      <c r="G21" s="675">
        <v>0</v>
      </c>
      <c r="H21" s="675"/>
      <c r="I21" s="675">
        <v>0</v>
      </c>
      <c r="J21" s="675"/>
      <c r="K21" s="675">
        <v>0</v>
      </c>
      <c r="L21" s="675"/>
      <c r="M21" s="675">
        <v>12196666.3411</v>
      </c>
      <c r="N21" s="675"/>
      <c r="O21" s="675">
        <v>0</v>
      </c>
      <c r="P21" s="675"/>
      <c r="Q21" s="675">
        <v>0</v>
      </c>
      <c r="R21" s="676"/>
      <c r="S21" s="677">
        <f t="shared" si="0"/>
        <v>12196666.3411</v>
      </c>
    </row>
    <row r="22" spans="1:19" ht="14.4" thickBot="1">
      <c r="A22" s="55"/>
      <c r="B22" s="94" t="s">
        <v>67</v>
      </c>
      <c r="C22" s="173">
        <f>SUM(C8:C21)</f>
        <v>11088750.851199999</v>
      </c>
      <c r="D22" s="173">
        <f t="shared" ref="D22:S22" si="1">SUM(D8:D21)</f>
        <v>0</v>
      </c>
      <c r="E22" s="173">
        <f t="shared" si="1"/>
        <v>66396857.841799997</v>
      </c>
      <c r="F22" s="173">
        <f t="shared" si="1"/>
        <v>0</v>
      </c>
      <c r="G22" s="173">
        <f t="shared" si="1"/>
        <v>0</v>
      </c>
      <c r="H22" s="173">
        <f t="shared" si="1"/>
        <v>0</v>
      </c>
      <c r="I22" s="173">
        <f t="shared" si="1"/>
        <v>7908461.8855999997</v>
      </c>
      <c r="J22" s="173">
        <f t="shared" si="1"/>
        <v>0</v>
      </c>
      <c r="K22" s="173">
        <f t="shared" si="1"/>
        <v>51185263.807000004</v>
      </c>
      <c r="L22" s="173">
        <f t="shared" si="1"/>
        <v>0</v>
      </c>
      <c r="M22" s="173">
        <f t="shared" si="1"/>
        <v>380542614.86589992</v>
      </c>
      <c r="N22" s="173">
        <f t="shared" si="1"/>
        <v>33895648.831599995</v>
      </c>
      <c r="O22" s="173">
        <f t="shared" si="1"/>
        <v>0</v>
      </c>
      <c r="P22" s="173">
        <f t="shared" si="1"/>
        <v>0</v>
      </c>
      <c r="Q22" s="173">
        <f t="shared" si="1"/>
        <v>0</v>
      </c>
      <c r="R22" s="173">
        <f t="shared" si="1"/>
        <v>0</v>
      </c>
      <c r="S22" s="678">
        <f t="shared" si="1"/>
        <v>470060814.06390995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10.5546875" style="1" bestFit="1" customWidth="1"/>
    <col min="2" max="2" width="97" style="1" bestFit="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109</v>
      </c>
      <c r="B1" s="1" t="str">
        <f>Info!C2</f>
        <v>სს " პაშა ბანკი საქართველო"</v>
      </c>
    </row>
    <row r="2" spans="1:22">
      <c r="A2" s="1" t="s">
        <v>110</v>
      </c>
      <c r="B2" s="322">
        <f>'1. key ratios'!B2</f>
        <v>45016</v>
      </c>
    </row>
    <row r="4" spans="1:22" ht="28.2" thickBot="1">
      <c r="A4" s="1" t="s">
        <v>261</v>
      </c>
      <c r="B4" s="194" t="s">
        <v>296</v>
      </c>
      <c r="V4" s="135" t="s">
        <v>88</v>
      </c>
    </row>
    <row r="5" spans="1:22">
      <c r="A5" s="53"/>
      <c r="B5" s="54"/>
      <c r="C5" s="790" t="s">
        <v>117</v>
      </c>
      <c r="D5" s="791"/>
      <c r="E5" s="791"/>
      <c r="F5" s="791"/>
      <c r="G5" s="791"/>
      <c r="H5" s="791"/>
      <c r="I5" s="791"/>
      <c r="J5" s="791"/>
      <c r="K5" s="791"/>
      <c r="L5" s="792"/>
      <c r="M5" s="790" t="s">
        <v>118</v>
      </c>
      <c r="N5" s="791"/>
      <c r="O5" s="791"/>
      <c r="P5" s="791"/>
      <c r="Q5" s="791"/>
      <c r="R5" s="791"/>
      <c r="S5" s="792"/>
      <c r="T5" s="795" t="s">
        <v>294</v>
      </c>
      <c r="U5" s="795" t="s">
        <v>293</v>
      </c>
      <c r="V5" s="793" t="s">
        <v>119</v>
      </c>
    </row>
    <row r="6" spans="1:22" s="30" customFormat="1" ht="138">
      <c r="A6" s="70"/>
      <c r="B6" s="112"/>
      <c r="C6" s="51" t="s">
        <v>120</v>
      </c>
      <c r="D6" s="50" t="s">
        <v>121</v>
      </c>
      <c r="E6" s="48" t="s">
        <v>122</v>
      </c>
      <c r="F6" s="48" t="s">
        <v>288</v>
      </c>
      <c r="G6" s="50" t="s">
        <v>123</v>
      </c>
      <c r="H6" s="50" t="s">
        <v>124</v>
      </c>
      <c r="I6" s="50" t="s">
        <v>125</v>
      </c>
      <c r="J6" s="50" t="s">
        <v>154</v>
      </c>
      <c r="K6" s="50" t="s">
        <v>126</v>
      </c>
      <c r="L6" s="52" t="s">
        <v>127</v>
      </c>
      <c r="M6" s="51" t="s">
        <v>128</v>
      </c>
      <c r="N6" s="50" t="s">
        <v>129</v>
      </c>
      <c r="O6" s="50" t="s">
        <v>130</v>
      </c>
      <c r="P6" s="50" t="s">
        <v>131</v>
      </c>
      <c r="Q6" s="50" t="s">
        <v>132</v>
      </c>
      <c r="R6" s="50" t="s">
        <v>133</v>
      </c>
      <c r="S6" s="52" t="s">
        <v>134</v>
      </c>
      <c r="T6" s="796"/>
      <c r="U6" s="796"/>
      <c r="V6" s="794"/>
    </row>
    <row r="7" spans="1:22">
      <c r="A7" s="93">
        <v>1</v>
      </c>
      <c r="B7" s="110" t="s">
        <v>135</v>
      </c>
      <c r="C7" s="174"/>
      <c r="D7" s="172"/>
      <c r="E7" s="172"/>
      <c r="F7" s="172"/>
      <c r="G7" s="172"/>
      <c r="H7" s="172"/>
      <c r="I7" s="172"/>
      <c r="J7" s="172"/>
      <c r="K7" s="172"/>
      <c r="L7" s="175"/>
      <c r="M7" s="174"/>
      <c r="N7" s="172"/>
      <c r="O7" s="172"/>
      <c r="P7" s="172"/>
      <c r="Q7" s="172"/>
      <c r="R7" s="172"/>
      <c r="S7" s="175"/>
      <c r="T7" s="191"/>
      <c r="U7" s="190"/>
      <c r="V7" s="176">
        <f>SUM(C7:S7)</f>
        <v>0</v>
      </c>
    </row>
    <row r="8" spans="1:22">
      <c r="A8" s="93">
        <v>2</v>
      </c>
      <c r="B8" s="110" t="s">
        <v>136</v>
      </c>
      <c r="C8" s="174"/>
      <c r="D8" s="172"/>
      <c r="E8" s="172"/>
      <c r="F8" s="172"/>
      <c r="G8" s="172"/>
      <c r="H8" s="172"/>
      <c r="I8" s="172"/>
      <c r="J8" s="172"/>
      <c r="K8" s="172"/>
      <c r="L8" s="175"/>
      <c r="M8" s="174"/>
      <c r="N8" s="172"/>
      <c r="O8" s="172"/>
      <c r="P8" s="172"/>
      <c r="Q8" s="172"/>
      <c r="R8" s="172"/>
      <c r="S8" s="175"/>
      <c r="T8" s="190"/>
      <c r="U8" s="190"/>
      <c r="V8" s="176">
        <f t="shared" ref="V8:V20" si="0">SUM(C8:S8)</f>
        <v>0</v>
      </c>
    </row>
    <row r="9" spans="1:22">
      <c r="A9" s="93">
        <v>3</v>
      </c>
      <c r="B9" s="110" t="s">
        <v>137</v>
      </c>
      <c r="C9" s="174"/>
      <c r="D9" s="172"/>
      <c r="E9" s="172"/>
      <c r="F9" s="172"/>
      <c r="G9" s="172"/>
      <c r="H9" s="172"/>
      <c r="I9" s="172"/>
      <c r="J9" s="172"/>
      <c r="K9" s="172"/>
      <c r="L9" s="175"/>
      <c r="M9" s="174"/>
      <c r="N9" s="172"/>
      <c r="O9" s="172"/>
      <c r="P9" s="172"/>
      <c r="Q9" s="172"/>
      <c r="R9" s="172"/>
      <c r="S9" s="175"/>
      <c r="T9" s="190"/>
      <c r="U9" s="190"/>
      <c r="V9" s="176">
        <f>SUM(C9:S9)</f>
        <v>0</v>
      </c>
    </row>
    <row r="10" spans="1:22">
      <c r="A10" s="93">
        <v>4</v>
      </c>
      <c r="B10" s="110" t="s">
        <v>138</v>
      </c>
      <c r="C10" s="174"/>
      <c r="D10" s="172"/>
      <c r="E10" s="172"/>
      <c r="F10" s="172"/>
      <c r="G10" s="172"/>
      <c r="H10" s="172"/>
      <c r="I10" s="172"/>
      <c r="J10" s="172"/>
      <c r="K10" s="172"/>
      <c r="L10" s="175"/>
      <c r="M10" s="174"/>
      <c r="N10" s="172"/>
      <c r="O10" s="172"/>
      <c r="P10" s="172"/>
      <c r="Q10" s="172"/>
      <c r="R10" s="172"/>
      <c r="S10" s="175"/>
      <c r="T10" s="190"/>
      <c r="U10" s="190"/>
      <c r="V10" s="176">
        <f t="shared" si="0"/>
        <v>0</v>
      </c>
    </row>
    <row r="11" spans="1:22">
      <c r="A11" s="93">
        <v>5</v>
      </c>
      <c r="B11" s="110" t="s">
        <v>950</v>
      </c>
      <c r="C11" s="174"/>
      <c r="D11" s="172"/>
      <c r="E11" s="172"/>
      <c r="F11" s="172"/>
      <c r="G11" s="172"/>
      <c r="H11" s="172"/>
      <c r="I11" s="172"/>
      <c r="J11" s="172"/>
      <c r="K11" s="172"/>
      <c r="L11" s="175"/>
      <c r="M11" s="174"/>
      <c r="N11" s="172"/>
      <c r="O11" s="172"/>
      <c r="P11" s="172"/>
      <c r="Q11" s="172"/>
      <c r="R11" s="172"/>
      <c r="S11" s="175"/>
      <c r="T11" s="190"/>
      <c r="U11" s="190"/>
      <c r="V11" s="176">
        <f t="shared" si="0"/>
        <v>0</v>
      </c>
    </row>
    <row r="12" spans="1:22">
      <c r="A12" s="93">
        <v>6</v>
      </c>
      <c r="B12" s="110" t="s">
        <v>139</v>
      </c>
      <c r="C12" s="174"/>
      <c r="D12" s="172"/>
      <c r="E12" s="172"/>
      <c r="F12" s="172"/>
      <c r="G12" s="172"/>
      <c r="H12" s="172"/>
      <c r="I12" s="172"/>
      <c r="J12" s="172"/>
      <c r="K12" s="172"/>
      <c r="L12" s="175"/>
      <c r="M12" s="174"/>
      <c r="N12" s="172"/>
      <c r="O12" s="172"/>
      <c r="P12" s="172"/>
      <c r="Q12" s="172"/>
      <c r="R12" s="172"/>
      <c r="S12" s="175"/>
      <c r="T12" s="190"/>
      <c r="U12" s="190"/>
      <c r="V12" s="176">
        <f t="shared" si="0"/>
        <v>0</v>
      </c>
    </row>
    <row r="13" spans="1:22">
      <c r="A13" s="93">
        <v>7</v>
      </c>
      <c r="B13" s="110" t="s">
        <v>72</v>
      </c>
      <c r="C13" s="174"/>
      <c r="D13" s="172">
        <v>976677.79249999998</v>
      </c>
      <c r="E13" s="172"/>
      <c r="F13" s="172"/>
      <c r="G13" s="172"/>
      <c r="H13" s="172"/>
      <c r="I13" s="172"/>
      <c r="J13" s="172"/>
      <c r="K13" s="172"/>
      <c r="L13" s="175"/>
      <c r="M13" s="174"/>
      <c r="N13" s="172"/>
      <c r="O13" s="172"/>
      <c r="P13" s="172"/>
      <c r="Q13" s="172"/>
      <c r="R13" s="172"/>
      <c r="S13" s="175"/>
      <c r="T13" s="190"/>
      <c r="U13" s="190"/>
      <c r="V13" s="176">
        <f t="shared" si="0"/>
        <v>976677.79249999998</v>
      </c>
    </row>
    <row r="14" spans="1:22">
      <c r="A14" s="93">
        <v>8</v>
      </c>
      <c r="B14" s="110" t="s">
        <v>73</v>
      </c>
      <c r="C14" s="174"/>
      <c r="D14" s="172">
        <v>102013.6156</v>
      </c>
      <c r="E14" s="172"/>
      <c r="F14" s="172"/>
      <c r="G14" s="172"/>
      <c r="H14" s="172"/>
      <c r="I14" s="172"/>
      <c r="J14" s="172"/>
      <c r="K14" s="172"/>
      <c r="L14" s="175"/>
      <c r="M14" s="174"/>
      <c r="N14" s="172"/>
      <c r="O14" s="172"/>
      <c r="P14" s="172"/>
      <c r="Q14" s="172"/>
      <c r="R14" s="172"/>
      <c r="S14" s="175"/>
      <c r="T14" s="190"/>
      <c r="U14" s="190"/>
      <c r="V14" s="176">
        <f t="shared" si="0"/>
        <v>102013.6156</v>
      </c>
    </row>
    <row r="15" spans="1:22">
      <c r="A15" s="93">
        <v>9</v>
      </c>
      <c r="B15" s="110" t="s">
        <v>951</v>
      </c>
      <c r="C15" s="174"/>
      <c r="D15" s="172"/>
      <c r="E15" s="172"/>
      <c r="F15" s="172"/>
      <c r="G15" s="172"/>
      <c r="H15" s="172"/>
      <c r="I15" s="172"/>
      <c r="J15" s="172"/>
      <c r="K15" s="172"/>
      <c r="L15" s="175"/>
      <c r="M15" s="174"/>
      <c r="N15" s="172"/>
      <c r="O15" s="172"/>
      <c r="P15" s="172"/>
      <c r="Q15" s="172"/>
      <c r="R15" s="172"/>
      <c r="S15" s="175"/>
      <c r="T15" s="190"/>
      <c r="U15" s="190"/>
      <c r="V15" s="176">
        <f t="shared" si="0"/>
        <v>0</v>
      </c>
    </row>
    <row r="16" spans="1:22">
      <c r="A16" s="93">
        <v>10</v>
      </c>
      <c r="B16" s="110" t="s">
        <v>68</v>
      </c>
      <c r="C16" s="174"/>
      <c r="D16" s="172">
        <v>272725.73790000001</v>
      </c>
      <c r="E16" s="172"/>
      <c r="F16" s="172"/>
      <c r="G16" s="172"/>
      <c r="H16" s="172"/>
      <c r="I16" s="172"/>
      <c r="J16" s="172"/>
      <c r="K16" s="172"/>
      <c r="L16" s="175"/>
      <c r="M16" s="174"/>
      <c r="N16" s="172"/>
      <c r="O16" s="172"/>
      <c r="P16" s="172"/>
      <c r="Q16" s="172"/>
      <c r="R16" s="172"/>
      <c r="S16" s="175"/>
      <c r="T16" s="190"/>
      <c r="U16" s="190"/>
      <c r="V16" s="176">
        <f t="shared" si="0"/>
        <v>272725.73790000001</v>
      </c>
    </row>
    <row r="17" spans="1:22">
      <c r="A17" s="93">
        <v>11</v>
      </c>
      <c r="B17" s="110" t="s">
        <v>69</v>
      </c>
      <c r="C17" s="174"/>
      <c r="D17" s="172"/>
      <c r="E17" s="172"/>
      <c r="F17" s="172"/>
      <c r="G17" s="172"/>
      <c r="H17" s="172"/>
      <c r="I17" s="172"/>
      <c r="J17" s="172"/>
      <c r="K17" s="172"/>
      <c r="L17" s="175"/>
      <c r="M17" s="174"/>
      <c r="N17" s="172"/>
      <c r="O17" s="172"/>
      <c r="P17" s="172"/>
      <c r="Q17" s="172"/>
      <c r="R17" s="172"/>
      <c r="S17" s="175"/>
      <c r="T17" s="190"/>
      <c r="U17" s="190"/>
      <c r="V17" s="176">
        <f t="shared" si="0"/>
        <v>0</v>
      </c>
    </row>
    <row r="18" spans="1:22">
      <c r="A18" s="93">
        <v>12</v>
      </c>
      <c r="B18" s="110" t="s">
        <v>70</v>
      </c>
      <c r="C18" s="174"/>
      <c r="D18" s="172"/>
      <c r="E18" s="172"/>
      <c r="F18" s="172"/>
      <c r="G18" s="172"/>
      <c r="H18" s="172"/>
      <c r="I18" s="172"/>
      <c r="J18" s="172"/>
      <c r="K18" s="172"/>
      <c r="L18" s="175"/>
      <c r="M18" s="174"/>
      <c r="N18" s="172"/>
      <c r="O18" s="172"/>
      <c r="P18" s="172"/>
      <c r="Q18" s="172"/>
      <c r="R18" s="172"/>
      <c r="S18" s="175"/>
      <c r="T18" s="190"/>
      <c r="U18" s="190"/>
      <c r="V18" s="176">
        <f t="shared" si="0"/>
        <v>0</v>
      </c>
    </row>
    <row r="19" spans="1:22">
      <c r="A19" s="93">
        <v>13</v>
      </c>
      <c r="B19" s="110" t="s">
        <v>71</v>
      </c>
      <c r="C19" s="174"/>
      <c r="D19" s="172"/>
      <c r="E19" s="172"/>
      <c r="F19" s="172"/>
      <c r="G19" s="172"/>
      <c r="H19" s="172"/>
      <c r="I19" s="172"/>
      <c r="J19" s="172"/>
      <c r="K19" s="172"/>
      <c r="L19" s="175"/>
      <c r="M19" s="174"/>
      <c r="N19" s="172"/>
      <c r="O19" s="172"/>
      <c r="P19" s="172"/>
      <c r="Q19" s="172"/>
      <c r="R19" s="172"/>
      <c r="S19" s="175"/>
      <c r="T19" s="190"/>
      <c r="U19" s="190"/>
      <c r="V19" s="176">
        <f t="shared" si="0"/>
        <v>0</v>
      </c>
    </row>
    <row r="20" spans="1:22">
      <c r="A20" s="93">
        <v>14</v>
      </c>
      <c r="B20" s="110" t="s">
        <v>155</v>
      </c>
      <c r="C20" s="174"/>
      <c r="D20" s="172"/>
      <c r="E20" s="172"/>
      <c r="F20" s="172"/>
      <c r="G20" s="172"/>
      <c r="H20" s="172"/>
      <c r="I20" s="172"/>
      <c r="J20" s="172"/>
      <c r="K20" s="172"/>
      <c r="L20" s="175"/>
      <c r="M20" s="174"/>
      <c r="N20" s="172"/>
      <c r="O20" s="172"/>
      <c r="P20" s="172"/>
      <c r="Q20" s="172"/>
      <c r="R20" s="172"/>
      <c r="S20" s="175"/>
      <c r="T20" s="190"/>
      <c r="U20" s="190"/>
      <c r="V20" s="176">
        <f t="shared" si="0"/>
        <v>0</v>
      </c>
    </row>
    <row r="21" spans="1:22" ht="14.4" thickBot="1">
      <c r="A21" s="55"/>
      <c r="B21" s="56" t="s">
        <v>67</v>
      </c>
      <c r="C21" s="177">
        <f>SUM(C7:C20)</f>
        <v>0</v>
      </c>
      <c r="D21" s="173">
        <f t="shared" ref="D21:V21" si="1">SUM(D7:D20)</f>
        <v>1351417.1459999999</v>
      </c>
      <c r="E21" s="173">
        <f t="shared" si="1"/>
        <v>0</v>
      </c>
      <c r="F21" s="173">
        <f t="shared" si="1"/>
        <v>0</v>
      </c>
      <c r="G21" s="173">
        <f t="shared" si="1"/>
        <v>0</v>
      </c>
      <c r="H21" s="173">
        <f t="shared" si="1"/>
        <v>0</v>
      </c>
      <c r="I21" s="173">
        <f t="shared" si="1"/>
        <v>0</v>
      </c>
      <c r="J21" s="173">
        <f t="shared" si="1"/>
        <v>0</v>
      </c>
      <c r="K21" s="173">
        <f t="shared" si="1"/>
        <v>0</v>
      </c>
      <c r="L21" s="178">
        <f t="shared" si="1"/>
        <v>0</v>
      </c>
      <c r="M21" s="177">
        <f t="shared" si="1"/>
        <v>0</v>
      </c>
      <c r="N21" s="173">
        <f t="shared" si="1"/>
        <v>0</v>
      </c>
      <c r="O21" s="173">
        <f t="shared" si="1"/>
        <v>0</v>
      </c>
      <c r="P21" s="173">
        <f t="shared" si="1"/>
        <v>0</v>
      </c>
      <c r="Q21" s="173">
        <f t="shared" si="1"/>
        <v>0</v>
      </c>
      <c r="R21" s="173">
        <f t="shared" si="1"/>
        <v>0</v>
      </c>
      <c r="S21" s="178">
        <f t="shared" si="1"/>
        <v>0</v>
      </c>
      <c r="T21" s="178">
        <f>SUM(T7:T20)</f>
        <v>0</v>
      </c>
      <c r="U21" s="178">
        <f t="shared" si="1"/>
        <v>0</v>
      </c>
      <c r="V21" s="179">
        <f t="shared" si="1"/>
        <v>1351417.1459999999</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scale="16"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pane xSplit="1" ySplit="7" topLeftCell="B8"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109</v>
      </c>
      <c r="B1" s="1" t="str">
        <f>Info!C2</f>
        <v>სს " პაშა ბანკი საქართველო"</v>
      </c>
    </row>
    <row r="2" spans="1:9">
      <c r="A2" s="1" t="s">
        <v>110</v>
      </c>
      <c r="B2" s="322">
        <f>'1. key ratios'!B2</f>
        <v>45016</v>
      </c>
    </row>
    <row r="4" spans="1:9" ht="14.4" thickBot="1">
      <c r="A4" s="1" t="s">
        <v>262</v>
      </c>
      <c r="B4" s="22" t="s">
        <v>297</v>
      </c>
    </row>
    <row r="5" spans="1:9">
      <c r="A5" s="53"/>
      <c r="B5" s="91"/>
      <c r="C5" s="95" t="s">
        <v>0</v>
      </c>
      <c r="D5" s="95" t="s">
        <v>1</v>
      </c>
      <c r="E5" s="95" t="s">
        <v>2</v>
      </c>
      <c r="F5" s="95" t="s">
        <v>3</v>
      </c>
      <c r="G5" s="189" t="s">
        <v>4</v>
      </c>
      <c r="H5" s="96" t="s">
        <v>6</v>
      </c>
      <c r="I5" s="17"/>
    </row>
    <row r="6" spans="1:9" ht="15" customHeight="1">
      <c r="A6" s="90"/>
      <c r="B6" s="15"/>
      <c r="C6" s="788" t="s">
        <v>289</v>
      </c>
      <c r="D6" s="799" t="s">
        <v>310</v>
      </c>
      <c r="E6" s="800"/>
      <c r="F6" s="788" t="s">
        <v>316</v>
      </c>
      <c r="G6" s="788" t="s">
        <v>317</v>
      </c>
      <c r="H6" s="797" t="s">
        <v>291</v>
      </c>
      <c r="I6" s="17"/>
    </row>
    <row r="7" spans="1:9" ht="69">
      <c r="A7" s="90"/>
      <c r="B7" s="15"/>
      <c r="C7" s="789"/>
      <c r="D7" s="192" t="s">
        <v>292</v>
      </c>
      <c r="E7" s="192" t="s">
        <v>290</v>
      </c>
      <c r="F7" s="789"/>
      <c r="G7" s="789"/>
      <c r="H7" s="798"/>
      <c r="I7" s="17"/>
    </row>
    <row r="8" spans="1:9">
      <c r="A8" s="45">
        <v>1</v>
      </c>
      <c r="B8" s="110" t="s">
        <v>135</v>
      </c>
      <c r="C8" s="675">
        <v>51280547.279200003</v>
      </c>
      <c r="D8" s="675"/>
      <c r="E8" s="675"/>
      <c r="F8" s="675">
        <v>45466796.759199999</v>
      </c>
      <c r="G8" s="676">
        <v>45466796.759199999</v>
      </c>
      <c r="H8" s="195">
        <f>G8/(C8+E8)</f>
        <v>0.88662853989551449</v>
      </c>
    </row>
    <row r="9" spans="1:9" ht="15" customHeight="1">
      <c r="A9" s="45">
        <v>2</v>
      </c>
      <c r="B9" s="110" t="s">
        <v>136</v>
      </c>
      <c r="C9" s="675">
        <v>0</v>
      </c>
      <c r="D9" s="675"/>
      <c r="E9" s="675"/>
      <c r="F9" s="675">
        <v>0</v>
      </c>
      <c r="G9" s="676">
        <v>0</v>
      </c>
      <c r="H9" s="195" t="e">
        <f t="shared" ref="H9:H21" si="0">G9/(C9+E9)</f>
        <v>#DIV/0!</v>
      </c>
    </row>
    <row r="10" spans="1:9">
      <c r="A10" s="45">
        <v>3</v>
      </c>
      <c r="B10" s="110" t="s">
        <v>137</v>
      </c>
      <c r="C10" s="675">
        <v>0</v>
      </c>
      <c r="D10" s="675"/>
      <c r="E10" s="675"/>
      <c r="F10" s="675">
        <v>0</v>
      </c>
      <c r="G10" s="676">
        <v>0</v>
      </c>
      <c r="H10" s="195" t="e">
        <f t="shared" si="0"/>
        <v>#DIV/0!</v>
      </c>
    </row>
    <row r="11" spans="1:9">
      <c r="A11" s="45">
        <v>4</v>
      </c>
      <c r="B11" s="110" t="s">
        <v>138</v>
      </c>
      <c r="C11" s="675">
        <v>0</v>
      </c>
      <c r="D11" s="675"/>
      <c r="E11" s="675"/>
      <c r="F11" s="675">
        <v>0</v>
      </c>
      <c r="G11" s="676">
        <v>0</v>
      </c>
      <c r="H11" s="195" t="e">
        <f t="shared" si="0"/>
        <v>#DIV/0!</v>
      </c>
    </row>
    <row r="12" spans="1:9">
      <c r="A12" s="45">
        <v>5</v>
      </c>
      <c r="B12" s="110" t="s">
        <v>950</v>
      </c>
      <c r="C12" s="675">
        <v>0</v>
      </c>
      <c r="D12" s="675"/>
      <c r="E12" s="675"/>
      <c r="F12" s="675">
        <v>0</v>
      </c>
      <c r="G12" s="676">
        <v>0</v>
      </c>
      <c r="H12" s="195" t="e">
        <f t="shared" si="0"/>
        <v>#DIV/0!</v>
      </c>
    </row>
    <row r="13" spans="1:9">
      <c r="A13" s="45">
        <v>6</v>
      </c>
      <c r="B13" s="110" t="s">
        <v>139</v>
      </c>
      <c r="C13" s="675">
        <v>74305319.72739999</v>
      </c>
      <c r="D13" s="675">
        <v>870000</v>
      </c>
      <c r="E13" s="675">
        <v>435000</v>
      </c>
      <c r="F13" s="675">
        <v>17668602.511160001</v>
      </c>
      <c r="G13" s="676">
        <v>17668602.511160001</v>
      </c>
      <c r="H13" s="195">
        <f t="shared" si="0"/>
        <v>0.23639987861441603</v>
      </c>
    </row>
    <row r="14" spans="1:9">
      <c r="A14" s="45">
        <v>7</v>
      </c>
      <c r="B14" s="110" t="s">
        <v>72</v>
      </c>
      <c r="C14" s="675">
        <v>288482631.02029997</v>
      </c>
      <c r="D14" s="675">
        <v>51042402.340000004</v>
      </c>
      <c r="E14" s="675">
        <v>106438.5471</v>
      </c>
      <c r="F14" s="675">
        <v>288589069.56739998</v>
      </c>
      <c r="G14" s="676">
        <v>287612391.77489996</v>
      </c>
      <c r="H14" s="195">
        <f>G14/(C14+E14)</f>
        <v>0.99661567988710009</v>
      </c>
    </row>
    <row r="15" spans="1:9">
      <c r="A15" s="45">
        <v>8</v>
      </c>
      <c r="B15" s="110" t="s">
        <v>73</v>
      </c>
      <c r="C15" s="675">
        <v>48458210.1448</v>
      </c>
      <c r="D15" s="675">
        <v>65428170.6536</v>
      </c>
      <c r="E15" s="675">
        <v>33354210.284499999</v>
      </c>
      <c r="F15" s="675">
        <v>69699416.620625004</v>
      </c>
      <c r="G15" s="676">
        <v>69597403.005024999</v>
      </c>
      <c r="H15" s="195">
        <f t="shared" si="0"/>
        <v>0.85069482897366577</v>
      </c>
    </row>
    <row r="16" spans="1:9">
      <c r="A16" s="45">
        <v>9</v>
      </c>
      <c r="B16" s="110" t="s">
        <v>951</v>
      </c>
      <c r="C16" s="675">
        <v>0</v>
      </c>
      <c r="D16" s="675">
        <v>0</v>
      </c>
      <c r="E16" s="675">
        <v>0</v>
      </c>
      <c r="F16" s="675">
        <v>0</v>
      </c>
      <c r="G16" s="676">
        <v>0</v>
      </c>
      <c r="H16" s="195" t="e">
        <f t="shared" si="0"/>
        <v>#DIV/0!</v>
      </c>
    </row>
    <row r="17" spans="1:8">
      <c r="A17" s="45">
        <v>10</v>
      </c>
      <c r="B17" s="110" t="s">
        <v>68</v>
      </c>
      <c r="C17" s="675">
        <v>37123574.407499999</v>
      </c>
      <c r="D17" s="675"/>
      <c r="E17" s="675"/>
      <c r="F17" s="675">
        <v>36440262.264424995</v>
      </c>
      <c r="G17" s="676">
        <v>36167536.526524998</v>
      </c>
      <c r="H17" s="195">
        <f t="shared" si="0"/>
        <v>0.97424714898191878</v>
      </c>
    </row>
    <row r="18" spans="1:8">
      <c r="A18" s="45">
        <v>11</v>
      </c>
      <c r="B18" s="110" t="s">
        <v>69</v>
      </c>
      <c r="C18" s="675">
        <v>0</v>
      </c>
      <c r="D18" s="675"/>
      <c r="E18" s="675"/>
      <c r="F18" s="675">
        <v>0</v>
      </c>
      <c r="G18" s="676">
        <v>0</v>
      </c>
      <c r="H18" s="195" t="e">
        <f t="shared" si="0"/>
        <v>#DIV/0!</v>
      </c>
    </row>
    <row r="19" spans="1:8">
      <c r="A19" s="45">
        <v>12</v>
      </c>
      <c r="B19" s="110" t="s">
        <v>70</v>
      </c>
      <c r="C19" s="675">
        <v>0</v>
      </c>
      <c r="D19" s="675"/>
      <c r="E19" s="675"/>
      <c r="F19" s="675">
        <v>0</v>
      </c>
      <c r="G19" s="676">
        <v>0</v>
      </c>
      <c r="H19" s="195" t="e">
        <f t="shared" si="0"/>
        <v>#DIV/0!</v>
      </c>
    </row>
    <row r="20" spans="1:8">
      <c r="A20" s="45">
        <v>13</v>
      </c>
      <c r="B20" s="110" t="s">
        <v>71</v>
      </c>
      <c r="C20" s="675">
        <v>0</v>
      </c>
      <c r="D20" s="675"/>
      <c r="E20" s="675"/>
      <c r="F20" s="675">
        <v>0</v>
      </c>
      <c r="G20" s="676">
        <v>0</v>
      </c>
      <c r="H20" s="195" t="e">
        <f t="shared" si="0"/>
        <v>#DIV/0!</v>
      </c>
    </row>
    <row r="21" spans="1:8">
      <c r="A21" s="45">
        <v>14</v>
      </c>
      <c r="B21" s="110" t="s">
        <v>155</v>
      </c>
      <c r="C21" s="675">
        <v>17471666.6723</v>
      </c>
      <c r="D21" s="675"/>
      <c r="E21" s="675"/>
      <c r="F21" s="675">
        <v>12196666.3411</v>
      </c>
      <c r="G21" s="676">
        <v>12196666.3411</v>
      </c>
      <c r="H21" s="195">
        <f t="shared" si="0"/>
        <v>0.69808259108084336</v>
      </c>
    </row>
    <row r="22" spans="1:8" ht="14.4" thickBot="1">
      <c r="A22" s="92"/>
      <c r="B22" s="97" t="s">
        <v>67</v>
      </c>
      <c r="C22" s="173">
        <v>0</v>
      </c>
      <c r="D22" s="173">
        <f>SUM(D8:D21)</f>
        <v>117340572.99360001</v>
      </c>
      <c r="E22" s="173">
        <f>SUM(E8:E21)</f>
        <v>33895648.831599995</v>
      </c>
      <c r="F22" s="173">
        <f>SUM(F8:F21)</f>
        <v>470060814.06390995</v>
      </c>
      <c r="G22" s="173">
        <f>SUM(G8:G21)</f>
        <v>468709396.91790998</v>
      </c>
      <c r="H22" s="196">
        <f>G22/(C22+E22)</f>
        <v>13.828010764642597</v>
      </c>
    </row>
    <row r="28" spans="1:8" ht="10.5" customHeight="1"/>
  </sheetData>
  <mergeCells count="5">
    <mergeCell ref="C6:C7"/>
    <mergeCell ref="F6:F7"/>
    <mergeCell ref="G6:G7"/>
    <mergeCell ref="H6:H7"/>
    <mergeCell ref="D6:E6"/>
  </mergeCells>
  <pageMargins left="0.7" right="0.7" top="0.75" bottom="0.75" header="0.3" footer="0.3"/>
  <pageSetup scale="43" orientation="portrait" r:id="rId1"/>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109</v>
      </c>
      <c r="B1" s="1" t="str">
        <f>Info!C2</f>
        <v>სს " პაშა ბანკი საქართველო"</v>
      </c>
    </row>
    <row r="2" spans="1:11">
      <c r="A2" s="1" t="s">
        <v>110</v>
      </c>
      <c r="B2" s="322">
        <f>'1. key ratios'!B2</f>
        <v>45016</v>
      </c>
    </row>
    <row r="4" spans="1:11" ht="14.4" thickBot="1">
      <c r="A4" s="1" t="s">
        <v>353</v>
      </c>
      <c r="B4" s="22" t="s">
        <v>352</v>
      </c>
    </row>
    <row r="5" spans="1:11" ht="30" customHeight="1">
      <c r="A5" s="804"/>
      <c r="B5" s="805"/>
      <c r="C5" s="802" t="s">
        <v>385</v>
      </c>
      <c r="D5" s="802"/>
      <c r="E5" s="802"/>
      <c r="F5" s="802" t="s">
        <v>386</v>
      </c>
      <c r="G5" s="802"/>
      <c r="H5" s="802"/>
      <c r="I5" s="802" t="s">
        <v>387</v>
      </c>
      <c r="J5" s="802"/>
      <c r="K5" s="803"/>
    </row>
    <row r="6" spans="1:11">
      <c r="A6" s="215"/>
      <c r="B6" s="679"/>
      <c r="C6" s="680" t="s">
        <v>27</v>
      </c>
      <c r="D6" s="680" t="s">
        <v>91</v>
      </c>
      <c r="E6" s="680" t="s">
        <v>67</v>
      </c>
      <c r="F6" s="680" t="s">
        <v>27</v>
      </c>
      <c r="G6" s="680" t="s">
        <v>91</v>
      </c>
      <c r="H6" s="680" t="s">
        <v>67</v>
      </c>
      <c r="I6" s="680" t="s">
        <v>27</v>
      </c>
      <c r="J6" s="680" t="s">
        <v>91</v>
      </c>
      <c r="K6" s="681" t="s">
        <v>67</v>
      </c>
    </row>
    <row r="7" spans="1:11">
      <c r="A7" s="217" t="s">
        <v>323</v>
      </c>
      <c r="B7" s="682"/>
      <c r="C7" s="682"/>
      <c r="D7" s="682"/>
      <c r="E7" s="682"/>
      <c r="F7" s="682"/>
      <c r="G7" s="682"/>
      <c r="H7" s="682"/>
      <c r="I7" s="682"/>
      <c r="J7" s="682"/>
      <c r="K7" s="218"/>
    </row>
    <row r="8" spans="1:11">
      <c r="A8" s="214">
        <v>1</v>
      </c>
      <c r="B8" s="202" t="s">
        <v>323</v>
      </c>
      <c r="C8" s="200"/>
      <c r="D8" s="200"/>
      <c r="E8" s="200"/>
      <c r="F8" s="203">
        <v>65906931.832060628</v>
      </c>
      <c r="G8" s="203">
        <v>85006204.482696876</v>
      </c>
      <c r="H8" s="683">
        <f>F8+G8</f>
        <v>150913136.3147575</v>
      </c>
      <c r="I8" s="684">
        <v>37290304.656666666</v>
      </c>
      <c r="J8" s="684">
        <v>45608653.409999996</v>
      </c>
      <c r="K8" s="685">
        <f>I8+J8</f>
        <v>82898958.066666663</v>
      </c>
    </row>
    <row r="9" spans="1:11">
      <c r="A9" s="217" t="s">
        <v>324</v>
      </c>
      <c r="B9" s="682"/>
      <c r="C9" s="682"/>
      <c r="D9" s="682"/>
      <c r="E9" s="682"/>
      <c r="F9" s="682"/>
      <c r="G9" s="682"/>
      <c r="H9" s="682"/>
      <c r="I9" s="686"/>
      <c r="J9" s="686"/>
      <c r="K9" s="687"/>
    </row>
    <row r="10" spans="1:11">
      <c r="A10" s="688">
        <v>2</v>
      </c>
      <c r="B10" s="689" t="s">
        <v>325</v>
      </c>
      <c r="C10" s="690">
        <v>8145366.7266666666</v>
      </c>
      <c r="D10" s="683">
        <v>34776758.783333339</v>
      </c>
      <c r="E10" s="683">
        <f>C10+D10</f>
        <v>42922125.510000005</v>
      </c>
      <c r="F10" s="691">
        <v>829358.23015000008</v>
      </c>
      <c r="G10" s="691">
        <v>8718627.6544833314</v>
      </c>
      <c r="H10" s="683">
        <f>F10+G10</f>
        <v>9547985.8846333306</v>
      </c>
      <c r="I10" s="683">
        <v>204342.77250000005</v>
      </c>
      <c r="J10" s="683">
        <v>2222998.9666666668</v>
      </c>
      <c r="K10" s="685">
        <f t="shared" ref="K10:K15" si="0">I10+J10</f>
        <v>2427341.7391666668</v>
      </c>
    </row>
    <row r="11" spans="1:11">
      <c r="A11" s="688">
        <v>3</v>
      </c>
      <c r="B11" s="689" t="s">
        <v>326</v>
      </c>
      <c r="C11" s="690">
        <v>82683058.416666672</v>
      </c>
      <c r="D11" s="683">
        <v>255285006.84666666</v>
      </c>
      <c r="E11" s="683">
        <f t="shared" ref="E11:E15" si="1">C11+D11</f>
        <v>337968065.26333332</v>
      </c>
      <c r="F11" s="691">
        <v>25299303.552749995</v>
      </c>
      <c r="G11" s="691">
        <v>38737513.516333342</v>
      </c>
      <c r="H11" s="683">
        <f t="shared" ref="H11:H15" si="2">F11+G11</f>
        <v>64036817.069083333</v>
      </c>
      <c r="I11" s="683">
        <v>22454656.387999997</v>
      </c>
      <c r="J11" s="683">
        <v>34278776.789166659</v>
      </c>
      <c r="K11" s="685">
        <f t="shared" si="0"/>
        <v>56733433.177166656</v>
      </c>
    </row>
    <row r="12" spans="1:11">
      <c r="A12" s="688">
        <v>4</v>
      </c>
      <c r="B12" s="689" t="s">
        <v>327</v>
      </c>
      <c r="C12" s="690">
        <v>6666666.666666667</v>
      </c>
      <c r="D12" s="683">
        <v>0</v>
      </c>
      <c r="E12" s="683">
        <f t="shared" si="1"/>
        <v>6666666.666666667</v>
      </c>
      <c r="F12" s="691">
        <v>0</v>
      </c>
      <c r="G12" s="691">
        <v>0</v>
      </c>
      <c r="H12" s="683">
        <f t="shared" si="2"/>
        <v>0</v>
      </c>
      <c r="I12" s="683">
        <v>0</v>
      </c>
      <c r="J12" s="683">
        <v>0</v>
      </c>
      <c r="K12" s="685">
        <f t="shared" si="0"/>
        <v>0</v>
      </c>
    </row>
    <row r="13" spans="1:11">
      <c r="A13" s="688">
        <v>5</v>
      </c>
      <c r="B13" s="689" t="s">
        <v>328</v>
      </c>
      <c r="C13" s="690">
        <v>93556086.670000002</v>
      </c>
      <c r="D13" s="683">
        <v>25842829.956666667</v>
      </c>
      <c r="E13" s="683">
        <f t="shared" si="1"/>
        <v>119398916.62666667</v>
      </c>
      <c r="F13" s="691">
        <v>16703608.719333336</v>
      </c>
      <c r="G13" s="691">
        <v>4767198.1550000003</v>
      </c>
      <c r="H13" s="683">
        <f t="shared" si="2"/>
        <v>21470806.874333337</v>
      </c>
      <c r="I13" s="683">
        <v>5996802.8506666673</v>
      </c>
      <c r="J13" s="683">
        <v>2193075.0411666669</v>
      </c>
      <c r="K13" s="685">
        <f t="shared" si="0"/>
        <v>8189877.8918333342</v>
      </c>
    </row>
    <row r="14" spans="1:11">
      <c r="A14" s="688">
        <v>6</v>
      </c>
      <c r="B14" s="689" t="s">
        <v>343</v>
      </c>
      <c r="C14" s="690">
        <v>0</v>
      </c>
      <c r="D14" s="683">
        <v>0</v>
      </c>
      <c r="E14" s="683">
        <f t="shared" si="1"/>
        <v>0</v>
      </c>
      <c r="F14" s="691">
        <v>0</v>
      </c>
      <c r="G14" s="691">
        <v>0</v>
      </c>
      <c r="H14" s="683">
        <f t="shared" si="2"/>
        <v>0</v>
      </c>
      <c r="I14" s="683">
        <v>0</v>
      </c>
      <c r="J14" s="683">
        <v>0</v>
      </c>
      <c r="K14" s="685">
        <f t="shared" si="0"/>
        <v>0</v>
      </c>
    </row>
    <row r="15" spans="1:11">
      <c r="A15" s="688">
        <v>7</v>
      </c>
      <c r="B15" s="689" t="s">
        <v>330</v>
      </c>
      <c r="C15" s="690">
        <v>6326934.0299999984</v>
      </c>
      <c r="D15" s="683">
        <v>7871627.8533333344</v>
      </c>
      <c r="E15" s="683">
        <f t="shared" si="1"/>
        <v>14198561.883333333</v>
      </c>
      <c r="F15" s="691">
        <v>5434255.1466666674</v>
      </c>
      <c r="G15" s="691">
        <v>768341.37666666659</v>
      </c>
      <c r="H15" s="683">
        <f t="shared" si="2"/>
        <v>6202596.5233333344</v>
      </c>
      <c r="I15" s="683">
        <v>5434255.1466666674</v>
      </c>
      <c r="J15" s="683">
        <v>768341.37666666659</v>
      </c>
      <c r="K15" s="685">
        <f t="shared" si="0"/>
        <v>6202596.5233333344</v>
      </c>
    </row>
    <row r="16" spans="1:11">
      <c r="A16" s="688">
        <v>8</v>
      </c>
      <c r="B16" s="692" t="s">
        <v>331</v>
      </c>
      <c r="C16" s="693">
        <f t="shared" ref="C16:H16" si="3">SUM(C10:C15)</f>
        <v>197378112.51000002</v>
      </c>
      <c r="D16" s="694">
        <f t="shared" si="3"/>
        <v>323776223.44</v>
      </c>
      <c r="E16" s="694">
        <f t="shared" si="3"/>
        <v>521154335.94999999</v>
      </c>
      <c r="F16" s="693">
        <f t="shared" si="3"/>
        <v>48266525.648899995</v>
      </c>
      <c r="G16" s="694">
        <f t="shared" si="3"/>
        <v>52991680.702483341</v>
      </c>
      <c r="H16" s="694">
        <f t="shared" si="3"/>
        <v>101258206.35138334</v>
      </c>
      <c r="I16" s="683">
        <f>SUM(I10:I15)</f>
        <v>34090057.15783333</v>
      </c>
      <c r="J16" s="683">
        <f>SUM(J10:J15)</f>
        <v>39463192.173666656</v>
      </c>
      <c r="K16" s="695">
        <f>SUM(K10:K15)</f>
        <v>73553249.331499994</v>
      </c>
    </row>
    <row r="17" spans="1:11">
      <c r="A17" s="217" t="s">
        <v>332</v>
      </c>
      <c r="B17" s="682"/>
      <c r="C17" s="682"/>
      <c r="D17" s="682"/>
      <c r="E17" s="682"/>
      <c r="F17" s="682"/>
      <c r="G17" s="682"/>
      <c r="H17" s="682"/>
      <c r="I17" s="686"/>
      <c r="J17" s="686"/>
      <c r="K17" s="687"/>
    </row>
    <row r="18" spans="1:11">
      <c r="A18" s="688">
        <v>9</v>
      </c>
      <c r="B18" s="689" t="s">
        <v>333</v>
      </c>
      <c r="C18" s="690">
        <v>0</v>
      </c>
      <c r="D18" s="683">
        <v>0</v>
      </c>
      <c r="E18" s="683">
        <f t="shared" ref="E18:E20" si="4">C18+D18</f>
        <v>0</v>
      </c>
      <c r="F18" s="691">
        <v>0</v>
      </c>
      <c r="G18" s="691">
        <v>0</v>
      </c>
      <c r="H18" s="683">
        <f t="shared" ref="H18:H20" si="5">F18+G18</f>
        <v>0</v>
      </c>
      <c r="I18" s="683">
        <v>0</v>
      </c>
      <c r="J18" s="683">
        <v>0</v>
      </c>
      <c r="K18" s="685">
        <f>I18+J18</f>
        <v>0</v>
      </c>
    </row>
    <row r="19" spans="1:11">
      <c r="A19" s="688">
        <v>10</v>
      </c>
      <c r="B19" s="689" t="s">
        <v>334</v>
      </c>
      <c r="C19" s="690">
        <v>156479170.23432729</v>
      </c>
      <c r="D19" s="683">
        <v>204712865.93072811</v>
      </c>
      <c r="E19" s="683">
        <f t="shared" si="4"/>
        <v>361192036.16505539</v>
      </c>
      <c r="F19" s="691">
        <v>27195128.833316665</v>
      </c>
      <c r="G19" s="691">
        <v>4498431.067416667</v>
      </c>
      <c r="H19" s="683">
        <f t="shared" si="5"/>
        <v>31693559.900733333</v>
      </c>
      <c r="I19" s="683">
        <v>55879109.462043963</v>
      </c>
      <c r="J19" s="683">
        <v>46441358.658444814</v>
      </c>
      <c r="K19" s="685">
        <f>I19+J19</f>
        <v>102320468.12048878</v>
      </c>
    </row>
    <row r="20" spans="1:11">
      <c r="A20" s="688">
        <v>11</v>
      </c>
      <c r="B20" s="689" t="s">
        <v>335</v>
      </c>
      <c r="C20" s="690">
        <v>17714599.172666669</v>
      </c>
      <c r="D20" s="683">
        <v>7838562.7159333332</v>
      </c>
      <c r="E20" s="683">
        <f t="shared" si="4"/>
        <v>25553161.888600003</v>
      </c>
      <c r="F20" s="691">
        <v>1185950.0933333335</v>
      </c>
      <c r="G20" s="691">
        <v>332398.10793333338</v>
      </c>
      <c r="H20" s="683">
        <f t="shared" si="5"/>
        <v>1518348.2012666669</v>
      </c>
      <c r="I20" s="683">
        <v>1185950.0933333335</v>
      </c>
      <c r="J20" s="683">
        <v>332398.10793333338</v>
      </c>
      <c r="K20" s="685">
        <f>I20+J20</f>
        <v>1518348.2012666669</v>
      </c>
    </row>
    <row r="21" spans="1:11" ht="14.4" thickBot="1">
      <c r="A21" s="696">
        <v>12</v>
      </c>
      <c r="B21" s="697" t="s">
        <v>336</v>
      </c>
      <c r="C21" s="698">
        <f t="shared" ref="C21:H21" si="6">SUM(C18:C20)</f>
        <v>174193769.40699396</v>
      </c>
      <c r="D21" s="699">
        <f t="shared" si="6"/>
        <v>212551428.64666143</v>
      </c>
      <c r="E21" s="698">
        <f t="shared" si="6"/>
        <v>386745198.05365539</v>
      </c>
      <c r="F21" s="700">
        <f t="shared" si="6"/>
        <v>28381078.926649999</v>
      </c>
      <c r="G21" s="701">
        <f t="shared" si="6"/>
        <v>4830829.1753500002</v>
      </c>
      <c r="H21" s="702">
        <f t="shared" si="6"/>
        <v>33211908.101999998</v>
      </c>
      <c r="I21" s="703">
        <f>SUM(I18:I20)</f>
        <v>57065059.555377297</v>
      </c>
      <c r="J21" s="703">
        <f>SUM(J18:J20)</f>
        <v>46773756.766378149</v>
      </c>
      <c r="K21" s="704">
        <f>SUM(K18:K20)</f>
        <v>103838816.32175544</v>
      </c>
    </row>
    <row r="22" spans="1:11" ht="38.25" customHeight="1" thickBot="1">
      <c r="A22" s="212"/>
      <c r="B22" s="213"/>
      <c r="C22" s="213"/>
      <c r="D22" s="213"/>
      <c r="E22" s="213"/>
      <c r="F22" s="801" t="s">
        <v>337</v>
      </c>
      <c r="G22" s="802"/>
      <c r="H22" s="802"/>
      <c r="I22" s="801" t="s">
        <v>338</v>
      </c>
      <c r="J22" s="802"/>
      <c r="K22" s="803"/>
    </row>
    <row r="23" spans="1:11">
      <c r="A23" s="206">
        <v>13</v>
      </c>
      <c r="B23" s="204" t="s">
        <v>323</v>
      </c>
      <c r="C23" s="211"/>
      <c r="D23" s="211"/>
      <c r="E23" s="211"/>
      <c r="F23" s="705">
        <f>F8</f>
        <v>65906931.832060628</v>
      </c>
      <c r="G23" s="705">
        <f>G8</f>
        <v>85006204.482696876</v>
      </c>
      <c r="H23" s="705">
        <f>F23+G23</f>
        <v>150913136.3147575</v>
      </c>
      <c r="I23" s="705">
        <f>I8</f>
        <v>37290304.656666666</v>
      </c>
      <c r="J23" s="705">
        <f>J8</f>
        <v>45608653.409999996</v>
      </c>
      <c r="K23" s="706">
        <f>K8</f>
        <v>82898958.066666663</v>
      </c>
    </row>
    <row r="24" spans="1:11" ht="14.4" thickBot="1">
      <c r="A24" s="207">
        <v>14</v>
      </c>
      <c r="B24" s="707" t="s">
        <v>339</v>
      </c>
      <c r="C24" s="219"/>
      <c r="D24" s="210"/>
      <c r="E24" s="341"/>
      <c r="F24" s="708">
        <f t="shared" ref="F24:K24" si="7">MAX(F16-F21,F16*0.25)</f>
        <v>19885446.722249996</v>
      </c>
      <c r="G24" s="708">
        <f t="shared" si="7"/>
        <v>48160851.527133338</v>
      </c>
      <c r="H24" s="708">
        <f t="shared" si="7"/>
        <v>68046298.249383345</v>
      </c>
      <c r="I24" s="708">
        <f t="shared" si="7"/>
        <v>8522514.2894583326</v>
      </c>
      <c r="J24" s="708">
        <f t="shared" si="7"/>
        <v>9865798.043416664</v>
      </c>
      <c r="K24" s="708">
        <f t="shared" si="7"/>
        <v>18388312.332874998</v>
      </c>
    </row>
    <row r="25" spans="1:11" ht="14.4" thickBot="1">
      <c r="A25" s="208">
        <v>15</v>
      </c>
      <c r="B25" s="205" t="s">
        <v>340</v>
      </c>
      <c r="C25" s="209"/>
      <c r="D25" s="209"/>
      <c r="E25" s="209"/>
      <c r="F25" s="709">
        <f t="shared" ref="F25:K25" si="8">F23/F24</f>
        <v>3.3143299596240299</v>
      </c>
      <c r="G25" s="709">
        <f t="shared" si="8"/>
        <v>1.7650477885509404</v>
      </c>
      <c r="H25" s="709">
        <f t="shared" si="8"/>
        <v>2.217800823810796</v>
      </c>
      <c r="I25" s="709">
        <f t="shared" si="8"/>
        <v>4.3755050904158397</v>
      </c>
      <c r="J25" s="709">
        <f t="shared" si="8"/>
        <v>4.6229056391879153</v>
      </c>
      <c r="K25" s="709">
        <f t="shared" si="8"/>
        <v>4.5082417878261847</v>
      </c>
    </row>
    <row r="28" spans="1:11" ht="41.4">
      <c r="B28" s="16" t="s">
        <v>384</v>
      </c>
    </row>
  </sheetData>
  <mergeCells count="6">
    <mergeCell ref="F22:H22"/>
    <mergeCell ref="I22:K22"/>
    <mergeCell ref="A5:B5"/>
    <mergeCell ref="C5:E5"/>
    <mergeCell ref="F5:H5"/>
    <mergeCell ref="I5:K5"/>
  </mergeCells>
  <pageMargins left="0.7" right="0.7" top="0.75" bottom="0.75" header="0.3" footer="0.3"/>
  <pageSetup paperSize="9" scale="38"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10.5546875" style="31" bestFit="1" customWidth="1"/>
    <col min="2" max="2" width="95" style="31" customWidth="1"/>
    <col min="3" max="3" width="12.5546875" style="31" bestFit="1" customWidth="1"/>
    <col min="4" max="4" width="10" style="31" bestFit="1" customWidth="1"/>
    <col min="5" max="5" width="18.21875" style="31" bestFit="1" customWidth="1"/>
    <col min="6" max="13" width="10.77734375" style="31" customWidth="1"/>
    <col min="14" max="14" width="31" style="31" bestFit="1" customWidth="1"/>
    <col min="15" max="16384" width="9.21875" style="8"/>
  </cols>
  <sheetData>
    <row r="1" spans="1:14">
      <c r="A1" s="1" t="s">
        <v>109</v>
      </c>
      <c r="B1" s="31" t="str">
        <f>Info!C2</f>
        <v>სს " პაშა ბანკი საქართველო"</v>
      </c>
    </row>
    <row r="2" spans="1:14" ht="14.25" customHeight="1">
      <c r="A2" s="31" t="s">
        <v>110</v>
      </c>
      <c r="B2" s="322">
        <f>'1. key ratios'!B2</f>
        <v>45016</v>
      </c>
    </row>
    <row r="3" spans="1:14" ht="14.25" customHeight="1"/>
    <row r="4" spans="1:14" ht="14.4" thickBot="1">
      <c r="A4" s="1" t="s">
        <v>263</v>
      </c>
      <c r="B4" s="47" t="s">
        <v>75</v>
      </c>
    </row>
    <row r="5" spans="1:14" s="18" customFormat="1">
      <c r="A5" s="106"/>
      <c r="B5" s="107"/>
      <c r="C5" s="108" t="s">
        <v>0</v>
      </c>
      <c r="D5" s="108" t="s">
        <v>1</v>
      </c>
      <c r="E5" s="108" t="s">
        <v>2</v>
      </c>
      <c r="F5" s="108" t="s">
        <v>3</v>
      </c>
      <c r="G5" s="108" t="s">
        <v>4</v>
      </c>
      <c r="H5" s="108" t="s">
        <v>6</v>
      </c>
      <c r="I5" s="108" t="s">
        <v>146</v>
      </c>
      <c r="J5" s="108" t="s">
        <v>147</v>
      </c>
      <c r="K5" s="108" t="s">
        <v>148</v>
      </c>
      <c r="L5" s="108" t="s">
        <v>149</v>
      </c>
      <c r="M5" s="108" t="s">
        <v>150</v>
      </c>
      <c r="N5" s="109" t="s">
        <v>151</v>
      </c>
    </row>
    <row r="6" spans="1:14" ht="41.4">
      <c r="A6" s="98"/>
      <c r="B6" s="57"/>
      <c r="C6" s="58" t="s">
        <v>85</v>
      </c>
      <c r="D6" s="59" t="s">
        <v>74</v>
      </c>
      <c r="E6" s="60" t="s">
        <v>84</v>
      </c>
      <c r="F6" s="61">
        <v>0</v>
      </c>
      <c r="G6" s="61">
        <v>0.2</v>
      </c>
      <c r="H6" s="61">
        <v>0.35</v>
      </c>
      <c r="I6" s="61">
        <v>0.5</v>
      </c>
      <c r="J6" s="61">
        <v>0.75</v>
      </c>
      <c r="K6" s="61">
        <v>1</v>
      </c>
      <c r="L6" s="61">
        <v>1.5</v>
      </c>
      <c r="M6" s="61">
        <v>2.5</v>
      </c>
      <c r="N6" s="99" t="s">
        <v>75</v>
      </c>
    </row>
    <row r="7" spans="1:14">
      <c r="A7" s="100">
        <v>1</v>
      </c>
      <c r="B7" s="62" t="s">
        <v>76</v>
      </c>
      <c r="C7" s="180">
        <f>SUM(C8:C13)</f>
        <v>150867409.8222</v>
      </c>
      <c r="D7" s="57"/>
      <c r="E7" s="183">
        <f t="shared" ref="E7:M7" si="0">SUM(E8:E13)</f>
        <v>3017348.1964440001</v>
      </c>
      <c r="F7" s="180">
        <f>SUM(F8:F13)</f>
        <v>0</v>
      </c>
      <c r="G7" s="180">
        <f t="shared" si="0"/>
        <v>0</v>
      </c>
      <c r="H7" s="180">
        <f t="shared" si="0"/>
        <v>0</v>
      </c>
      <c r="I7" s="180">
        <f t="shared" si="0"/>
        <v>0</v>
      </c>
      <c r="J7" s="180">
        <f t="shared" si="0"/>
        <v>0</v>
      </c>
      <c r="K7" s="180">
        <f t="shared" si="0"/>
        <v>3017348.1963999998</v>
      </c>
      <c r="L7" s="180">
        <f t="shared" si="0"/>
        <v>0</v>
      </c>
      <c r="M7" s="180">
        <f t="shared" si="0"/>
        <v>0</v>
      </c>
      <c r="N7" s="101">
        <f>SUM(N8:N13)</f>
        <v>3017348.1963999998</v>
      </c>
    </row>
    <row r="8" spans="1:14">
      <c r="A8" s="100">
        <v>1.1000000000000001</v>
      </c>
      <c r="B8" s="63" t="s">
        <v>77</v>
      </c>
      <c r="C8" s="181">
        <v>150867409.8222</v>
      </c>
      <c r="D8" s="64">
        <v>0.02</v>
      </c>
      <c r="E8" s="183">
        <f>C8*D8</f>
        <v>3017348.1964440001</v>
      </c>
      <c r="F8" s="181"/>
      <c r="G8" s="181"/>
      <c r="H8" s="181"/>
      <c r="I8" s="181"/>
      <c r="J8" s="181"/>
      <c r="K8" s="181">
        <v>3017348.1963999998</v>
      </c>
      <c r="L8" s="181"/>
      <c r="M8" s="181"/>
      <c r="N8" s="101">
        <f>SUMPRODUCT($F$6:$M$6,F8:M8)</f>
        <v>3017348.1963999998</v>
      </c>
    </row>
    <row r="9" spans="1:14">
      <c r="A9" s="100">
        <v>1.2</v>
      </c>
      <c r="B9" s="63" t="s">
        <v>78</v>
      </c>
      <c r="C9" s="181">
        <v>0</v>
      </c>
      <c r="D9" s="64">
        <v>0.05</v>
      </c>
      <c r="E9" s="183">
        <f>C9*D9</f>
        <v>0</v>
      </c>
      <c r="F9" s="181"/>
      <c r="G9" s="181"/>
      <c r="H9" s="181"/>
      <c r="I9" s="181"/>
      <c r="J9" s="181"/>
      <c r="K9" s="181"/>
      <c r="L9" s="181"/>
      <c r="M9" s="181"/>
      <c r="N9" s="101">
        <f t="shared" ref="N9:N12" si="1">SUMPRODUCT($F$6:$M$6,F9:M9)</f>
        <v>0</v>
      </c>
    </row>
    <row r="10" spans="1:14">
      <c r="A10" s="100">
        <v>1.3</v>
      </c>
      <c r="B10" s="63" t="s">
        <v>79</v>
      </c>
      <c r="C10" s="181">
        <v>0</v>
      </c>
      <c r="D10" s="64">
        <v>0.08</v>
      </c>
      <c r="E10" s="183">
        <f>C10*D10</f>
        <v>0</v>
      </c>
      <c r="F10" s="181"/>
      <c r="G10" s="181"/>
      <c r="H10" s="181"/>
      <c r="I10" s="181"/>
      <c r="J10" s="181"/>
      <c r="K10" s="181"/>
      <c r="L10" s="181"/>
      <c r="M10" s="181"/>
      <c r="N10" s="101">
        <f>SUMPRODUCT($F$6:$M$6,F10:M10)</f>
        <v>0</v>
      </c>
    </row>
    <row r="11" spans="1:14">
      <c r="A11" s="100">
        <v>1.4</v>
      </c>
      <c r="B11" s="63" t="s">
        <v>80</v>
      </c>
      <c r="C11" s="181">
        <v>0</v>
      </c>
      <c r="D11" s="64">
        <v>0.11</v>
      </c>
      <c r="E11" s="183">
        <f>C11*D11</f>
        <v>0</v>
      </c>
      <c r="F11" s="181"/>
      <c r="G11" s="181"/>
      <c r="H11" s="181"/>
      <c r="I11" s="181"/>
      <c r="J11" s="181"/>
      <c r="K11" s="181"/>
      <c r="L11" s="181"/>
      <c r="M11" s="181"/>
      <c r="N11" s="101">
        <f t="shared" si="1"/>
        <v>0</v>
      </c>
    </row>
    <row r="12" spans="1:14">
      <c r="A12" s="100">
        <v>1.5</v>
      </c>
      <c r="B12" s="63" t="s">
        <v>81</v>
      </c>
      <c r="C12" s="181">
        <v>0</v>
      </c>
      <c r="D12" s="64">
        <v>0.14000000000000001</v>
      </c>
      <c r="E12" s="183">
        <f>C12*D12</f>
        <v>0</v>
      </c>
      <c r="F12" s="181"/>
      <c r="G12" s="181"/>
      <c r="H12" s="181"/>
      <c r="I12" s="181"/>
      <c r="J12" s="181"/>
      <c r="K12" s="181"/>
      <c r="L12" s="181"/>
      <c r="M12" s="181"/>
      <c r="N12" s="101">
        <f t="shared" si="1"/>
        <v>0</v>
      </c>
    </row>
    <row r="13" spans="1:14">
      <c r="A13" s="100">
        <v>1.6</v>
      </c>
      <c r="B13" s="65" t="s">
        <v>82</v>
      </c>
      <c r="C13" s="181">
        <v>0</v>
      </c>
      <c r="D13" s="66"/>
      <c r="E13" s="181"/>
      <c r="F13" s="181"/>
      <c r="G13" s="181"/>
      <c r="H13" s="181"/>
      <c r="I13" s="181"/>
      <c r="J13" s="181"/>
      <c r="K13" s="181"/>
      <c r="L13" s="181"/>
      <c r="M13" s="181"/>
      <c r="N13" s="101">
        <f>SUMPRODUCT($F$6:$M$6,F13:M13)</f>
        <v>0</v>
      </c>
    </row>
    <row r="14" spans="1:14">
      <c r="A14" s="100">
        <v>2</v>
      </c>
      <c r="B14" s="67" t="s">
        <v>83</v>
      </c>
      <c r="C14" s="180">
        <f>SUM(C15:C20)</f>
        <v>0</v>
      </c>
      <c r="D14" s="57"/>
      <c r="E14" s="183">
        <f t="shared" ref="E14:M14" si="2">SUM(E15:E20)</f>
        <v>0</v>
      </c>
      <c r="F14" s="181">
        <f t="shared" si="2"/>
        <v>0</v>
      </c>
      <c r="G14" s="181">
        <f t="shared" si="2"/>
        <v>0</v>
      </c>
      <c r="H14" s="181">
        <f t="shared" si="2"/>
        <v>0</v>
      </c>
      <c r="I14" s="181">
        <f t="shared" si="2"/>
        <v>0</v>
      </c>
      <c r="J14" s="181">
        <f t="shared" si="2"/>
        <v>0</v>
      </c>
      <c r="K14" s="181">
        <f t="shared" si="2"/>
        <v>0</v>
      </c>
      <c r="L14" s="181">
        <f t="shared" si="2"/>
        <v>0</v>
      </c>
      <c r="M14" s="181">
        <f t="shared" si="2"/>
        <v>0</v>
      </c>
      <c r="N14" s="101">
        <f>SUM(N15:N20)</f>
        <v>0</v>
      </c>
    </row>
    <row r="15" spans="1:14">
      <c r="A15" s="100">
        <v>2.1</v>
      </c>
      <c r="B15" s="65" t="s">
        <v>77</v>
      </c>
      <c r="C15" s="181"/>
      <c r="D15" s="64">
        <v>5.0000000000000001E-3</v>
      </c>
      <c r="E15" s="183">
        <f>C15*D15</f>
        <v>0</v>
      </c>
      <c r="F15" s="181"/>
      <c r="G15" s="181"/>
      <c r="H15" s="181"/>
      <c r="I15" s="181"/>
      <c r="J15" s="181"/>
      <c r="K15" s="181"/>
      <c r="L15" s="181"/>
      <c r="M15" s="181"/>
      <c r="N15" s="101">
        <f>SUMPRODUCT($F$6:$M$6,F15:M15)</f>
        <v>0</v>
      </c>
    </row>
    <row r="16" spans="1:14">
      <c r="A16" s="100">
        <v>2.2000000000000002</v>
      </c>
      <c r="B16" s="65" t="s">
        <v>78</v>
      </c>
      <c r="C16" s="181"/>
      <c r="D16" s="64">
        <v>0.01</v>
      </c>
      <c r="E16" s="183">
        <f>C16*D16</f>
        <v>0</v>
      </c>
      <c r="F16" s="181"/>
      <c r="G16" s="181"/>
      <c r="H16" s="181"/>
      <c r="I16" s="181"/>
      <c r="J16" s="181"/>
      <c r="K16" s="181"/>
      <c r="L16" s="181"/>
      <c r="M16" s="181"/>
      <c r="N16" s="101">
        <f t="shared" ref="N16:N20" si="3">SUMPRODUCT($F$6:$M$6,F16:M16)</f>
        <v>0</v>
      </c>
    </row>
    <row r="17" spans="1:14">
      <c r="A17" s="100">
        <v>2.2999999999999998</v>
      </c>
      <c r="B17" s="65" t="s">
        <v>79</v>
      </c>
      <c r="C17" s="181"/>
      <c r="D17" s="64">
        <v>0.02</v>
      </c>
      <c r="E17" s="183">
        <f>C17*D17</f>
        <v>0</v>
      </c>
      <c r="F17" s="181"/>
      <c r="G17" s="181"/>
      <c r="H17" s="181"/>
      <c r="I17" s="181"/>
      <c r="J17" s="181"/>
      <c r="K17" s="181"/>
      <c r="L17" s="181"/>
      <c r="M17" s="181"/>
      <c r="N17" s="101">
        <f t="shared" si="3"/>
        <v>0</v>
      </c>
    </row>
    <row r="18" spans="1:14">
      <c r="A18" s="100">
        <v>2.4</v>
      </c>
      <c r="B18" s="65" t="s">
        <v>80</v>
      </c>
      <c r="C18" s="181"/>
      <c r="D18" s="64">
        <v>0.03</v>
      </c>
      <c r="E18" s="183">
        <f>C18*D18</f>
        <v>0</v>
      </c>
      <c r="F18" s="181"/>
      <c r="G18" s="181"/>
      <c r="H18" s="181"/>
      <c r="I18" s="181"/>
      <c r="J18" s="181"/>
      <c r="K18" s="181"/>
      <c r="L18" s="181"/>
      <c r="M18" s="181"/>
      <c r="N18" s="101">
        <f t="shared" si="3"/>
        <v>0</v>
      </c>
    </row>
    <row r="19" spans="1:14">
      <c r="A19" s="100">
        <v>2.5</v>
      </c>
      <c r="B19" s="65" t="s">
        <v>81</v>
      </c>
      <c r="C19" s="181"/>
      <c r="D19" s="64">
        <v>0.04</v>
      </c>
      <c r="E19" s="183">
        <f>C19*D19</f>
        <v>0</v>
      </c>
      <c r="F19" s="181"/>
      <c r="G19" s="181"/>
      <c r="H19" s="181"/>
      <c r="I19" s="181"/>
      <c r="J19" s="181"/>
      <c r="K19" s="181"/>
      <c r="L19" s="181"/>
      <c r="M19" s="181"/>
      <c r="N19" s="101">
        <f t="shared" si="3"/>
        <v>0</v>
      </c>
    </row>
    <row r="20" spans="1:14">
      <c r="A20" s="100">
        <v>2.6</v>
      </c>
      <c r="B20" s="65" t="s">
        <v>82</v>
      </c>
      <c r="C20" s="181"/>
      <c r="D20" s="66"/>
      <c r="E20" s="184"/>
      <c r="F20" s="181"/>
      <c r="G20" s="181"/>
      <c r="H20" s="181"/>
      <c r="I20" s="181"/>
      <c r="J20" s="181"/>
      <c r="K20" s="181"/>
      <c r="L20" s="181"/>
      <c r="M20" s="181"/>
      <c r="N20" s="101">
        <f t="shared" si="3"/>
        <v>0</v>
      </c>
    </row>
    <row r="21" spans="1:14" ht="14.4" thickBot="1">
      <c r="A21" s="102">
        <v>3</v>
      </c>
      <c r="B21" s="103" t="s">
        <v>67</v>
      </c>
      <c r="C21" s="182">
        <f>C14+C7</f>
        <v>150867409.8222</v>
      </c>
      <c r="D21" s="104"/>
      <c r="E21" s="185">
        <f>E14+E7</f>
        <v>3017348.1964440001</v>
      </c>
      <c r="F21" s="186">
        <f>F7+F14</f>
        <v>0</v>
      </c>
      <c r="G21" s="186">
        <f t="shared" ref="G21:L21" si="4">G7+G14</f>
        <v>0</v>
      </c>
      <c r="H21" s="186">
        <f t="shared" si="4"/>
        <v>0</v>
      </c>
      <c r="I21" s="186">
        <f t="shared" si="4"/>
        <v>0</v>
      </c>
      <c r="J21" s="186">
        <f t="shared" si="4"/>
        <v>0</v>
      </c>
      <c r="K21" s="186">
        <f t="shared" si="4"/>
        <v>3017348.1963999998</v>
      </c>
      <c r="L21" s="186">
        <f t="shared" si="4"/>
        <v>0</v>
      </c>
      <c r="M21" s="186">
        <f>M7+M14</f>
        <v>0</v>
      </c>
      <c r="N21" s="105">
        <f>N14+N7</f>
        <v>3017348.1963999998</v>
      </c>
    </row>
    <row r="22" spans="1:14">
      <c r="E22" s="187"/>
      <c r="F22" s="187"/>
      <c r="G22" s="187"/>
      <c r="H22" s="187"/>
      <c r="I22" s="187"/>
      <c r="J22" s="187"/>
      <c r="K22" s="187"/>
      <c r="L22" s="187"/>
      <c r="M22" s="187"/>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pageSetup scale="33" orientation="portrait" r:id="rId1"/>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heetViews>
  <sheetFormatPr defaultRowHeight="14.4"/>
  <cols>
    <col min="1" max="1" width="11.44140625" customWidth="1"/>
    <col min="2" max="2" width="76.77734375" style="2" customWidth="1"/>
    <col min="3" max="3" width="22.77734375" customWidth="1"/>
  </cols>
  <sheetData>
    <row r="1" spans="1:3">
      <c r="A1" s="1" t="s">
        <v>109</v>
      </c>
      <c r="B1" t="str">
        <f>Info!C2</f>
        <v>სს " პაშა ბანკი საქართველო"</v>
      </c>
    </row>
    <row r="2" spans="1:3">
      <c r="A2" s="1" t="s">
        <v>110</v>
      </c>
      <c r="B2" s="322">
        <f>'1. key ratios'!B2</f>
        <v>45016</v>
      </c>
    </row>
    <row r="3" spans="1:3">
      <c r="A3" s="1"/>
      <c r="B3"/>
    </row>
    <row r="4" spans="1:3">
      <c r="A4" s="1" t="s">
        <v>429</v>
      </c>
      <c r="B4" t="s">
        <v>388</v>
      </c>
    </row>
    <row r="5" spans="1:3">
      <c r="A5" s="257"/>
      <c r="B5" s="257" t="s">
        <v>389</v>
      </c>
      <c r="C5" s="269"/>
    </row>
    <row r="6" spans="1:3">
      <c r="A6" s="258">
        <v>1</v>
      </c>
      <c r="B6" s="270" t="s">
        <v>441</v>
      </c>
      <c r="C6" s="271">
        <v>522550658.10150003</v>
      </c>
    </row>
    <row r="7" spans="1:3">
      <c r="A7" s="258">
        <v>2</v>
      </c>
      <c r="B7" s="270" t="s">
        <v>390</v>
      </c>
      <c r="C7" s="271">
        <v>-5428708.8499999996</v>
      </c>
    </row>
    <row r="8" spans="1:3">
      <c r="A8" s="259">
        <v>3</v>
      </c>
      <c r="B8" s="272" t="s">
        <v>391</v>
      </c>
      <c r="C8" s="273">
        <f>C6+C7</f>
        <v>517121949.25150001</v>
      </c>
    </row>
    <row r="9" spans="1:3">
      <c r="A9" s="260"/>
      <c r="B9" s="260" t="s">
        <v>392</v>
      </c>
      <c r="C9" s="274"/>
    </row>
    <row r="10" spans="1:3">
      <c r="A10" s="261">
        <v>4</v>
      </c>
      <c r="B10" s="275" t="s">
        <v>393</v>
      </c>
      <c r="C10" s="271"/>
    </row>
    <row r="11" spans="1:3">
      <c r="A11" s="261">
        <v>5</v>
      </c>
      <c r="B11" s="276" t="s">
        <v>394</v>
      </c>
      <c r="C11" s="271"/>
    </row>
    <row r="12" spans="1:3">
      <c r="A12" s="261" t="s">
        <v>395</v>
      </c>
      <c r="B12" s="270" t="s">
        <v>396</v>
      </c>
      <c r="C12" s="273">
        <f>'15. CCR'!E21</f>
        <v>3017348.1964440001</v>
      </c>
    </row>
    <row r="13" spans="1:3">
      <c r="A13" s="262">
        <v>6</v>
      </c>
      <c r="B13" s="277" t="s">
        <v>397</v>
      </c>
      <c r="C13" s="271"/>
    </row>
    <row r="14" spans="1:3">
      <c r="A14" s="262">
        <v>7</v>
      </c>
      <c r="B14" s="278" t="s">
        <v>398</v>
      </c>
      <c r="C14" s="271"/>
    </row>
    <row r="15" spans="1:3">
      <c r="A15" s="263">
        <v>8</v>
      </c>
      <c r="B15" s="270" t="s">
        <v>399</v>
      </c>
      <c r="C15" s="271"/>
    </row>
    <row r="16" spans="1:3" ht="22.8">
      <c r="A16" s="262">
        <v>9</v>
      </c>
      <c r="B16" s="278" t="s">
        <v>400</v>
      </c>
      <c r="C16" s="271"/>
    </row>
    <row r="17" spans="1:3">
      <c r="A17" s="262">
        <v>10</v>
      </c>
      <c r="B17" s="278" t="s">
        <v>401</v>
      </c>
      <c r="C17" s="271"/>
    </row>
    <row r="18" spans="1:3">
      <c r="A18" s="264">
        <v>11</v>
      </c>
      <c r="B18" s="279" t="s">
        <v>402</v>
      </c>
      <c r="C18" s="273">
        <f>SUM(C10:C17)</f>
        <v>3017348.1964440001</v>
      </c>
    </row>
    <row r="19" spans="1:3">
      <c r="A19" s="260"/>
      <c r="B19" s="260" t="s">
        <v>403</v>
      </c>
      <c r="C19" s="280"/>
    </row>
    <row r="20" spans="1:3">
      <c r="A20" s="262">
        <v>12</v>
      </c>
      <c r="B20" s="275" t="s">
        <v>404</v>
      </c>
      <c r="C20" s="271"/>
    </row>
    <row r="21" spans="1:3">
      <c r="A21" s="262">
        <v>13</v>
      </c>
      <c r="B21" s="275" t="s">
        <v>405</v>
      </c>
      <c r="C21" s="271"/>
    </row>
    <row r="22" spans="1:3">
      <c r="A22" s="262">
        <v>14</v>
      </c>
      <c r="B22" s="275" t="s">
        <v>406</v>
      </c>
      <c r="C22" s="271"/>
    </row>
    <row r="23" spans="1:3" ht="22.8">
      <c r="A23" s="262" t="s">
        <v>407</v>
      </c>
      <c r="B23" s="275" t="s">
        <v>408</v>
      </c>
      <c r="C23" s="271"/>
    </row>
    <row r="24" spans="1:3">
      <c r="A24" s="262">
        <v>15</v>
      </c>
      <c r="B24" s="275" t="s">
        <v>409</v>
      </c>
      <c r="C24" s="271"/>
    </row>
    <row r="25" spans="1:3">
      <c r="A25" s="262" t="s">
        <v>410</v>
      </c>
      <c r="B25" s="270" t="s">
        <v>411</v>
      </c>
      <c r="C25" s="271"/>
    </row>
    <row r="26" spans="1:3">
      <c r="A26" s="264">
        <v>16</v>
      </c>
      <c r="B26" s="279" t="s">
        <v>412</v>
      </c>
      <c r="C26" s="273">
        <f>SUM(C20:C25)</f>
        <v>0</v>
      </c>
    </row>
    <row r="27" spans="1:3">
      <c r="A27" s="260"/>
      <c r="B27" s="260" t="s">
        <v>413</v>
      </c>
      <c r="C27" s="274"/>
    </row>
    <row r="28" spans="1:3">
      <c r="A28" s="261">
        <v>17</v>
      </c>
      <c r="B28" s="270" t="s">
        <v>414</v>
      </c>
      <c r="C28" s="271">
        <v>117340572.99360001</v>
      </c>
    </row>
    <row r="29" spans="1:3">
      <c r="A29" s="261">
        <v>18</v>
      </c>
      <c r="B29" s="270" t="s">
        <v>415</v>
      </c>
      <c r="C29" s="271">
        <v>-78362028.963270009</v>
      </c>
    </row>
    <row r="30" spans="1:3">
      <c r="A30" s="264">
        <v>19</v>
      </c>
      <c r="B30" s="279" t="s">
        <v>416</v>
      </c>
      <c r="C30" s="273">
        <f>C28+C29</f>
        <v>38978544.030330002</v>
      </c>
    </row>
    <row r="31" spans="1:3">
      <c r="A31" s="265"/>
      <c r="B31" s="260" t="s">
        <v>417</v>
      </c>
      <c r="C31" s="274"/>
    </row>
    <row r="32" spans="1:3">
      <c r="A32" s="261" t="s">
        <v>418</v>
      </c>
      <c r="B32" s="275" t="s">
        <v>419</v>
      </c>
      <c r="C32" s="281"/>
    </row>
    <row r="33" spans="1:3">
      <c r="A33" s="261" t="s">
        <v>420</v>
      </c>
      <c r="B33" s="276" t="s">
        <v>421</v>
      </c>
      <c r="C33" s="281"/>
    </row>
    <row r="34" spans="1:3">
      <c r="A34" s="260"/>
      <c r="B34" s="260" t="s">
        <v>422</v>
      </c>
      <c r="C34" s="274"/>
    </row>
    <row r="35" spans="1:3">
      <c r="A35" s="264">
        <v>20</v>
      </c>
      <c r="B35" s="279" t="s">
        <v>87</v>
      </c>
      <c r="C35" s="273">
        <f>'1. key ratios'!C9</f>
        <v>96566537.330000013</v>
      </c>
    </row>
    <row r="36" spans="1:3">
      <c r="A36" s="264">
        <v>21</v>
      </c>
      <c r="B36" s="279" t="s">
        <v>423</v>
      </c>
      <c r="C36" s="273">
        <f>C8+C18+C26+C30</f>
        <v>559117841.47827399</v>
      </c>
    </row>
    <row r="37" spans="1:3">
      <c r="A37" s="266"/>
      <c r="B37" s="266" t="s">
        <v>388</v>
      </c>
      <c r="C37" s="274"/>
    </row>
    <row r="38" spans="1:3">
      <c r="A38" s="264">
        <v>22</v>
      </c>
      <c r="B38" s="279" t="s">
        <v>388</v>
      </c>
      <c r="C38" s="710">
        <f>IFERROR(C35/C36,0)</f>
        <v>0.17271231602032924</v>
      </c>
    </row>
    <row r="39" spans="1:3">
      <c r="A39" s="266"/>
      <c r="B39" s="266" t="s">
        <v>424</v>
      </c>
      <c r="C39" s="274"/>
    </row>
    <row r="40" spans="1:3">
      <c r="A40" s="267" t="s">
        <v>425</v>
      </c>
      <c r="B40" s="275" t="s">
        <v>426</v>
      </c>
      <c r="C40" s="281"/>
    </row>
    <row r="41" spans="1:3">
      <c r="A41" s="268" t="s">
        <v>427</v>
      </c>
      <c r="B41" s="276" t="s">
        <v>428</v>
      </c>
      <c r="C41" s="281"/>
    </row>
    <row r="43" spans="1:3">
      <c r="B43" s="292" t="s">
        <v>442</v>
      </c>
    </row>
  </sheetData>
  <pageMargins left="0.7" right="0.7" top="0.75" bottom="0.75" header="0.3" footer="0.3"/>
  <pageSetup paperSize="9" scale="78"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9" activePane="bottomRight" state="frozen"/>
      <selection activeCell="C9" sqref="C9"/>
      <selection pane="topRight" activeCell="C9" sqref="C9"/>
      <selection pane="bottomLeft" activeCell="C9" sqref="C9"/>
      <selection pane="bottomRight"/>
    </sheetView>
  </sheetViews>
  <sheetFormatPr defaultRowHeight="14.4"/>
  <cols>
    <col min="1" max="1" width="9.88671875" style="1" bestFit="1" customWidth="1"/>
    <col min="2" max="2" width="82.6640625" style="16" customWidth="1"/>
    <col min="3" max="7" width="17.5546875" style="1" customWidth="1"/>
  </cols>
  <sheetData>
    <row r="1" spans="1:7">
      <c r="A1" s="1" t="s">
        <v>109</v>
      </c>
      <c r="B1" s="1" t="str">
        <f>Info!C2</f>
        <v>სს " პაშა ბანკი საქართველო"</v>
      </c>
    </row>
    <row r="2" spans="1:7">
      <c r="A2" s="1" t="s">
        <v>110</v>
      </c>
      <c r="B2" s="322">
        <f>'1. key ratios'!B2</f>
        <v>45016</v>
      </c>
    </row>
    <row r="3" spans="1:7">
      <c r="B3" s="322"/>
    </row>
    <row r="4" spans="1:7" ht="15" thickBot="1">
      <c r="A4" s="1" t="s">
        <v>489</v>
      </c>
      <c r="B4" s="194" t="s">
        <v>454</v>
      </c>
    </row>
    <row r="5" spans="1:7">
      <c r="A5" s="326"/>
      <c r="B5" s="327"/>
      <c r="C5" s="806" t="s">
        <v>455</v>
      </c>
      <c r="D5" s="806"/>
      <c r="E5" s="806"/>
      <c r="F5" s="806"/>
      <c r="G5" s="807" t="s">
        <v>456</v>
      </c>
    </row>
    <row r="6" spans="1:7">
      <c r="A6" s="328"/>
      <c r="B6" s="329"/>
      <c r="C6" s="711" t="s">
        <v>457</v>
      </c>
      <c r="D6" s="711" t="s">
        <v>458</v>
      </c>
      <c r="E6" s="711" t="s">
        <v>459</v>
      </c>
      <c r="F6" s="711" t="s">
        <v>460</v>
      </c>
      <c r="G6" s="808"/>
    </row>
    <row r="7" spans="1:7">
      <c r="A7" s="330"/>
      <c r="B7" s="331" t="s">
        <v>461</v>
      </c>
      <c r="C7" s="332"/>
      <c r="D7" s="332"/>
      <c r="E7" s="332"/>
      <c r="F7" s="332"/>
      <c r="G7" s="333"/>
    </row>
    <row r="8" spans="1:7">
      <c r="A8" s="712">
        <v>1</v>
      </c>
      <c r="B8" s="713" t="s">
        <v>462</v>
      </c>
      <c r="C8" s="714">
        <f>SUM(C9:C10)</f>
        <v>106816550.58850001</v>
      </c>
      <c r="D8" s="714">
        <f>SUM(D9:D10)</f>
        <v>0</v>
      </c>
      <c r="E8" s="714">
        <f>SUM(E9:E10)</f>
        <v>0</v>
      </c>
      <c r="F8" s="714">
        <f>SUM(F9:F10)</f>
        <v>138151071.8987</v>
      </c>
      <c r="G8" s="715">
        <f>SUM(G9:G10)</f>
        <v>244967622.48720002</v>
      </c>
    </row>
    <row r="9" spans="1:7">
      <c r="A9" s="712">
        <v>2</v>
      </c>
      <c r="B9" s="716" t="s">
        <v>86</v>
      </c>
      <c r="C9" s="714">
        <v>106816550.58850001</v>
      </c>
      <c r="D9" s="714"/>
      <c r="E9" s="714"/>
      <c r="F9" s="714">
        <v>0</v>
      </c>
      <c r="G9" s="715">
        <v>106816550.58850001</v>
      </c>
    </row>
    <row r="10" spans="1:7">
      <c r="A10" s="712">
        <v>3</v>
      </c>
      <c r="B10" s="716" t="s">
        <v>463</v>
      </c>
      <c r="C10" s="717"/>
      <c r="D10" s="717"/>
      <c r="E10" s="717"/>
      <c r="F10" s="714">
        <v>138151071.8987</v>
      </c>
      <c r="G10" s="715">
        <v>138151071.8987</v>
      </c>
    </row>
    <row r="11" spans="1:7" ht="27.6">
      <c r="A11" s="712">
        <v>4</v>
      </c>
      <c r="B11" s="713" t="s">
        <v>464</v>
      </c>
      <c r="C11" s="714">
        <f t="shared" ref="C11:F11" si="0">SUM(C12:C13)</f>
        <v>15493796.667300031</v>
      </c>
      <c r="D11" s="714">
        <f t="shared" si="0"/>
        <v>16878706.708699971</v>
      </c>
      <c r="E11" s="714">
        <f t="shared" si="0"/>
        <v>5521494.0579000004</v>
      </c>
      <c r="F11" s="714">
        <f t="shared" si="0"/>
        <v>1481159.7753000003</v>
      </c>
      <c r="G11" s="715">
        <f>SUM(G12:G13)</f>
        <v>27612974.224794999</v>
      </c>
    </row>
    <row r="12" spans="1:7">
      <c r="A12" s="712">
        <v>5</v>
      </c>
      <c r="B12" s="716" t="s">
        <v>465</v>
      </c>
      <c r="C12" s="714">
        <v>2996458.6453000298</v>
      </c>
      <c r="D12" s="718">
        <v>8784957.9397999682</v>
      </c>
      <c r="E12" s="714">
        <v>5153098.682</v>
      </c>
      <c r="F12" s="714">
        <v>677475</v>
      </c>
      <c r="G12" s="715">
        <v>16731390.753744997</v>
      </c>
    </row>
    <row r="13" spans="1:7">
      <c r="A13" s="712">
        <v>6</v>
      </c>
      <c r="B13" s="716" t="s">
        <v>466</v>
      </c>
      <c r="C13" s="714">
        <v>12497338.022</v>
      </c>
      <c r="D13" s="718">
        <v>8093748.7689000033</v>
      </c>
      <c r="E13" s="714">
        <v>368395.37589999998</v>
      </c>
      <c r="F13" s="714">
        <v>803684.77530000033</v>
      </c>
      <c r="G13" s="715">
        <v>10881583.471050002</v>
      </c>
    </row>
    <row r="14" spans="1:7">
      <c r="A14" s="712">
        <v>7</v>
      </c>
      <c r="B14" s="713" t="s">
        <v>467</v>
      </c>
      <c r="C14" s="714">
        <f t="shared" ref="C14:F14" si="1">SUM(C15:C16)</f>
        <v>107265518.74879999</v>
      </c>
      <c r="D14" s="714">
        <f t="shared" si="1"/>
        <v>53946346.256400034</v>
      </c>
      <c r="E14" s="714">
        <f t="shared" si="1"/>
        <v>52939177.029399998</v>
      </c>
      <c r="F14" s="714">
        <f t="shared" si="1"/>
        <v>12802</v>
      </c>
      <c r="G14" s="715">
        <f>SUM(G15:G16)</f>
        <v>87210989.362700015</v>
      </c>
    </row>
    <row r="15" spans="1:7" ht="55.2">
      <c r="A15" s="712">
        <v>8</v>
      </c>
      <c r="B15" s="716" t="s">
        <v>468</v>
      </c>
      <c r="C15" s="714">
        <v>80261651.279599994</v>
      </c>
      <c r="D15" s="718">
        <v>41208348.41640003</v>
      </c>
      <c r="E15" s="714">
        <v>1531494.9398000003</v>
      </c>
      <c r="F15" s="714">
        <v>12802</v>
      </c>
      <c r="G15" s="715">
        <v>61507148.317900009</v>
      </c>
    </row>
    <row r="16" spans="1:7" ht="27.6">
      <c r="A16" s="712">
        <v>9</v>
      </c>
      <c r="B16" s="716" t="s">
        <v>469</v>
      </c>
      <c r="C16" s="714">
        <v>27003867.4692</v>
      </c>
      <c r="D16" s="718">
        <v>12737997.84</v>
      </c>
      <c r="E16" s="714">
        <v>51407682.089599997</v>
      </c>
      <c r="F16" s="714">
        <v>0</v>
      </c>
      <c r="G16" s="715">
        <v>25703841.044799998</v>
      </c>
    </row>
    <row r="17" spans="1:7">
      <c r="A17" s="712">
        <v>10</v>
      </c>
      <c r="B17" s="713" t="s">
        <v>470</v>
      </c>
      <c r="C17" s="714"/>
      <c r="D17" s="718"/>
      <c r="E17" s="714"/>
      <c r="F17" s="714"/>
      <c r="G17" s="715"/>
    </row>
    <row r="18" spans="1:7">
      <c r="A18" s="712">
        <v>11</v>
      </c>
      <c r="B18" s="713" t="s">
        <v>90</v>
      </c>
      <c r="C18" s="714">
        <f>SUM(C19:C20)</f>
        <v>0</v>
      </c>
      <c r="D18" s="718">
        <f t="shared" ref="D18:G18" si="2">SUM(D19:D20)</f>
        <v>23704071.3391</v>
      </c>
      <c r="E18" s="714">
        <f t="shared" si="2"/>
        <v>0</v>
      </c>
      <c r="F18" s="714">
        <f t="shared" si="2"/>
        <v>0</v>
      </c>
      <c r="G18" s="715">
        <f t="shared" si="2"/>
        <v>0</v>
      </c>
    </row>
    <row r="19" spans="1:7">
      <c r="A19" s="712">
        <v>12</v>
      </c>
      <c r="B19" s="716" t="s">
        <v>471</v>
      </c>
      <c r="C19" s="717"/>
      <c r="D19" s="718">
        <v>2482644.4700000002</v>
      </c>
      <c r="E19" s="714">
        <v>0</v>
      </c>
      <c r="F19" s="714">
        <v>0</v>
      </c>
      <c r="G19" s="715"/>
    </row>
    <row r="20" spans="1:7" ht="27.6">
      <c r="A20" s="712">
        <v>13</v>
      </c>
      <c r="B20" s="716" t="s">
        <v>472</v>
      </c>
      <c r="C20" s="714">
        <v>0</v>
      </c>
      <c r="D20" s="714">
        <v>21221426.869100001</v>
      </c>
      <c r="E20" s="714">
        <v>0</v>
      </c>
      <c r="F20" s="714">
        <v>0</v>
      </c>
      <c r="G20" s="715"/>
    </row>
    <row r="21" spans="1:7">
      <c r="A21" s="719">
        <v>14</v>
      </c>
      <c r="B21" s="720" t="s">
        <v>473</v>
      </c>
      <c r="C21" s="717"/>
      <c r="D21" s="717"/>
      <c r="E21" s="717"/>
      <c r="F21" s="717"/>
      <c r="G21" s="721">
        <f>SUM(G8,G11,G14,G17,G18)</f>
        <v>359791586.07469499</v>
      </c>
    </row>
    <row r="22" spans="1:7">
      <c r="A22" s="334"/>
      <c r="B22" s="348" t="s">
        <v>474</v>
      </c>
      <c r="C22" s="335"/>
      <c r="D22" s="336"/>
      <c r="E22" s="335"/>
      <c r="F22" s="335"/>
      <c r="G22" s="337"/>
    </row>
    <row r="23" spans="1:7">
      <c r="A23" s="712">
        <v>15</v>
      </c>
      <c r="B23" s="713" t="s">
        <v>323</v>
      </c>
      <c r="C23" s="722">
        <v>122515244.2441099</v>
      </c>
      <c r="D23" s="693">
        <v>40915600</v>
      </c>
      <c r="E23" s="722">
        <v>0</v>
      </c>
      <c r="F23" s="722">
        <v>0</v>
      </c>
      <c r="G23" s="715">
        <v>5611084.8316854946</v>
      </c>
    </row>
    <row r="24" spans="1:7">
      <c r="A24" s="712">
        <v>16</v>
      </c>
      <c r="B24" s="713" t="s">
        <v>475</v>
      </c>
      <c r="C24" s="714">
        <f>SUM(C25:C27,C29,C31)</f>
        <v>2181703.3423564001</v>
      </c>
      <c r="D24" s="718">
        <f t="shared" ref="D24:G24" si="3">SUM(D25:D27,D29,D31)</f>
        <v>43978066.510645829</v>
      </c>
      <c r="E24" s="714">
        <f t="shared" si="3"/>
        <v>50091775.130853854</v>
      </c>
      <c r="F24" s="714">
        <f t="shared" si="3"/>
        <v>203523480.85978967</v>
      </c>
      <c r="G24" s="715">
        <f t="shared" si="3"/>
        <v>216204590.06446892</v>
      </c>
    </row>
    <row r="25" spans="1:7" ht="27.6">
      <c r="A25" s="712">
        <v>17</v>
      </c>
      <c r="B25" s="716" t="s">
        <v>476</v>
      </c>
      <c r="C25" s="714">
        <v>0</v>
      </c>
      <c r="D25" s="718">
        <v>0</v>
      </c>
      <c r="E25" s="714">
        <v>0</v>
      </c>
      <c r="F25" s="714">
        <v>0</v>
      </c>
      <c r="G25" s="715">
        <v>0</v>
      </c>
    </row>
    <row r="26" spans="1:7" ht="27.6">
      <c r="A26" s="712">
        <v>18</v>
      </c>
      <c r="B26" s="716" t="s">
        <v>477</v>
      </c>
      <c r="C26" s="714">
        <v>2181703.3423564001</v>
      </c>
      <c r="D26" s="718">
        <v>20389850.31189828</v>
      </c>
      <c r="E26" s="714">
        <v>18608369.760000821</v>
      </c>
      <c r="F26" s="714">
        <v>19892684.138058729</v>
      </c>
      <c r="G26" s="715">
        <v>32582602.066197343</v>
      </c>
    </row>
    <row r="27" spans="1:7">
      <c r="A27" s="712">
        <v>19</v>
      </c>
      <c r="B27" s="716" t="s">
        <v>478</v>
      </c>
      <c r="C27" s="714">
        <v>0</v>
      </c>
      <c r="D27" s="718">
        <v>23588216.198747549</v>
      </c>
      <c r="E27" s="714">
        <v>26937208.133470342</v>
      </c>
      <c r="F27" s="714">
        <v>171417160.53086439</v>
      </c>
      <c r="G27" s="715">
        <v>170967298.61734366</v>
      </c>
    </row>
    <row r="28" spans="1:7">
      <c r="A28" s="712">
        <v>20</v>
      </c>
      <c r="B28" s="723" t="s">
        <v>479</v>
      </c>
      <c r="C28" s="714" t="s">
        <v>5</v>
      </c>
      <c r="D28" s="718"/>
      <c r="E28" s="714"/>
      <c r="F28" s="714"/>
      <c r="G28" s="715"/>
    </row>
    <row r="29" spans="1:7">
      <c r="A29" s="712">
        <v>21</v>
      </c>
      <c r="B29" s="716" t="s">
        <v>480</v>
      </c>
      <c r="C29" s="714" t="s">
        <v>5</v>
      </c>
      <c r="D29" s="718"/>
      <c r="E29" s="714"/>
      <c r="F29" s="714"/>
      <c r="G29" s="715"/>
    </row>
    <row r="30" spans="1:7">
      <c r="A30" s="712">
        <v>22</v>
      </c>
      <c r="B30" s="723" t="s">
        <v>479</v>
      </c>
      <c r="C30" s="714" t="s">
        <v>5</v>
      </c>
      <c r="D30" s="718"/>
      <c r="E30" s="714"/>
      <c r="F30" s="714"/>
      <c r="G30" s="715"/>
    </row>
    <row r="31" spans="1:7" ht="27.6">
      <c r="A31" s="712">
        <v>23</v>
      </c>
      <c r="B31" s="716" t="s">
        <v>481</v>
      </c>
      <c r="C31" s="714">
        <v>0</v>
      </c>
      <c r="D31" s="718">
        <v>0</v>
      </c>
      <c r="E31" s="714">
        <v>4546197.2373826904</v>
      </c>
      <c r="F31" s="714">
        <v>12213636.19086655</v>
      </c>
      <c r="G31" s="715">
        <v>12654689.380927913</v>
      </c>
    </row>
    <row r="32" spans="1:7">
      <c r="A32" s="712">
        <v>24</v>
      </c>
      <c r="B32" s="713" t="s">
        <v>482</v>
      </c>
      <c r="C32" s="714"/>
      <c r="D32" s="718"/>
      <c r="E32" s="714"/>
      <c r="F32" s="714"/>
      <c r="G32" s="715"/>
    </row>
    <row r="33" spans="1:7">
      <c r="A33" s="712">
        <v>25</v>
      </c>
      <c r="B33" s="713" t="s">
        <v>100</v>
      </c>
      <c r="C33" s="714">
        <f>SUM(C34:C35)</f>
        <v>5531986.7200000025</v>
      </c>
      <c r="D33" s="714">
        <f>SUM(D34:D35)</f>
        <v>6719114.9812636003</v>
      </c>
      <c r="E33" s="714">
        <f>SUM(E34:E35)</f>
        <v>365460.00291800493</v>
      </c>
      <c r="F33" s="714">
        <f>SUM(F34:F35)</f>
        <v>40239843.898448341</v>
      </c>
      <c r="G33" s="715">
        <f>SUM(G34:G35)</f>
        <v>49597425.35053914</v>
      </c>
    </row>
    <row r="34" spans="1:7">
      <c r="A34" s="712">
        <v>26</v>
      </c>
      <c r="B34" s="716" t="s">
        <v>483</v>
      </c>
      <c r="C34" s="717"/>
      <c r="D34" s="718">
        <v>566614.48</v>
      </c>
      <c r="E34" s="714">
        <v>0</v>
      </c>
      <c r="F34" s="714">
        <v>0</v>
      </c>
      <c r="G34" s="715">
        <v>566614.48</v>
      </c>
    </row>
    <row r="35" spans="1:7">
      <c r="A35" s="712">
        <v>27</v>
      </c>
      <c r="B35" s="716" t="s">
        <v>484</v>
      </c>
      <c r="C35" s="714">
        <v>5531986.7200000025</v>
      </c>
      <c r="D35" s="718">
        <v>6152500.5012635998</v>
      </c>
      <c r="E35" s="714">
        <v>365460.00291800493</v>
      </c>
      <c r="F35" s="714">
        <v>40239843.898448341</v>
      </c>
      <c r="G35" s="715">
        <v>49030810.870539144</v>
      </c>
    </row>
    <row r="36" spans="1:7">
      <c r="A36" s="712">
        <v>28</v>
      </c>
      <c r="B36" s="713" t="s">
        <v>485</v>
      </c>
      <c r="C36" s="714">
        <v>0</v>
      </c>
      <c r="D36" s="718">
        <v>69308608.787793398</v>
      </c>
      <c r="E36" s="714">
        <v>10911428.412</v>
      </c>
      <c r="F36" s="714">
        <v>37096129.310999997</v>
      </c>
      <c r="G36" s="715">
        <v>10710006.38051467</v>
      </c>
    </row>
    <row r="37" spans="1:7">
      <c r="A37" s="719">
        <v>29</v>
      </c>
      <c r="B37" s="720" t="s">
        <v>486</v>
      </c>
      <c r="C37" s="717"/>
      <c r="D37" s="717"/>
      <c r="E37" s="717"/>
      <c r="F37" s="717"/>
      <c r="G37" s="721">
        <f>SUM(G23:G24,G32:G33,G36)</f>
        <v>282123106.62720823</v>
      </c>
    </row>
    <row r="38" spans="1:7">
      <c r="A38" s="330"/>
      <c r="B38" s="338"/>
      <c r="C38" s="339"/>
      <c r="D38" s="339"/>
      <c r="E38" s="339"/>
      <c r="F38" s="339"/>
      <c r="G38" s="340"/>
    </row>
    <row r="39" spans="1:7" ht="15" thickBot="1">
      <c r="A39" s="724">
        <v>30</v>
      </c>
      <c r="B39" s="725" t="s">
        <v>454</v>
      </c>
      <c r="C39" s="219"/>
      <c r="D39" s="210"/>
      <c r="E39" s="210"/>
      <c r="F39" s="341"/>
      <c r="G39" s="726">
        <f>IFERROR(G21/G37,0)</f>
        <v>1.2752999581495332</v>
      </c>
    </row>
    <row r="42" spans="1:7" ht="41.4">
      <c r="B42" s="16" t="s">
        <v>487</v>
      </c>
    </row>
  </sheetData>
  <mergeCells count="2">
    <mergeCell ref="C5:F5"/>
    <mergeCell ref="G5:G6"/>
  </mergeCells>
  <pageMargins left="0.7" right="0.7" top="0.75" bottom="0.75" header="0.3" footer="0.3"/>
  <pageSetup scale="47" orientation="portrait" r:id="rId1"/>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6" activePane="bottomRight" state="frozen"/>
      <selection activeCell="C9" sqref="C9"/>
      <selection pane="topRight" activeCell="C9" sqref="C9"/>
      <selection pane="bottomLeft" activeCell="C9" sqref="C9"/>
      <selection pane="bottomRight"/>
    </sheetView>
  </sheetViews>
  <sheetFormatPr defaultRowHeight="14.4"/>
  <cols>
    <col min="1" max="1" width="9.5546875" style="13" bestFit="1" customWidth="1"/>
    <col min="2" max="2" width="88.33203125" style="11" customWidth="1"/>
    <col min="3" max="3" width="12.77734375" style="11" customWidth="1"/>
    <col min="4" max="7" width="12.77734375" style="1" customWidth="1"/>
    <col min="8" max="8" width="6.77734375" customWidth="1"/>
    <col min="9" max="9" width="12.6640625" customWidth="1"/>
    <col min="10" max="10" width="14.77734375" customWidth="1"/>
    <col min="11" max="11" width="12.33203125" customWidth="1"/>
    <col min="12" max="12" width="17.21875" customWidth="1"/>
    <col min="13" max="13" width="6.77734375" customWidth="1"/>
  </cols>
  <sheetData>
    <row r="1" spans="1:12">
      <c r="A1" s="12" t="s">
        <v>109</v>
      </c>
      <c r="B1" s="291" t="str">
        <f>Info!C2</f>
        <v>სს " პაშა ბანკი საქართველო"</v>
      </c>
    </row>
    <row r="2" spans="1:12">
      <c r="A2" s="12" t="s">
        <v>110</v>
      </c>
      <c r="B2" s="322">
        <v>45016</v>
      </c>
    </row>
    <row r="3" spans="1:12" ht="15" thickBot="1">
      <c r="A3" s="12"/>
    </row>
    <row r="4" spans="1:12" ht="15" thickBot="1">
      <c r="A4" s="32" t="s">
        <v>253</v>
      </c>
      <c r="B4" s="136" t="s">
        <v>140</v>
      </c>
      <c r="C4" s="137"/>
      <c r="D4" s="744" t="s">
        <v>937</v>
      </c>
      <c r="E4" s="745"/>
      <c r="F4" s="745"/>
      <c r="G4" s="746"/>
      <c r="I4" s="747" t="s">
        <v>938</v>
      </c>
      <c r="J4" s="748"/>
      <c r="K4" s="748"/>
      <c r="L4" s="749"/>
    </row>
    <row r="5" spans="1:12">
      <c r="A5" s="198" t="s">
        <v>26</v>
      </c>
      <c r="B5" s="199"/>
      <c r="C5" s="309" t="str">
        <f>INT((MONTH($B$2))/3)&amp;"Q"&amp;"-"&amp;YEAR($B$2)</f>
        <v>1Q-2023</v>
      </c>
      <c r="D5" s="309" t="str">
        <f>IF(INT(MONTH($B$2))=3, "4"&amp;"Q"&amp;"-"&amp;YEAR($B$2)-1, IF(INT(MONTH($B$2))=6, "1"&amp;"Q"&amp;"-"&amp;YEAR($B$2), IF(INT(MONTH($B$2))=9, "2"&amp;"Q"&amp;"-"&amp;YEAR($B$2),IF(INT(MONTH($B$2))=12, "3"&amp;"Q"&amp;"-"&amp;YEAR($B$2), 0))))</f>
        <v>4Q-2022</v>
      </c>
      <c r="E5" s="309" t="str">
        <f>IF(INT(MONTH($B$2))=3, "3"&amp;"Q"&amp;"-"&amp;YEAR($B$2)-1, IF(INT(MONTH($B$2))=6, "4"&amp;"Q"&amp;"-"&amp;YEAR($B$2)-1, IF(INT(MONTH($B$2))=9, "1"&amp;"Q"&amp;"-"&amp;YEAR($B$2),IF(INT(MONTH($B$2))=12, "2"&amp;"Q"&amp;"-"&amp;YEAR($B$2), 0))))</f>
        <v>3Q-2022</v>
      </c>
      <c r="F5" s="309" t="str">
        <f>IF(INT(MONTH($B$2))=3, "2"&amp;"Q"&amp;"-"&amp;YEAR($B$2)-1, IF(INT(MONTH($B$2))=6, "3"&amp;"Q"&amp;"-"&amp;YEAR($B$2)-1, IF(INT(MONTH($B$2))=9, "4"&amp;"Q"&amp;"-"&amp;YEAR($B$2)-1,IF(INT(MONTH($B$2))=12, "1"&amp;"Q"&amp;"-"&amp;YEAR($B$2), 0))))</f>
        <v>2Q-2022</v>
      </c>
      <c r="G5" s="310" t="str">
        <f>IF(INT(MONTH($B$2))=3, "1"&amp;"Q"&amp;"-"&amp;YEAR($B$2)-1, IF(INT(MONTH($B$2))=6, "2"&amp;"Q"&amp;"-"&amp;YEAR($B$2)-1, IF(INT(MONTH($B$2))=9, "3"&amp;"Q"&amp;"-"&amp;YEAR($B$2)-1,IF(INT(MONTH($B$2))=12, "4"&amp;"Q"&amp;"-"&amp;YEAR($B$2)-1, 0))))</f>
        <v>1Q-2022</v>
      </c>
      <c r="I5" s="539" t="str">
        <f>D5</f>
        <v>4Q-2022</v>
      </c>
      <c r="J5" s="309" t="str">
        <f t="shared" ref="J5:L5" si="0">E5</f>
        <v>3Q-2022</v>
      </c>
      <c r="K5" s="309" t="str">
        <f t="shared" si="0"/>
        <v>2Q-2022</v>
      </c>
      <c r="L5" s="310" t="str">
        <f t="shared" si="0"/>
        <v>1Q-2022</v>
      </c>
    </row>
    <row r="6" spans="1:12">
      <c r="A6" s="311"/>
      <c r="B6" s="312" t="s">
        <v>107</v>
      </c>
      <c r="C6" s="200"/>
      <c r="D6" s="200"/>
      <c r="E6" s="200"/>
      <c r="F6" s="200"/>
      <c r="G6" s="201"/>
      <c r="I6" s="540"/>
      <c r="J6" s="200"/>
      <c r="K6" s="200"/>
      <c r="L6" s="201"/>
    </row>
    <row r="7" spans="1:12">
      <c r="A7" s="311"/>
      <c r="B7" s="313" t="s">
        <v>111</v>
      </c>
      <c r="C7" s="200"/>
      <c r="D7" s="200"/>
      <c r="E7" s="200"/>
      <c r="F7" s="200"/>
      <c r="G7" s="201"/>
      <c r="I7" s="540"/>
      <c r="J7" s="200"/>
      <c r="K7" s="200"/>
      <c r="L7" s="201"/>
    </row>
    <row r="8" spans="1:12">
      <c r="A8" s="295">
        <v>1</v>
      </c>
      <c r="B8" s="296" t="s">
        <v>23</v>
      </c>
      <c r="C8" s="314">
        <v>96566537.330000013</v>
      </c>
      <c r="D8" s="315">
        <v>96574008.277896658</v>
      </c>
      <c r="E8" s="315">
        <v>96476364.155290246</v>
      </c>
      <c r="F8" s="315">
        <v>92485503.11156334</v>
      </c>
      <c r="G8" s="316">
        <v>97824976.508117154</v>
      </c>
      <c r="I8" s="541">
        <v>88477907.030000016</v>
      </c>
      <c r="J8" s="542">
        <v>87660852.290000007</v>
      </c>
      <c r="K8" s="542">
        <v>87689197.719999999</v>
      </c>
      <c r="L8" s="543">
        <v>89340854.899999991</v>
      </c>
    </row>
    <row r="9" spans="1:12">
      <c r="A9" s="295">
        <v>2</v>
      </c>
      <c r="B9" s="296" t="s">
        <v>87</v>
      </c>
      <c r="C9" s="314">
        <v>96566537.330000013</v>
      </c>
      <c r="D9" s="315">
        <v>96574008.277896658</v>
      </c>
      <c r="E9" s="315">
        <v>96476364.155290246</v>
      </c>
      <c r="F9" s="315">
        <v>92485503.11156334</v>
      </c>
      <c r="G9" s="316">
        <v>97824976.508117154</v>
      </c>
      <c r="I9" s="541">
        <v>88477907.030000016</v>
      </c>
      <c r="J9" s="542">
        <v>87660852.290000007</v>
      </c>
      <c r="K9" s="542">
        <v>87689197.719999999</v>
      </c>
      <c r="L9" s="543">
        <v>89340854.899999991</v>
      </c>
    </row>
    <row r="10" spans="1:12">
      <c r="A10" s="295">
        <v>3</v>
      </c>
      <c r="B10" s="296" t="s">
        <v>86</v>
      </c>
      <c r="C10" s="314">
        <v>106816550.58850001</v>
      </c>
      <c r="D10" s="315">
        <v>107390886.92339666</v>
      </c>
      <c r="E10" s="315">
        <v>113493774.88909024</v>
      </c>
      <c r="F10" s="315">
        <v>110065319.10276334</v>
      </c>
      <c r="G10" s="316">
        <v>116439570.15541716</v>
      </c>
      <c r="I10" s="541">
        <v>105517547.05910002</v>
      </c>
      <c r="J10" s="542">
        <v>110636092.07050002</v>
      </c>
      <c r="K10" s="542">
        <v>110772679.2489</v>
      </c>
      <c r="L10" s="543">
        <v>113442882.39189999</v>
      </c>
    </row>
    <row r="11" spans="1:12">
      <c r="A11" s="295">
        <v>4</v>
      </c>
      <c r="B11" s="296" t="s">
        <v>446</v>
      </c>
      <c r="C11" s="314">
        <v>66125948.271166317</v>
      </c>
      <c r="D11" s="315">
        <v>60156768.106892526</v>
      </c>
      <c r="E11" s="315">
        <v>59397527.957410738</v>
      </c>
      <c r="F11" s="315">
        <v>51182603.687850289</v>
      </c>
      <c r="G11" s="316">
        <v>32367261.075071018</v>
      </c>
      <c r="I11" s="541">
        <v>60302978.712095015</v>
      </c>
      <c r="J11" s="542">
        <v>57248718.530545391</v>
      </c>
      <c r="K11" s="542">
        <v>54870355.704784676</v>
      </c>
      <c r="L11" s="543">
        <v>55260501.184454203</v>
      </c>
    </row>
    <row r="12" spans="1:12">
      <c r="A12" s="295">
        <v>5</v>
      </c>
      <c r="B12" s="296" t="s">
        <v>447</v>
      </c>
      <c r="C12" s="314">
        <v>82313058.91154775</v>
      </c>
      <c r="D12" s="315">
        <v>74175772.707142636</v>
      </c>
      <c r="E12" s="315">
        <v>73122332.205368131</v>
      </c>
      <c r="F12" s="315">
        <v>64124994.783157177</v>
      </c>
      <c r="G12" s="316">
        <v>41358119.020271845</v>
      </c>
      <c r="I12" s="541">
        <v>75808432.51031068</v>
      </c>
      <c r="J12" s="542">
        <v>71972489.92521064</v>
      </c>
      <c r="K12" s="542">
        <v>69067715.670995221</v>
      </c>
      <c r="L12" s="543">
        <v>69608944.012707099</v>
      </c>
    </row>
    <row r="13" spans="1:12">
      <c r="A13" s="295">
        <v>6</v>
      </c>
      <c r="B13" s="296" t="s">
        <v>448</v>
      </c>
      <c r="C13" s="314">
        <v>103750672.63500927</v>
      </c>
      <c r="D13" s="315">
        <v>99426473.222909629</v>
      </c>
      <c r="E13" s="315">
        <v>98179309.831161425</v>
      </c>
      <c r="F13" s="315">
        <v>87820646.885754272</v>
      </c>
      <c r="G13" s="316">
        <v>60723043.825319767</v>
      </c>
      <c r="I13" s="541">
        <v>103025006.29841353</v>
      </c>
      <c r="J13" s="542">
        <v>97868983.665749431</v>
      </c>
      <c r="K13" s="542">
        <v>93992320.398997337</v>
      </c>
      <c r="L13" s="543">
        <v>94847747.95222123</v>
      </c>
    </row>
    <row r="14" spans="1:12">
      <c r="A14" s="311"/>
      <c r="B14" s="312" t="s">
        <v>450</v>
      </c>
      <c r="C14" s="200"/>
      <c r="D14" s="200"/>
      <c r="E14" s="200"/>
      <c r="F14" s="200"/>
      <c r="G14" s="201"/>
      <c r="I14" s="540"/>
      <c r="J14" s="200"/>
      <c r="K14" s="200"/>
      <c r="L14" s="201"/>
    </row>
    <row r="15" spans="1:12" ht="22.05" customHeight="1">
      <c r="A15" s="295">
        <v>7</v>
      </c>
      <c r="B15" s="296" t="s">
        <v>449</v>
      </c>
      <c r="C15" s="317">
        <v>527378947.24652934</v>
      </c>
      <c r="D15" s="315">
        <v>555258145.65059328</v>
      </c>
      <c r="E15" s="315">
        <v>529101732.65705884</v>
      </c>
      <c r="F15" s="315">
        <v>490211022.87316936</v>
      </c>
      <c r="G15" s="316">
        <v>494003183.80224293</v>
      </c>
      <c r="I15" s="541">
        <v>556152867.7405082</v>
      </c>
      <c r="J15" s="542">
        <v>527486561.52142268</v>
      </c>
      <c r="K15" s="542">
        <v>495834913.15841907</v>
      </c>
      <c r="L15" s="543">
        <v>493521122.76273894</v>
      </c>
    </row>
    <row r="16" spans="1:12">
      <c r="A16" s="311"/>
      <c r="B16" s="312" t="s">
        <v>453</v>
      </c>
      <c r="C16" s="200"/>
      <c r="D16" s="200"/>
      <c r="E16" s="200"/>
      <c r="F16" s="200"/>
      <c r="G16" s="201"/>
      <c r="I16" s="540"/>
      <c r="J16" s="200"/>
      <c r="K16" s="200"/>
      <c r="L16" s="201"/>
    </row>
    <row r="17" spans="1:12">
      <c r="A17" s="295"/>
      <c r="B17" s="313" t="s">
        <v>436</v>
      </c>
      <c r="C17" s="200"/>
      <c r="D17" s="200"/>
      <c r="E17" s="200"/>
      <c r="F17" s="200"/>
      <c r="G17" s="201"/>
      <c r="I17" s="540"/>
      <c r="J17" s="200"/>
      <c r="K17" s="200"/>
      <c r="L17" s="201"/>
    </row>
    <row r="18" spans="1:12">
      <c r="A18" s="295">
        <v>8</v>
      </c>
      <c r="B18" s="296" t="s">
        <v>444</v>
      </c>
      <c r="C18" s="323">
        <v>0.1831065457469975</v>
      </c>
      <c r="D18" s="324">
        <v>0.1739263242410273</v>
      </c>
      <c r="E18" s="324">
        <v>0.18233991348091486</v>
      </c>
      <c r="F18" s="324">
        <v>0.18866467459156216</v>
      </c>
      <c r="G18" s="325">
        <v>0.19802499197510839</v>
      </c>
      <c r="I18" s="544">
        <v>0.15908918601725588</v>
      </c>
      <c r="J18" s="545">
        <v>0.16618594422038155</v>
      </c>
      <c r="K18" s="545">
        <v>0.17685159998401187</v>
      </c>
      <c r="L18" s="546">
        <v>0.18102741864394475</v>
      </c>
    </row>
    <row r="19" spans="1:12" ht="15" customHeight="1">
      <c r="A19" s="295">
        <v>9</v>
      </c>
      <c r="B19" s="296" t="s">
        <v>443</v>
      </c>
      <c r="C19" s="323">
        <v>0.1831065457469975</v>
      </c>
      <c r="D19" s="324">
        <v>0.1739263242410273</v>
      </c>
      <c r="E19" s="324">
        <v>0.18233991348091486</v>
      </c>
      <c r="F19" s="324">
        <v>0.18866467459156216</v>
      </c>
      <c r="G19" s="325">
        <v>0.19802499197510839</v>
      </c>
      <c r="I19" s="544">
        <v>0.15908918601725588</v>
      </c>
      <c r="J19" s="545">
        <v>0.16618594422038155</v>
      </c>
      <c r="K19" s="545">
        <v>0.17685159998401187</v>
      </c>
      <c r="L19" s="546">
        <v>0.18102741864394475</v>
      </c>
    </row>
    <row r="20" spans="1:12">
      <c r="A20" s="295">
        <v>10</v>
      </c>
      <c r="B20" s="296" t="s">
        <v>445</v>
      </c>
      <c r="C20" s="323">
        <v>0.2025423106974488</v>
      </c>
      <c r="D20" s="324">
        <v>0.19340713461766018</v>
      </c>
      <c r="E20" s="324">
        <v>0.21450274660629784</v>
      </c>
      <c r="F20" s="324">
        <v>0.2245264059091551</v>
      </c>
      <c r="G20" s="325">
        <v>0.23570611278090409</v>
      </c>
      <c r="I20" s="544">
        <v>0.18972759681665935</v>
      </c>
      <c r="J20" s="545">
        <v>0.20974201077539067</v>
      </c>
      <c r="K20" s="545">
        <v>0.22340637238166439</v>
      </c>
      <c r="L20" s="546">
        <v>0.22986428981366586</v>
      </c>
    </row>
    <row r="21" spans="1:12">
      <c r="A21" s="295">
        <v>11</v>
      </c>
      <c r="B21" s="296" t="s">
        <v>446</v>
      </c>
      <c r="C21" s="323">
        <v>0.12538602197985538</v>
      </c>
      <c r="D21" s="324">
        <v>0.1083401811897908</v>
      </c>
      <c r="E21" s="324">
        <v>0.11226107247679282</v>
      </c>
      <c r="F21" s="324">
        <v>0.10440932843138574</v>
      </c>
      <c r="G21" s="325">
        <v>6.5520349132057676E-2</v>
      </c>
      <c r="I21" s="544">
        <v>0.10842878318166184</v>
      </c>
      <c r="J21" s="545">
        <v>0.10853114127765388</v>
      </c>
      <c r="K21" s="545">
        <v>0.11066254966852973</v>
      </c>
      <c r="L21" s="546">
        <v>0.11197190684586114</v>
      </c>
    </row>
    <row r="22" spans="1:12">
      <c r="A22" s="295">
        <v>12</v>
      </c>
      <c r="B22" s="296" t="s">
        <v>447</v>
      </c>
      <c r="C22" s="323">
        <v>0.15607953131483188</v>
      </c>
      <c r="D22" s="324">
        <v>0.13358790553217592</v>
      </c>
      <c r="E22" s="324">
        <v>0.13820089349955486</v>
      </c>
      <c r="F22" s="324">
        <v>0.13081100136695217</v>
      </c>
      <c r="G22" s="325">
        <v>8.3720349132057698E-2</v>
      </c>
      <c r="I22" s="544">
        <v>0.13630862467418159</v>
      </c>
      <c r="J22" s="545">
        <v>0.13644421521871822</v>
      </c>
      <c r="K22" s="545">
        <v>0.1392957894615382</v>
      </c>
      <c r="L22" s="546">
        <v>0.14104552125962744</v>
      </c>
    </row>
    <row r="23" spans="1:12">
      <c r="A23" s="295">
        <v>13</v>
      </c>
      <c r="B23" s="296" t="s">
        <v>448</v>
      </c>
      <c r="C23" s="323">
        <v>0.19672888570295893</v>
      </c>
      <c r="D23" s="324">
        <v>0.17906351127260298</v>
      </c>
      <c r="E23" s="324">
        <v>0.18555847348698262</v>
      </c>
      <c r="F23" s="324">
        <v>0.17914865800248603</v>
      </c>
      <c r="G23" s="325">
        <v>0.12292034913205768</v>
      </c>
      <c r="I23" s="544">
        <v>0.18524584205953121</v>
      </c>
      <c r="J23" s="545">
        <v>0.18553834505938346</v>
      </c>
      <c r="K23" s="545">
        <v>0.18956373967350465</v>
      </c>
      <c r="L23" s="546">
        <v>0.19218579221343568</v>
      </c>
    </row>
    <row r="24" spans="1:12">
      <c r="A24" s="311"/>
      <c r="B24" s="312" t="s">
        <v>7</v>
      </c>
      <c r="C24" s="200"/>
      <c r="D24" s="200"/>
      <c r="E24" s="200"/>
      <c r="F24" s="200"/>
      <c r="G24" s="201"/>
      <c r="I24" s="540"/>
      <c r="J24" s="200"/>
      <c r="K24" s="200"/>
      <c r="L24" s="201"/>
    </row>
    <row r="25" spans="1:12" ht="15" customHeight="1">
      <c r="A25" s="318">
        <v>14</v>
      </c>
      <c r="B25" s="319" t="s">
        <v>8</v>
      </c>
      <c r="C25" s="596">
        <v>0.10078002732779928</v>
      </c>
      <c r="D25" s="736">
        <v>8.7544534618006223E-2</v>
      </c>
      <c r="E25" s="736">
        <v>8.6148200628964194E-2</v>
      </c>
      <c r="F25" s="736">
        <v>8.3236412186031603E-2</v>
      </c>
      <c r="G25" s="737">
        <v>8.0408238241607005E-2</v>
      </c>
      <c r="I25" s="597">
        <v>8.6525638389761392E-2</v>
      </c>
      <c r="J25" s="598">
        <v>8.4228865429812796E-2</v>
      </c>
      <c r="K25" s="598">
        <v>8.1299999999999997E-2</v>
      </c>
      <c r="L25" s="599">
        <v>7.8E-2</v>
      </c>
    </row>
    <row r="26" spans="1:12">
      <c r="A26" s="318">
        <v>15</v>
      </c>
      <c r="B26" s="319" t="s">
        <v>9</v>
      </c>
      <c r="C26" s="596">
        <v>3.7465760017186857E-2</v>
      </c>
      <c r="D26" s="736">
        <v>3.4207756841183885E-2</v>
      </c>
      <c r="E26" s="736">
        <v>3.4191691015069893E-2</v>
      </c>
      <c r="F26" s="736">
        <v>3.4756187333866428E-2</v>
      </c>
      <c r="G26" s="737">
        <v>3.3693366275078469E-2</v>
      </c>
      <c r="I26" s="597">
        <v>3.4099787960085531E-2</v>
      </c>
      <c r="J26" s="598">
        <v>3.4044179814285279E-2</v>
      </c>
      <c r="K26" s="598">
        <v>3.4599999999999999E-2</v>
      </c>
      <c r="L26" s="599">
        <v>3.4200000000000001E-2</v>
      </c>
    </row>
    <row r="27" spans="1:12">
      <c r="A27" s="318">
        <v>16</v>
      </c>
      <c r="B27" s="319" t="s">
        <v>10</v>
      </c>
      <c r="C27" s="735">
        <v>7.1254622382044665E-4</v>
      </c>
      <c r="D27" s="736">
        <v>7.0283295753836121E-3</v>
      </c>
      <c r="E27" s="736">
        <v>1.9696366010524654E-2</v>
      </c>
      <c r="F27" s="736">
        <v>5.1526292318730404E-3</v>
      </c>
      <c r="G27" s="737">
        <v>-1.5951660421752115E-3</v>
      </c>
      <c r="I27" s="597">
        <v>4.8701276203161181E-3</v>
      </c>
      <c r="J27" s="598">
        <v>1.726384309507507E-2</v>
      </c>
      <c r="K27" s="598">
        <v>1.4E-3</v>
      </c>
      <c r="L27" s="599">
        <v>-5.5999999999999999E-3</v>
      </c>
    </row>
    <row r="28" spans="1:12">
      <c r="A28" s="318">
        <v>17</v>
      </c>
      <c r="B28" s="319" t="s">
        <v>141</v>
      </c>
      <c r="C28" s="596">
        <v>6.3314267310612418E-2</v>
      </c>
      <c r="D28" s="736">
        <v>5.3336777776822338E-2</v>
      </c>
      <c r="E28" s="736">
        <v>5.1956509613894294E-2</v>
      </c>
      <c r="F28" s="736">
        <v>4.8480224852165174E-2</v>
      </c>
      <c r="G28" s="737">
        <v>4.6714871966528529E-2</v>
      </c>
      <c r="I28" s="597">
        <v>5.242585042967586E-2</v>
      </c>
      <c r="J28" s="598">
        <v>5.0184685615527518E-2</v>
      </c>
      <c r="K28" s="598">
        <v>4.6600000000000003E-2</v>
      </c>
      <c r="L28" s="599">
        <v>4.3799999999999999E-2</v>
      </c>
    </row>
    <row r="29" spans="1:12">
      <c r="A29" s="318">
        <v>18</v>
      </c>
      <c r="B29" s="319" t="s">
        <v>11</v>
      </c>
      <c r="C29" s="596">
        <v>2.5723267161196339E-3</v>
      </c>
      <c r="D29" s="736">
        <v>-4.2252651750515208E-3</v>
      </c>
      <c r="E29" s="736">
        <v>-7.7771139393655909E-3</v>
      </c>
      <c r="F29" s="736">
        <v>-2.7614792720857494E-2</v>
      </c>
      <c r="G29" s="737">
        <v>-7.9124633510670988E-3</v>
      </c>
      <c r="I29" s="597">
        <v>-4.3597095235026672E-3</v>
      </c>
      <c r="J29" s="598">
        <v>-1.0007280987613719E-2</v>
      </c>
      <c r="K29" s="598">
        <v>-1.41E-2</v>
      </c>
      <c r="L29" s="599">
        <v>-1.17E-2</v>
      </c>
    </row>
    <row r="30" spans="1:12">
      <c r="A30" s="318">
        <v>19</v>
      </c>
      <c r="B30" s="319" t="s">
        <v>12</v>
      </c>
      <c r="C30" s="596">
        <v>1.3049441863535337E-2</v>
      </c>
      <c r="D30" s="736">
        <v>-2.1823520152333194E-2</v>
      </c>
      <c r="E30" s="736">
        <v>-3.9923552393701593E-2</v>
      </c>
      <c r="F30" s="736">
        <v>-0.14391274157364736</v>
      </c>
      <c r="G30" s="737">
        <v>-4.4117126811408038E-2</v>
      </c>
      <c r="I30" s="597">
        <v>-2.4343319967253793E-2</v>
      </c>
      <c r="J30" s="598">
        <v>-5.5421096838092446E-2</v>
      </c>
      <c r="K30" s="598">
        <v>-7.9799999999999996E-2</v>
      </c>
      <c r="L30" s="599">
        <v>-7.22E-2</v>
      </c>
    </row>
    <row r="31" spans="1:12">
      <c r="A31" s="311"/>
      <c r="B31" s="312" t="s">
        <v>13</v>
      </c>
      <c r="C31" s="200"/>
      <c r="D31" s="200"/>
      <c r="E31" s="200"/>
      <c r="F31" s="200"/>
      <c r="G31" s="201"/>
      <c r="I31" s="540"/>
      <c r="J31" s="200"/>
      <c r="K31" s="200"/>
      <c r="L31" s="201"/>
    </row>
    <row r="32" spans="1:12">
      <c r="A32" s="318">
        <v>20</v>
      </c>
      <c r="B32" s="319" t="s">
        <v>14</v>
      </c>
      <c r="C32" s="596">
        <v>1.1946029909315798E-4</v>
      </c>
      <c r="D32" s="600">
        <v>8.8926086933114851E-2</v>
      </c>
      <c r="E32" s="600">
        <v>9.8243329863047832E-2</v>
      </c>
      <c r="F32" s="600">
        <v>9.4542803202789058E-2</v>
      </c>
      <c r="G32" s="601">
        <v>5.0733425006800184E-2</v>
      </c>
      <c r="I32" s="597">
        <v>0.10365853663361817</v>
      </c>
      <c r="J32" s="598">
        <v>0.10850752803513937</v>
      </c>
      <c r="K32" s="598">
        <v>0.1086</v>
      </c>
      <c r="L32" s="599">
        <v>0.1186</v>
      </c>
    </row>
    <row r="33" spans="1:12" ht="15" customHeight="1">
      <c r="A33" s="318">
        <v>21</v>
      </c>
      <c r="B33" s="319" t="s">
        <v>959</v>
      </c>
      <c r="C33" s="596">
        <v>5.0511222940119199E-2</v>
      </c>
      <c r="D33" s="600">
        <v>4.5769372956679662E-2</v>
      </c>
      <c r="E33" s="600">
        <v>4.410680061507833E-2</v>
      </c>
      <c r="F33" s="600">
        <v>5.3583354095815806E-2</v>
      </c>
      <c r="G33" s="601">
        <v>4.2446343654735687E-2</v>
      </c>
      <c r="I33" s="597">
        <v>5.8466722981379594E-2</v>
      </c>
      <c r="J33" s="598">
        <v>5.9119048073234912E-2</v>
      </c>
      <c r="K33" s="598">
        <v>6.0499999999999998E-2</v>
      </c>
      <c r="L33" s="599">
        <v>6.2700000000000006E-2</v>
      </c>
    </row>
    <row r="34" spans="1:12">
      <c r="A34" s="318">
        <v>22</v>
      </c>
      <c r="B34" s="319" t="s">
        <v>15</v>
      </c>
      <c r="C34" s="596">
        <v>0.59696970204590716</v>
      </c>
      <c r="D34" s="600">
        <v>0.58933779246094986</v>
      </c>
      <c r="E34" s="600">
        <v>0.5634477883855693</v>
      </c>
      <c r="F34" s="600">
        <v>0.60262746751342133</v>
      </c>
      <c r="G34" s="601">
        <v>0.64299738590623712</v>
      </c>
      <c r="I34" s="597">
        <v>0.5878351843956735</v>
      </c>
      <c r="J34" s="598">
        <v>0.56270379466958187</v>
      </c>
      <c r="K34" s="598">
        <v>0.60199999999999998</v>
      </c>
      <c r="L34" s="599">
        <v>0.6431</v>
      </c>
    </row>
    <row r="35" spans="1:12" ht="15" customHeight="1">
      <c r="A35" s="318">
        <v>23</v>
      </c>
      <c r="B35" s="319" t="s">
        <v>16</v>
      </c>
      <c r="C35" s="596">
        <v>0.56557528269683632</v>
      </c>
      <c r="D35" s="600">
        <v>0.5736601097510885</v>
      </c>
      <c r="E35" s="600">
        <v>0.62446020742897834</v>
      </c>
      <c r="F35" s="600">
        <v>0.61781117928535456</v>
      </c>
      <c r="G35" s="601">
        <v>0.6256613163622462</v>
      </c>
      <c r="I35" s="597">
        <v>0.56510842233374814</v>
      </c>
      <c r="J35" s="598">
        <v>0.61945797347649822</v>
      </c>
      <c r="K35" s="598">
        <v>0.61339999999999995</v>
      </c>
      <c r="L35" s="599">
        <v>0.62260000000000004</v>
      </c>
    </row>
    <row r="36" spans="1:12">
      <c r="A36" s="318">
        <v>24</v>
      </c>
      <c r="B36" s="319" t="s">
        <v>17</v>
      </c>
      <c r="C36" s="596">
        <v>-7.9994303593437399E-2</v>
      </c>
      <c r="D36" s="600">
        <v>0.19796090350095286</v>
      </c>
      <c r="E36" s="600">
        <v>0.15864750152164375</v>
      </c>
      <c r="F36" s="600">
        <v>9.5909627853508095E-2</v>
      </c>
      <c r="G36" s="601">
        <v>7.934989510062529E-2</v>
      </c>
      <c r="I36" s="597">
        <v>0.18940637248896119</v>
      </c>
      <c r="J36" s="598">
        <v>0.14896372612854281</v>
      </c>
      <c r="K36" s="598">
        <v>8.6999999999999994E-2</v>
      </c>
      <c r="L36" s="599">
        <v>7.1199999999999999E-2</v>
      </c>
    </row>
    <row r="37" spans="1:12" ht="15" customHeight="1">
      <c r="A37" s="311"/>
      <c r="B37" s="312" t="s">
        <v>18</v>
      </c>
      <c r="C37" s="200"/>
      <c r="D37" s="200"/>
      <c r="E37" s="200"/>
      <c r="F37" s="200"/>
      <c r="G37" s="201"/>
      <c r="I37" s="540"/>
      <c r="J37" s="200"/>
      <c r="K37" s="200"/>
      <c r="L37" s="201"/>
    </row>
    <row r="38" spans="1:12" ht="15" customHeight="1">
      <c r="A38" s="318">
        <v>25</v>
      </c>
      <c r="B38" s="319" t="s">
        <v>19</v>
      </c>
      <c r="C38" s="596">
        <v>0.21231771101271205</v>
      </c>
      <c r="D38" s="596">
        <v>0.15828456118412948</v>
      </c>
      <c r="E38" s="596">
        <v>0.14450200263594654</v>
      </c>
      <c r="F38" s="596">
        <v>8.8446205698512401E-2</v>
      </c>
      <c r="G38" s="602">
        <v>7.6604824299613877E-2</v>
      </c>
      <c r="I38" s="606">
        <v>0.1112326463510379</v>
      </c>
      <c r="J38" s="607">
        <v>9.092058512649806E-2</v>
      </c>
      <c r="K38" s="607">
        <v>8.5199999999999998E-2</v>
      </c>
      <c r="L38" s="608">
        <v>9.8699999999999996E-2</v>
      </c>
    </row>
    <row r="39" spans="1:12" ht="15" customHeight="1">
      <c r="A39" s="318">
        <v>26</v>
      </c>
      <c r="B39" s="319" t="s">
        <v>20</v>
      </c>
      <c r="C39" s="596">
        <v>0.71626693351814974</v>
      </c>
      <c r="D39" s="596">
        <v>0.69702767174352309</v>
      </c>
      <c r="E39" s="596">
        <v>0.78550930889861958</v>
      </c>
      <c r="F39" s="596">
        <v>0.80617377894508613</v>
      </c>
      <c r="G39" s="602">
        <v>0.79532520707544496</v>
      </c>
      <c r="I39" s="606">
        <v>0.69524091169435864</v>
      </c>
      <c r="J39" s="607">
        <v>0.78335659164733862</v>
      </c>
      <c r="K39" s="607">
        <v>0.80449999999999999</v>
      </c>
      <c r="L39" s="608">
        <v>0.79530000000000001</v>
      </c>
    </row>
    <row r="40" spans="1:12" ht="15" customHeight="1">
      <c r="A40" s="318">
        <v>27</v>
      </c>
      <c r="B40" s="320" t="s">
        <v>21</v>
      </c>
      <c r="C40" s="596">
        <v>0.21666313874610416</v>
      </c>
      <c r="D40" s="596">
        <v>0.16517291982881246</v>
      </c>
      <c r="E40" s="596">
        <v>0.11705795874721245</v>
      </c>
      <c r="F40" s="596">
        <v>0.10464187506522744</v>
      </c>
      <c r="G40" s="602">
        <v>0.10972592288304546</v>
      </c>
      <c r="I40" s="606">
        <v>0.16729635666426002</v>
      </c>
      <c r="J40" s="607">
        <v>0.11871674513141937</v>
      </c>
      <c r="K40" s="607">
        <v>0.1056</v>
      </c>
      <c r="L40" s="608">
        <v>0.1116</v>
      </c>
    </row>
    <row r="41" spans="1:12" ht="15" customHeight="1">
      <c r="A41" s="321"/>
      <c r="B41" s="312" t="s">
        <v>357</v>
      </c>
      <c r="C41" s="200"/>
      <c r="D41" s="200"/>
      <c r="E41" s="200"/>
      <c r="F41" s="200"/>
      <c r="G41" s="201"/>
      <c r="I41" s="540"/>
      <c r="J41" s="200"/>
      <c r="K41" s="200"/>
      <c r="L41" s="201"/>
    </row>
    <row r="42" spans="1:12" ht="15" customHeight="1">
      <c r="A42" s="318">
        <v>28</v>
      </c>
      <c r="B42" s="347" t="s">
        <v>341</v>
      </c>
      <c r="C42" s="740">
        <v>150913136.3147575</v>
      </c>
      <c r="D42" s="740">
        <v>117762904.48666666</v>
      </c>
      <c r="E42" s="740">
        <v>96116211.453333333</v>
      </c>
      <c r="F42" s="740">
        <v>99073972.306666672</v>
      </c>
      <c r="G42" s="738">
        <v>91702349.812785462</v>
      </c>
      <c r="I42" s="550">
        <v>126443044.30847825</v>
      </c>
      <c r="J42" s="551">
        <v>92427257.627692327</v>
      </c>
      <c r="K42" s="551">
        <v>103990479.80076924</v>
      </c>
      <c r="L42" s="552">
        <v>86473325.633000016</v>
      </c>
    </row>
    <row r="43" spans="1:12">
      <c r="A43" s="318">
        <v>29</v>
      </c>
      <c r="B43" s="319" t="s">
        <v>342</v>
      </c>
      <c r="C43" s="740">
        <v>68046298.249383345</v>
      </c>
      <c r="D43" s="741">
        <v>68427424.007449999</v>
      </c>
      <c r="E43" s="741">
        <v>44502585.074916676</v>
      </c>
      <c r="F43" s="741">
        <v>40963357.694482245</v>
      </c>
      <c r="G43" s="739">
        <v>57737244.473314516</v>
      </c>
      <c r="I43" s="547">
        <v>79541168.508703813</v>
      </c>
      <c r="J43" s="548">
        <v>41989157.235059902</v>
      </c>
      <c r="K43" s="548">
        <v>43278783.415899985</v>
      </c>
      <c r="L43" s="549">
        <v>50521891.58250834</v>
      </c>
    </row>
    <row r="44" spans="1:12">
      <c r="A44" s="342">
        <v>30</v>
      </c>
      <c r="B44" s="343" t="s">
        <v>340</v>
      </c>
      <c r="C44" s="596">
        <f>C42/C43</f>
        <v>2.217800823810796</v>
      </c>
      <c r="D44" s="596">
        <f>D42/D43</f>
        <v>1.7209898837320734</v>
      </c>
      <c r="E44" s="596">
        <f>E42/E43</f>
        <v>2.1597893985603105</v>
      </c>
      <c r="F44" s="596">
        <f>F42/F43</f>
        <v>2.4185998873820815</v>
      </c>
      <c r="G44" s="735">
        <f>G42/G43</f>
        <v>1.5882702863516325</v>
      </c>
      <c r="I44" s="603">
        <v>1.5896553530596196</v>
      </c>
      <c r="J44" s="604">
        <v>2.2012172597386135</v>
      </c>
      <c r="K44" s="604">
        <v>2.4471165881257191</v>
      </c>
      <c r="L44" s="605">
        <v>1.7900198341583815</v>
      </c>
    </row>
    <row r="45" spans="1:12">
      <c r="A45" s="342"/>
      <c r="B45" s="312" t="s">
        <v>454</v>
      </c>
      <c r="C45" s="200"/>
      <c r="D45" s="200"/>
      <c r="E45" s="200"/>
      <c r="F45" s="200"/>
      <c r="G45" s="201"/>
      <c r="I45" s="540"/>
      <c r="J45" s="200"/>
      <c r="K45" s="200"/>
      <c r="L45" s="201"/>
    </row>
    <row r="46" spans="1:12">
      <c r="A46" s="342">
        <v>31</v>
      </c>
      <c r="B46" s="343" t="s">
        <v>461</v>
      </c>
      <c r="C46" s="344">
        <v>359791586.07469499</v>
      </c>
      <c r="D46" s="345">
        <v>382858080.86000001</v>
      </c>
      <c r="E46" s="345">
        <v>366338766.13</v>
      </c>
      <c r="F46" s="345">
        <v>366012105.69</v>
      </c>
      <c r="G46" s="346">
        <v>365493115.05000001</v>
      </c>
      <c r="I46" s="553">
        <v>374610446.03832996</v>
      </c>
      <c r="J46" s="554">
        <v>357523300.59996003</v>
      </c>
      <c r="K46" s="554">
        <v>361215800.75230491</v>
      </c>
      <c r="L46" s="346">
        <v>357008993.59818</v>
      </c>
    </row>
    <row r="47" spans="1:12">
      <c r="A47" s="342">
        <v>32</v>
      </c>
      <c r="B47" s="343" t="s">
        <v>474</v>
      </c>
      <c r="C47" s="344">
        <v>282123106.62720823</v>
      </c>
      <c r="D47" s="345">
        <v>292723791.82999998</v>
      </c>
      <c r="E47" s="345">
        <v>303851287.56</v>
      </c>
      <c r="F47" s="345">
        <v>283692023.69999999</v>
      </c>
      <c r="G47" s="346">
        <v>285527855.88999999</v>
      </c>
      <c r="I47" s="553">
        <v>287598577.30392998</v>
      </c>
      <c r="J47" s="554">
        <v>298230165.79697502</v>
      </c>
      <c r="K47" s="554">
        <v>271237916.04686975</v>
      </c>
      <c r="L47" s="346">
        <v>273085222.52572882</v>
      </c>
    </row>
    <row r="48" spans="1:12" ht="15" thickBot="1">
      <c r="A48" s="73">
        <v>33</v>
      </c>
      <c r="B48" s="158" t="s">
        <v>488</v>
      </c>
      <c r="C48" s="609">
        <v>1.2752999581495332</v>
      </c>
      <c r="D48" s="610">
        <v>1.3079158290021937</v>
      </c>
      <c r="E48" s="610">
        <v>1.2056515181218737</v>
      </c>
      <c r="F48" s="610">
        <v>1.2901741152830304</v>
      </c>
      <c r="G48" s="611">
        <v>1.2800611481872604</v>
      </c>
      <c r="I48" s="612">
        <v>1.3025462418836902</v>
      </c>
      <c r="J48" s="613">
        <v>1.1988166912778024</v>
      </c>
      <c r="K48" s="613">
        <v>1.3317304822895299</v>
      </c>
      <c r="L48" s="614">
        <v>1.3073171455278736</v>
      </c>
    </row>
    <row r="49" spans="1:2">
      <c r="A49" s="14"/>
    </row>
    <row r="50" spans="1:2" ht="41.4">
      <c r="B50" s="16" t="s">
        <v>946</v>
      </c>
    </row>
    <row r="51" spans="1:2" ht="69">
      <c r="B51" s="228" t="s">
        <v>356</v>
      </c>
    </row>
  </sheetData>
  <mergeCells count="2">
    <mergeCell ref="D4:G4"/>
    <mergeCell ref="I4:L4"/>
  </mergeCells>
  <pageMargins left="0.7" right="0.7" top="0.75" bottom="0.75" header="0.3" footer="0.3"/>
  <pageSetup paperSize="9" scale="38"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
  <sheetViews>
    <sheetView showGridLines="0" zoomScale="80" zoomScaleNormal="80" workbookViewId="0"/>
  </sheetViews>
  <sheetFormatPr defaultColWidth="9.21875" defaultRowHeight="12"/>
  <cols>
    <col min="1" max="1" width="11.77734375" style="353" bestFit="1" customWidth="1"/>
    <col min="2" max="2" width="76.33203125" style="353" customWidth="1"/>
    <col min="3" max="4" width="15.109375" style="353" bestFit="1" customWidth="1"/>
    <col min="5" max="5" width="17.5546875" style="353" bestFit="1" customWidth="1"/>
    <col min="6" max="6" width="13.21875" style="353" bestFit="1" customWidth="1"/>
    <col min="7" max="7" width="30.44140625" style="353" customWidth="1"/>
    <col min="8" max="8" width="14.5546875" style="353" customWidth="1"/>
    <col min="9" max="9" width="9.21875" style="353"/>
    <col min="10" max="10" width="12.109375" style="353" bestFit="1" customWidth="1"/>
    <col min="11" max="16384" width="9.21875" style="353"/>
  </cols>
  <sheetData>
    <row r="1" spans="1:8" ht="13.8">
      <c r="A1" s="352" t="s">
        <v>109</v>
      </c>
      <c r="B1" s="291" t="str">
        <f>Info!C2</f>
        <v>სს " პაშა ბანკი საქართველო"</v>
      </c>
    </row>
    <row r="2" spans="1:8">
      <c r="A2" s="352" t="s">
        <v>110</v>
      </c>
      <c r="B2" s="355">
        <f>'1. key ratios'!B2</f>
        <v>45016</v>
      </c>
    </row>
    <row r="3" spans="1:8">
      <c r="A3" s="354" t="s">
        <v>494</v>
      </c>
    </row>
    <row r="5" spans="1:8">
      <c r="A5" s="809" t="s">
        <v>495</v>
      </c>
      <c r="B5" s="810"/>
      <c r="C5" s="815" t="s">
        <v>496</v>
      </c>
      <c r="D5" s="816"/>
      <c r="E5" s="816"/>
      <c r="F5" s="816"/>
      <c r="G5" s="816"/>
      <c r="H5" s="817"/>
    </row>
    <row r="6" spans="1:8">
      <c r="A6" s="811"/>
      <c r="B6" s="812"/>
      <c r="C6" s="818"/>
      <c r="D6" s="819"/>
      <c r="E6" s="819"/>
      <c r="F6" s="819"/>
      <c r="G6" s="819"/>
      <c r="H6" s="820"/>
    </row>
    <row r="7" spans="1:8" ht="24">
      <c r="A7" s="813"/>
      <c r="B7" s="814"/>
      <c r="C7" s="413" t="s">
        <v>497</v>
      </c>
      <c r="D7" s="413" t="s">
        <v>498</v>
      </c>
      <c r="E7" s="413" t="s">
        <v>499</v>
      </c>
      <c r="F7" s="413" t="s">
        <v>500</v>
      </c>
      <c r="G7" s="413" t="s">
        <v>680</v>
      </c>
      <c r="H7" s="413" t="s">
        <v>67</v>
      </c>
    </row>
    <row r="8" spans="1:8" ht="24">
      <c r="A8" s="409">
        <v>1</v>
      </c>
      <c r="B8" s="408" t="s">
        <v>135</v>
      </c>
      <c r="C8" s="728">
        <v>45934147.279200003</v>
      </c>
      <c r="D8" s="728"/>
      <c r="E8" s="728"/>
      <c r="F8" s="728">
        <v>5346400</v>
      </c>
      <c r="G8" s="728"/>
      <c r="H8" s="727">
        <f t="shared" ref="H8:H20" si="0">SUM(C8:G8)</f>
        <v>51280547.279200003</v>
      </c>
    </row>
    <row r="9" spans="1:8" ht="24">
      <c r="A9" s="409">
        <v>2</v>
      </c>
      <c r="B9" s="408" t="s">
        <v>136</v>
      </c>
      <c r="C9" s="728"/>
      <c r="D9" s="728"/>
      <c r="E9" s="728"/>
      <c r="F9" s="728"/>
      <c r="G9" s="728"/>
      <c r="H9" s="727">
        <f t="shared" si="0"/>
        <v>0</v>
      </c>
    </row>
    <row r="10" spans="1:8">
      <c r="A10" s="409">
        <v>3</v>
      </c>
      <c r="B10" s="408" t="s">
        <v>137</v>
      </c>
      <c r="C10" s="728"/>
      <c r="D10" s="728"/>
      <c r="E10" s="728"/>
      <c r="F10" s="728"/>
      <c r="G10" s="728"/>
      <c r="H10" s="727">
        <f t="shared" si="0"/>
        <v>0</v>
      </c>
    </row>
    <row r="11" spans="1:8">
      <c r="A11" s="409">
        <v>4</v>
      </c>
      <c r="B11" s="408" t="s">
        <v>138</v>
      </c>
      <c r="C11" s="728"/>
      <c r="D11" s="728"/>
      <c r="E11" s="728"/>
      <c r="F11" s="728"/>
      <c r="G11" s="728"/>
      <c r="H11" s="727">
        <f t="shared" si="0"/>
        <v>0</v>
      </c>
    </row>
    <row r="12" spans="1:8">
      <c r="A12" s="409">
        <v>5</v>
      </c>
      <c r="B12" s="408" t="s">
        <v>950</v>
      </c>
      <c r="C12" s="728"/>
      <c r="D12" s="728"/>
      <c r="E12" s="728"/>
      <c r="F12" s="728"/>
      <c r="G12" s="728"/>
      <c r="H12" s="727">
        <f t="shared" si="0"/>
        <v>0</v>
      </c>
    </row>
    <row r="13" spans="1:8">
      <c r="A13" s="409">
        <v>6</v>
      </c>
      <c r="B13" s="408" t="s">
        <v>139</v>
      </c>
      <c r="C13" s="728">
        <v>18705030.944098812</v>
      </c>
      <c r="D13" s="728">
        <v>55600288.783367492</v>
      </c>
      <c r="E13" s="728"/>
      <c r="F13" s="728"/>
      <c r="G13" s="728"/>
      <c r="H13" s="727">
        <f t="shared" si="0"/>
        <v>74305319.7274663</v>
      </c>
    </row>
    <row r="14" spans="1:8">
      <c r="A14" s="409">
        <v>7</v>
      </c>
      <c r="B14" s="408" t="s">
        <v>72</v>
      </c>
      <c r="C14" s="728">
        <v>49631916.0233</v>
      </c>
      <c r="D14" s="728">
        <f>77718619.7135-2847.67</f>
        <v>77715772.043499991</v>
      </c>
      <c r="E14" s="728">
        <v>142638124.86000001</v>
      </c>
      <c r="F14" s="728"/>
      <c r="G14" s="728"/>
      <c r="H14" s="727">
        <f t="shared" si="0"/>
        <v>269985812.92680001</v>
      </c>
    </row>
    <row r="15" spans="1:8">
      <c r="A15" s="409">
        <v>8</v>
      </c>
      <c r="B15" s="410" t="s">
        <v>73</v>
      </c>
      <c r="C15" s="728">
        <v>456151.31689999998</v>
      </c>
      <c r="D15" s="728">
        <v>99586586.069600001</v>
      </c>
      <c r="E15" s="728">
        <v>4035865.2596</v>
      </c>
      <c r="F15" s="728"/>
      <c r="G15" s="728"/>
      <c r="H15" s="727">
        <f t="shared" si="0"/>
        <v>104078602.6461</v>
      </c>
    </row>
    <row r="16" spans="1:8" ht="24">
      <c r="A16" s="409">
        <v>9</v>
      </c>
      <c r="B16" s="408" t="s">
        <v>951</v>
      </c>
      <c r="C16" s="728"/>
      <c r="D16" s="728"/>
      <c r="E16" s="728"/>
      <c r="F16" s="728"/>
      <c r="G16" s="728"/>
      <c r="H16" s="727">
        <f t="shared" si="0"/>
        <v>0</v>
      </c>
    </row>
    <row r="17" spans="1:11">
      <c r="A17" s="409">
        <v>10</v>
      </c>
      <c r="B17" s="412" t="s">
        <v>515</v>
      </c>
      <c r="C17" s="728">
        <v>420927.28169999999</v>
      </c>
      <c r="D17" s="728">
        <f>11775824.3049-3055.33</f>
        <v>11772768.9749</v>
      </c>
      <c r="E17" s="728">
        <v>24929878.152899999</v>
      </c>
      <c r="F17" s="728"/>
      <c r="G17" s="728"/>
      <c r="H17" s="727">
        <f t="shared" si="0"/>
        <v>37123574.409500003</v>
      </c>
      <c r="J17" s="732"/>
      <c r="K17" s="733"/>
    </row>
    <row r="18" spans="1:11">
      <c r="A18" s="409">
        <v>11</v>
      </c>
      <c r="B18" s="408" t="s">
        <v>69</v>
      </c>
      <c r="C18" s="728"/>
      <c r="D18" s="728"/>
      <c r="E18" s="728"/>
      <c r="F18" s="728"/>
      <c r="G18" s="728"/>
      <c r="H18" s="727">
        <f t="shared" si="0"/>
        <v>0</v>
      </c>
    </row>
    <row r="19" spans="1:11">
      <c r="A19" s="409">
        <v>12</v>
      </c>
      <c r="B19" s="408" t="s">
        <v>70</v>
      </c>
      <c r="C19" s="728"/>
      <c r="D19" s="728"/>
      <c r="E19" s="728"/>
      <c r="F19" s="728"/>
      <c r="G19" s="728"/>
      <c r="H19" s="727">
        <f t="shared" si="0"/>
        <v>0</v>
      </c>
    </row>
    <row r="20" spans="1:11">
      <c r="A20" s="411">
        <v>13</v>
      </c>
      <c r="B20" s="410" t="s">
        <v>71</v>
      </c>
      <c r="C20" s="728"/>
      <c r="D20" s="728"/>
      <c r="E20" s="728"/>
      <c r="F20" s="728"/>
      <c r="G20" s="728"/>
      <c r="H20" s="727">
        <f t="shared" si="0"/>
        <v>0</v>
      </c>
    </row>
    <row r="21" spans="1:11">
      <c r="A21" s="409">
        <v>14</v>
      </c>
      <c r="B21" s="408" t="s">
        <v>501</v>
      </c>
      <c r="C21" s="728">
        <v>5275000.3312000008</v>
      </c>
      <c r="D21" s="728">
        <v>6664679.6211000001</v>
      </c>
      <c r="E21" s="728"/>
      <c r="F21" s="728"/>
      <c r="G21" s="728">
        <v>5531986.7199999988</v>
      </c>
      <c r="H21" s="727">
        <f>SUM(C21:G21)</f>
        <v>17471666.6723</v>
      </c>
    </row>
    <row r="22" spans="1:11">
      <c r="A22" s="407">
        <v>15</v>
      </c>
      <c r="B22" s="406" t="s">
        <v>67</v>
      </c>
      <c r="C22" s="727">
        <f>SUM(C18:C21)+SUM(C8:C16)</f>
        <v>120002245.89469881</v>
      </c>
      <c r="D22" s="727">
        <f t="shared" ref="D22:H22" si="1">SUM(D18:D21)+SUM(D8:D16)</f>
        <v>239567326.51756752</v>
      </c>
      <c r="E22" s="727">
        <f t="shared" si="1"/>
        <v>146673990.11960003</v>
      </c>
      <c r="F22" s="727">
        <f t="shared" si="1"/>
        <v>5346400</v>
      </c>
      <c r="G22" s="727">
        <f t="shared" si="1"/>
        <v>5531986.7199999988</v>
      </c>
      <c r="H22" s="727">
        <f t="shared" si="1"/>
        <v>517121949.25186628</v>
      </c>
    </row>
    <row r="24" spans="1:11">
      <c r="H24" s="732"/>
    </row>
    <row r="26" spans="1:11" ht="48">
      <c r="B26" s="370" t="s">
        <v>679</v>
      </c>
      <c r="H26" s="733"/>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scale="45"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8"/>
  <sheetViews>
    <sheetView showGridLines="0" zoomScale="80" zoomScaleNormal="80" workbookViewId="0"/>
  </sheetViews>
  <sheetFormatPr defaultColWidth="9.21875" defaultRowHeight="12"/>
  <cols>
    <col min="1" max="1" width="11.77734375" style="356" bestFit="1" customWidth="1"/>
    <col min="2" max="2" width="76.44140625" style="353" customWidth="1"/>
    <col min="3" max="4" width="31.5546875" style="353" customWidth="1"/>
    <col min="5" max="5" width="16.44140625" style="353" bestFit="1" customWidth="1"/>
    <col min="6" max="6" width="14.21875" style="353" bestFit="1" customWidth="1"/>
    <col min="7" max="7" width="20" style="353" bestFit="1" customWidth="1"/>
    <col min="8" max="8" width="25.21875" style="353" bestFit="1" customWidth="1"/>
    <col min="9" max="9" width="9.21875" style="353"/>
    <col min="10" max="10" width="13.109375" style="353" bestFit="1" customWidth="1"/>
    <col min="11" max="16384" width="9.21875" style="353"/>
  </cols>
  <sheetData>
    <row r="1" spans="1:12" ht="13.8">
      <c r="A1" s="352" t="s">
        <v>109</v>
      </c>
      <c r="B1" s="291" t="str">
        <f>Info!C2</f>
        <v>სს " პაშა ბანკი საქართველო"</v>
      </c>
      <c r="C1" s="425"/>
      <c r="D1" s="425"/>
      <c r="E1" s="425"/>
      <c r="F1" s="425"/>
      <c r="G1" s="425"/>
      <c r="H1" s="425"/>
    </row>
    <row r="2" spans="1:12">
      <c r="A2" s="352" t="s">
        <v>110</v>
      </c>
      <c r="B2" s="355">
        <f>'1. key ratios'!B2</f>
        <v>45016</v>
      </c>
      <c r="C2" s="425"/>
      <c r="D2" s="425"/>
      <c r="E2" s="425"/>
      <c r="F2" s="425"/>
      <c r="G2" s="425"/>
      <c r="H2" s="425"/>
    </row>
    <row r="3" spans="1:12">
      <c r="A3" s="354" t="s">
        <v>502</v>
      </c>
      <c r="B3" s="425"/>
      <c r="C3" s="425"/>
      <c r="D3" s="425"/>
      <c r="E3" s="425"/>
      <c r="F3" s="425"/>
      <c r="G3" s="425"/>
      <c r="H3" s="425"/>
    </row>
    <row r="4" spans="1:12">
      <c r="A4" s="426"/>
      <c r="B4" s="425"/>
      <c r="C4" s="424" t="s">
        <v>503</v>
      </c>
      <c r="D4" s="424" t="s">
        <v>504</v>
      </c>
      <c r="E4" s="424" t="s">
        <v>505</v>
      </c>
      <c r="F4" s="424" t="s">
        <v>506</v>
      </c>
      <c r="G4" s="424" t="s">
        <v>507</v>
      </c>
      <c r="H4" s="424" t="s">
        <v>508</v>
      </c>
    </row>
    <row r="5" spans="1:12" ht="34.049999999999997" customHeight="1">
      <c r="A5" s="809" t="s">
        <v>868</v>
      </c>
      <c r="B5" s="810"/>
      <c r="C5" s="823" t="s">
        <v>597</v>
      </c>
      <c r="D5" s="823"/>
      <c r="E5" s="823" t="s">
        <v>867</v>
      </c>
      <c r="F5" s="821" t="s">
        <v>866</v>
      </c>
      <c r="G5" s="821" t="s">
        <v>512</v>
      </c>
      <c r="H5" s="422" t="s">
        <v>865</v>
      </c>
    </row>
    <row r="6" spans="1:12" ht="24">
      <c r="A6" s="813"/>
      <c r="B6" s="814"/>
      <c r="C6" s="423" t="s">
        <v>513</v>
      </c>
      <c r="D6" s="423" t="s">
        <v>514</v>
      </c>
      <c r="E6" s="823"/>
      <c r="F6" s="822"/>
      <c r="G6" s="822"/>
      <c r="H6" s="422" t="s">
        <v>864</v>
      </c>
    </row>
    <row r="7" spans="1:12" ht="24">
      <c r="A7" s="420">
        <v>1</v>
      </c>
      <c r="B7" s="408" t="s">
        <v>135</v>
      </c>
      <c r="C7" s="561"/>
      <c r="D7" s="561">
        <v>51280547.279200003</v>
      </c>
      <c r="E7" s="561"/>
      <c r="F7" s="561"/>
      <c r="G7" s="561"/>
      <c r="H7" s="414">
        <f t="shared" ref="H7:H20" si="0">C7+D7-E7-F7</f>
        <v>51280547.279200003</v>
      </c>
    </row>
    <row r="8" spans="1:12" ht="49.5" customHeight="1">
      <c r="A8" s="420">
        <v>2</v>
      </c>
      <c r="B8" s="408" t="s">
        <v>136</v>
      </c>
      <c r="C8" s="561"/>
      <c r="D8" s="561"/>
      <c r="E8" s="561"/>
      <c r="F8" s="561"/>
      <c r="G8" s="561"/>
      <c r="H8" s="414">
        <f t="shared" si="0"/>
        <v>0</v>
      </c>
    </row>
    <row r="9" spans="1:12">
      <c r="A9" s="420">
        <v>3</v>
      </c>
      <c r="B9" s="408" t="s">
        <v>137</v>
      </c>
      <c r="C9" s="561"/>
      <c r="D9" s="561"/>
      <c r="E9" s="561"/>
      <c r="F9" s="561"/>
      <c r="G9" s="561"/>
      <c r="H9" s="414">
        <f t="shared" si="0"/>
        <v>0</v>
      </c>
    </row>
    <row r="10" spans="1:12">
      <c r="A10" s="420">
        <v>4</v>
      </c>
      <c r="B10" s="408" t="s">
        <v>138</v>
      </c>
      <c r="C10" s="561"/>
      <c r="D10" s="561"/>
      <c r="E10" s="561"/>
      <c r="F10" s="561"/>
      <c r="G10" s="561"/>
      <c r="H10" s="414">
        <f t="shared" si="0"/>
        <v>0</v>
      </c>
    </row>
    <row r="11" spans="1:12">
      <c r="A11" s="420">
        <v>5</v>
      </c>
      <c r="B11" s="408" t="s">
        <v>950</v>
      </c>
      <c r="C11" s="561"/>
      <c r="D11" s="561"/>
      <c r="E11" s="561"/>
      <c r="F11" s="561"/>
      <c r="G11" s="561"/>
      <c r="H11" s="414">
        <f t="shared" si="0"/>
        <v>0</v>
      </c>
    </row>
    <row r="12" spans="1:12">
      <c r="A12" s="420">
        <v>6</v>
      </c>
      <c r="B12" s="408" t="s">
        <v>139</v>
      </c>
      <c r="C12" s="561"/>
      <c r="D12" s="561">
        <v>74305319.727400005</v>
      </c>
      <c r="E12" s="561"/>
      <c r="F12" s="561"/>
      <c r="G12" s="561"/>
      <c r="H12" s="414">
        <f t="shared" si="0"/>
        <v>74305319.727400005</v>
      </c>
    </row>
    <row r="13" spans="1:12">
      <c r="A13" s="420">
        <v>7</v>
      </c>
      <c r="B13" s="408" t="s">
        <v>72</v>
      </c>
      <c r="C13" s="561">
        <v>26786345.330400001</v>
      </c>
      <c r="D13" s="561">
        <f>253902364.1379-2847.67</f>
        <v>253899516.46790001</v>
      </c>
      <c r="E13" s="561">
        <v>10700048.871400001</v>
      </c>
      <c r="F13" s="561"/>
      <c r="G13" s="561"/>
      <c r="H13" s="414">
        <f t="shared" si="0"/>
        <v>269985812.92690003</v>
      </c>
      <c r="J13" s="733"/>
    </row>
    <row r="14" spans="1:12">
      <c r="A14" s="420">
        <v>8</v>
      </c>
      <c r="B14" s="410" t="s">
        <v>73</v>
      </c>
      <c r="C14" s="561">
        <v>3573800.23</v>
      </c>
      <c r="D14" s="561">
        <v>107590816.8662</v>
      </c>
      <c r="E14" s="561">
        <v>7086014.4501</v>
      </c>
      <c r="F14" s="561"/>
      <c r="G14" s="561"/>
      <c r="H14" s="414">
        <f t="shared" si="0"/>
        <v>104078602.6461</v>
      </c>
      <c r="J14" s="733"/>
      <c r="L14" s="733"/>
    </row>
    <row r="15" spans="1:12" ht="24">
      <c r="A15" s="420">
        <v>9</v>
      </c>
      <c r="B15" s="408" t="s">
        <v>951</v>
      </c>
      <c r="C15" s="561"/>
      <c r="D15" s="561"/>
      <c r="E15" s="561"/>
      <c r="F15" s="561"/>
      <c r="G15" s="561"/>
      <c r="H15" s="414">
        <f t="shared" si="0"/>
        <v>0</v>
      </c>
    </row>
    <row r="16" spans="1:12">
      <c r="A16" s="420">
        <v>10</v>
      </c>
      <c r="B16" s="412" t="s">
        <v>515</v>
      </c>
      <c r="C16" s="561">
        <v>27639904.9987</v>
      </c>
      <c r="D16" s="561">
        <f>20085194.4555-3055.33</f>
        <v>20082139.125500001</v>
      </c>
      <c r="E16" s="561">
        <v>10598469.7147</v>
      </c>
      <c r="F16" s="561"/>
      <c r="G16" s="561">
        <v>885234.16</v>
      </c>
      <c r="H16" s="414">
        <f t="shared" si="0"/>
        <v>37123574.409500003</v>
      </c>
      <c r="J16" s="732"/>
      <c r="K16" s="733"/>
    </row>
    <row r="17" spans="1:11">
      <c r="A17" s="420">
        <v>11</v>
      </c>
      <c r="B17" s="408" t="s">
        <v>69</v>
      </c>
      <c r="C17" s="561"/>
      <c r="D17" s="561"/>
      <c r="E17" s="561"/>
      <c r="F17" s="561"/>
      <c r="G17" s="561"/>
      <c r="H17" s="414">
        <f t="shared" si="0"/>
        <v>0</v>
      </c>
    </row>
    <row r="18" spans="1:11">
      <c r="A18" s="420">
        <v>12</v>
      </c>
      <c r="B18" s="408" t="s">
        <v>70</v>
      </c>
      <c r="C18" s="561"/>
      <c r="D18" s="561"/>
      <c r="E18" s="561"/>
      <c r="F18" s="561"/>
      <c r="G18" s="561"/>
      <c r="H18" s="414">
        <f t="shared" si="0"/>
        <v>0</v>
      </c>
    </row>
    <row r="19" spans="1:11">
      <c r="A19" s="421">
        <v>13</v>
      </c>
      <c r="B19" s="410" t="s">
        <v>71</v>
      </c>
      <c r="C19" s="561"/>
      <c r="D19" s="561"/>
      <c r="E19" s="561"/>
      <c r="F19" s="561"/>
      <c r="G19" s="561"/>
      <c r="H19" s="414">
        <f t="shared" si="0"/>
        <v>0</v>
      </c>
    </row>
    <row r="20" spans="1:11">
      <c r="A20" s="420">
        <v>14</v>
      </c>
      <c r="B20" s="408" t="s">
        <v>501</v>
      </c>
      <c r="C20" s="561">
        <v>3516866.86</v>
      </c>
      <c r="D20" s="561">
        <v>19383509.552299999</v>
      </c>
      <c r="E20" s="561"/>
      <c r="F20" s="561"/>
      <c r="G20" s="561"/>
      <c r="H20" s="414">
        <f t="shared" si="0"/>
        <v>22900376.412299998</v>
      </c>
      <c r="K20" s="733"/>
    </row>
    <row r="21" spans="1:11" s="357" customFormat="1">
      <c r="A21" s="419">
        <v>15</v>
      </c>
      <c r="B21" s="418" t="s">
        <v>67</v>
      </c>
      <c r="C21" s="418">
        <f t="shared" ref="C21:H21" si="1">SUM(C7:C15)+SUM(C17:C20)</f>
        <v>33877012.420400001</v>
      </c>
      <c r="D21" s="418">
        <f t="shared" si="1"/>
        <v>506459709.89300001</v>
      </c>
      <c r="E21" s="418">
        <f t="shared" si="1"/>
        <v>17786063.3215</v>
      </c>
      <c r="F21" s="418">
        <f t="shared" si="1"/>
        <v>0</v>
      </c>
      <c r="G21" s="418">
        <f t="shared" si="1"/>
        <v>0</v>
      </c>
      <c r="H21" s="414">
        <f t="shared" si="1"/>
        <v>522550658.99190003</v>
      </c>
      <c r="K21" s="734"/>
    </row>
    <row r="22" spans="1:11">
      <c r="A22" s="417">
        <v>16</v>
      </c>
      <c r="B22" s="416" t="s">
        <v>516</v>
      </c>
      <c r="C22" s="561">
        <v>30191273.920400001</v>
      </c>
      <c r="D22" s="561">
        <v>307983110.4289</v>
      </c>
      <c r="E22" s="561">
        <v>17081601.7205</v>
      </c>
      <c r="F22" s="561"/>
      <c r="G22" s="561">
        <v>885234.16</v>
      </c>
      <c r="H22" s="414">
        <f>C22+D22-E22-F22</f>
        <v>321092782.62880003</v>
      </c>
    </row>
    <row r="23" spans="1:11">
      <c r="A23" s="417">
        <v>17</v>
      </c>
      <c r="B23" s="416" t="s">
        <v>517</v>
      </c>
      <c r="C23" s="561"/>
      <c r="D23" s="561">
        <f>53427395.0003+5346400-2471.17019999772</f>
        <v>58771323.8301</v>
      </c>
      <c r="E23" s="561">
        <v>589215.40159999998</v>
      </c>
      <c r="F23" s="561"/>
      <c r="G23" s="561"/>
      <c r="H23" s="414">
        <f>C23+D23-E23-F23</f>
        <v>58182108.428499997</v>
      </c>
    </row>
    <row r="26" spans="1:11" ht="42.45" customHeight="1">
      <c r="B26" s="370" t="s">
        <v>679</v>
      </c>
      <c r="C26" s="733"/>
      <c r="D26" s="733"/>
    </row>
    <row r="27" spans="1:11">
      <c r="D27" s="732"/>
    </row>
    <row r="28" spans="1:11">
      <c r="E28" s="733"/>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scale="39"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9"/>
  <sheetViews>
    <sheetView showGridLines="0" zoomScale="70" zoomScaleNormal="70" workbookViewId="0"/>
  </sheetViews>
  <sheetFormatPr defaultColWidth="9.21875" defaultRowHeight="12"/>
  <cols>
    <col min="1" max="1" width="11" style="353" bestFit="1" customWidth="1"/>
    <col min="2" max="2" width="42.109375" style="353" customWidth="1"/>
    <col min="3" max="4" width="35" style="353" customWidth="1"/>
    <col min="5" max="7" width="22" style="353" customWidth="1"/>
    <col min="8" max="8" width="23.77734375" style="353" customWidth="1"/>
    <col min="9" max="16384" width="9.21875" style="353"/>
  </cols>
  <sheetData>
    <row r="1" spans="1:8" ht="14.4">
      <c r="A1" s="352" t="s">
        <v>109</v>
      </c>
      <c r="B1" s="291" t="str">
        <f>Info!C2</f>
        <v>სს " პაშა ბანკი საქართველო"</v>
      </c>
      <c r="C1" s="560"/>
      <c r="D1" s="425"/>
      <c r="E1" s="425"/>
      <c r="F1" s="425"/>
      <c r="G1" s="425"/>
      <c r="H1" s="425"/>
    </row>
    <row r="2" spans="1:8">
      <c r="A2" s="352" t="s">
        <v>110</v>
      </c>
      <c r="B2" s="355">
        <f>'1. key ratios'!B2</f>
        <v>45016</v>
      </c>
      <c r="C2" s="425"/>
      <c r="D2" s="425"/>
      <c r="E2" s="425"/>
      <c r="F2" s="425"/>
      <c r="G2" s="425"/>
      <c r="H2" s="425"/>
    </row>
    <row r="3" spans="1:8">
      <c r="A3" s="354" t="s">
        <v>518</v>
      </c>
      <c r="B3" s="425"/>
      <c r="C3" s="425"/>
      <c r="D3" s="425"/>
      <c r="E3" s="425"/>
      <c r="F3" s="425"/>
      <c r="G3" s="425"/>
      <c r="H3" s="425"/>
    </row>
    <row r="4" spans="1:8">
      <c r="A4" s="425"/>
      <c r="B4" s="425"/>
      <c r="C4" s="424" t="s">
        <v>503</v>
      </c>
      <c r="D4" s="424" t="s">
        <v>504</v>
      </c>
      <c r="E4" s="424" t="s">
        <v>505</v>
      </c>
      <c r="F4" s="424" t="s">
        <v>506</v>
      </c>
      <c r="G4" s="424" t="s">
        <v>507</v>
      </c>
      <c r="H4" s="424" t="s">
        <v>508</v>
      </c>
    </row>
    <row r="5" spans="1:8" ht="41.55" customHeight="1">
      <c r="A5" s="809" t="s">
        <v>870</v>
      </c>
      <c r="B5" s="810"/>
      <c r="C5" s="824" t="s">
        <v>597</v>
      </c>
      <c r="D5" s="825"/>
      <c r="E5" s="821" t="s">
        <v>867</v>
      </c>
      <c r="F5" s="821" t="s">
        <v>866</v>
      </c>
      <c r="G5" s="821" t="s">
        <v>512</v>
      </c>
      <c r="H5" s="422" t="s">
        <v>865</v>
      </c>
    </row>
    <row r="6" spans="1:8" ht="24">
      <c r="A6" s="813"/>
      <c r="B6" s="814"/>
      <c r="C6" s="423" t="s">
        <v>513</v>
      </c>
      <c r="D6" s="423" t="s">
        <v>514</v>
      </c>
      <c r="E6" s="822"/>
      <c r="F6" s="822"/>
      <c r="G6" s="822"/>
      <c r="H6" s="422" t="s">
        <v>864</v>
      </c>
    </row>
    <row r="7" spans="1:8">
      <c r="A7" s="415">
        <v>1</v>
      </c>
      <c r="B7" s="428" t="s">
        <v>519</v>
      </c>
      <c r="C7" s="561">
        <v>512140.61</v>
      </c>
      <c r="D7" s="561">
        <f>8093374.46+'18. Assets by Exposure classes'!D7</f>
        <v>59373921.739200003</v>
      </c>
      <c r="E7" s="561">
        <v>824914.08730000001</v>
      </c>
      <c r="F7" s="561" t="s">
        <v>961</v>
      </c>
      <c r="G7" s="561">
        <v>186805.63</v>
      </c>
      <c r="H7" s="414">
        <f>C7+D7-E7</f>
        <v>59061148.2619</v>
      </c>
    </row>
    <row r="8" spans="1:8">
      <c r="A8" s="415">
        <v>2</v>
      </c>
      <c r="B8" s="428" t="s">
        <v>520</v>
      </c>
      <c r="C8" s="561">
        <v>511849.72</v>
      </c>
      <c r="D8" s="561">
        <f>96990750.1612-2847.6695998907+'18. Assets by Exposure classes'!D12</f>
        <v>171293222.2190001</v>
      </c>
      <c r="E8" s="561">
        <v>1808209.0216000001</v>
      </c>
      <c r="F8" s="561" t="s">
        <v>961</v>
      </c>
      <c r="G8" s="561">
        <v>85298.66</v>
      </c>
      <c r="H8" s="414">
        <f t="shared" ref="H8:H33" si="0">C8+D8-E8</f>
        <v>169996862.91740009</v>
      </c>
    </row>
    <row r="9" spans="1:8">
      <c r="A9" s="415">
        <v>3</v>
      </c>
      <c r="B9" s="428" t="s">
        <v>869</v>
      </c>
      <c r="C9" s="561">
        <v>100</v>
      </c>
      <c r="D9" s="561">
        <v>17087.740000000002</v>
      </c>
      <c r="E9" s="561">
        <v>918.96609999999998</v>
      </c>
      <c r="F9" s="561" t="s">
        <v>961</v>
      </c>
      <c r="G9" s="561" t="s">
        <v>961</v>
      </c>
      <c r="H9" s="414">
        <f t="shared" si="0"/>
        <v>16268.773900000002</v>
      </c>
    </row>
    <row r="10" spans="1:8">
      <c r="A10" s="415">
        <v>4</v>
      </c>
      <c r="B10" s="428" t="s">
        <v>521</v>
      </c>
      <c r="C10" s="561">
        <v>1151565.8855000001</v>
      </c>
      <c r="D10" s="561">
        <v>19069842.831900001</v>
      </c>
      <c r="E10" s="561">
        <v>169419.56359999999</v>
      </c>
      <c r="F10" s="561" t="s">
        <v>961</v>
      </c>
      <c r="G10" s="561" t="s">
        <v>961</v>
      </c>
      <c r="H10" s="414">
        <f t="shared" si="0"/>
        <v>20051989.1538</v>
      </c>
    </row>
    <row r="11" spans="1:8">
      <c r="A11" s="415">
        <v>5</v>
      </c>
      <c r="B11" s="428" t="s">
        <v>522</v>
      </c>
      <c r="C11" s="561">
        <v>8723.68</v>
      </c>
      <c r="D11" s="561">
        <v>48077186.831699997</v>
      </c>
      <c r="E11" s="561">
        <v>154425.182</v>
      </c>
      <c r="F11" s="561" t="s">
        <v>961</v>
      </c>
      <c r="G11" s="561">
        <v>0</v>
      </c>
      <c r="H11" s="414">
        <f t="shared" si="0"/>
        <v>47931485.329700001</v>
      </c>
    </row>
    <row r="12" spans="1:8">
      <c r="A12" s="415">
        <v>6</v>
      </c>
      <c r="B12" s="428" t="s">
        <v>523</v>
      </c>
      <c r="C12" s="561">
        <v>161313.72</v>
      </c>
      <c r="D12" s="561">
        <v>3005095.3947000001</v>
      </c>
      <c r="E12" s="561">
        <v>217825.46059999999</v>
      </c>
      <c r="F12" s="561" t="s">
        <v>961</v>
      </c>
      <c r="G12" s="561">
        <v>39575.269999999997</v>
      </c>
      <c r="H12" s="414">
        <f t="shared" si="0"/>
        <v>2948583.6541000004</v>
      </c>
    </row>
    <row r="13" spans="1:8" ht="24">
      <c r="A13" s="415">
        <v>7</v>
      </c>
      <c r="B13" s="428" t="s">
        <v>524</v>
      </c>
      <c r="C13" s="561">
        <v>26220.287</v>
      </c>
      <c r="D13" s="561">
        <v>649588.44999999995</v>
      </c>
      <c r="E13" s="561">
        <v>54217.053599999999</v>
      </c>
      <c r="F13" s="561" t="s">
        <v>961</v>
      </c>
      <c r="G13" s="561">
        <v>619.14</v>
      </c>
      <c r="H13" s="414">
        <f t="shared" si="0"/>
        <v>621591.68339999998</v>
      </c>
    </row>
    <row r="14" spans="1:8">
      <c r="A14" s="415">
        <v>8</v>
      </c>
      <c r="B14" s="428" t="s">
        <v>525</v>
      </c>
      <c r="C14" s="561">
        <v>602050.21470000001</v>
      </c>
      <c r="D14" s="561">
        <v>7272438.3020000001</v>
      </c>
      <c r="E14" s="561">
        <v>253978.3027</v>
      </c>
      <c r="F14" s="561" t="s">
        <v>961</v>
      </c>
      <c r="G14" s="561">
        <v>15716.32</v>
      </c>
      <c r="H14" s="414">
        <f t="shared" si="0"/>
        <v>7620510.2140000006</v>
      </c>
    </row>
    <row r="15" spans="1:8">
      <c r="A15" s="415">
        <v>9</v>
      </c>
      <c r="B15" s="428" t="s">
        <v>526</v>
      </c>
      <c r="C15" s="561">
        <v>144361.3879</v>
      </c>
      <c r="D15" s="561">
        <v>1593042.1148999999</v>
      </c>
      <c r="E15" s="561">
        <v>66052.180300000007</v>
      </c>
      <c r="F15" s="561" t="s">
        <v>961</v>
      </c>
      <c r="G15" s="561">
        <v>2810.46</v>
      </c>
      <c r="H15" s="414">
        <f t="shared" si="0"/>
        <v>1671351.3224999998</v>
      </c>
    </row>
    <row r="16" spans="1:8" ht="24">
      <c r="A16" s="415">
        <v>10</v>
      </c>
      <c r="B16" s="428" t="s">
        <v>527</v>
      </c>
      <c r="C16" s="561">
        <v>0</v>
      </c>
      <c r="D16" s="561">
        <v>346370.44559999998</v>
      </c>
      <c r="E16" s="561">
        <v>1277.1768999999999</v>
      </c>
      <c r="F16" s="561" t="s">
        <v>961</v>
      </c>
      <c r="G16" s="561" t="s">
        <v>961</v>
      </c>
      <c r="H16" s="414">
        <f t="shared" si="0"/>
        <v>345093.26869999996</v>
      </c>
    </row>
    <row r="17" spans="1:8" ht="24">
      <c r="A17" s="415">
        <v>11</v>
      </c>
      <c r="B17" s="428" t="s">
        <v>528</v>
      </c>
      <c r="C17" s="561">
        <v>0</v>
      </c>
      <c r="D17" s="561">
        <v>3378348.8174999999</v>
      </c>
      <c r="E17" s="561">
        <v>6618.6696000000002</v>
      </c>
      <c r="F17" s="561" t="s">
        <v>961</v>
      </c>
      <c r="G17" s="561" t="s">
        <v>961</v>
      </c>
      <c r="H17" s="414">
        <f t="shared" si="0"/>
        <v>3371730.1478999997</v>
      </c>
    </row>
    <row r="18" spans="1:8">
      <c r="A18" s="415">
        <v>12</v>
      </c>
      <c r="B18" s="428" t="s">
        <v>529</v>
      </c>
      <c r="C18" s="561">
        <v>367507.16</v>
      </c>
      <c r="D18" s="561">
        <v>17972751.254000001</v>
      </c>
      <c r="E18" s="561">
        <v>765100.13540000003</v>
      </c>
      <c r="F18" s="561" t="s">
        <v>961</v>
      </c>
      <c r="G18" s="561">
        <v>85504.78</v>
      </c>
      <c r="H18" s="414">
        <f t="shared" si="0"/>
        <v>17575158.2786</v>
      </c>
    </row>
    <row r="19" spans="1:8">
      <c r="A19" s="415">
        <v>13</v>
      </c>
      <c r="B19" s="428" t="s">
        <v>530</v>
      </c>
      <c r="C19" s="561">
        <v>38119.06</v>
      </c>
      <c r="D19" s="561">
        <v>5339610.2940999996</v>
      </c>
      <c r="E19" s="561">
        <v>154328.81080000001</v>
      </c>
      <c r="F19" s="561" t="s">
        <v>961</v>
      </c>
      <c r="G19" s="561">
        <v>6545.23</v>
      </c>
      <c r="H19" s="414">
        <f t="shared" si="0"/>
        <v>5223400.5432999991</v>
      </c>
    </row>
    <row r="20" spans="1:8">
      <c r="A20" s="415">
        <v>14</v>
      </c>
      <c r="B20" s="428" t="s">
        <v>531</v>
      </c>
      <c r="C20" s="561">
        <v>11719962.302200001</v>
      </c>
      <c r="D20" s="561">
        <v>24359495.170200001</v>
      </c>
      <c r="E20" s="561">
        <v>4413139.0330999997</v>
      </c>
      <c r="F20" s="561" t="s">
        <v>961</v>
      </c>
      <c r="G20" s="561">
        <v>11432.38</v>
      </c>
      <c r="H20" s="414">
        <f t="shared" si="0"/>
        <v>31666318.439300001</v>
      </c>
    </row>
    <row r="21" spans="1:8" ht="24">
      <c r="A21" s="415">
        <v>15</v>
      </c>
      <c r="B21" s="428" t="s">
        <v>532</v>
      </c>
      <c r="C21" s="561">
        <v>8379041.1134000001</v>
      </c>
      <c r="D21" s="561">
        <v>3391411.1960999998</v>
      </c>
      <c r="E21" s="561">
        <v>2321153.7543000001</v>
      </c>
      <c r="F21" s="561" t="s">
        <v>961</v>
      </c>
      <c r="G21" s="561">
        <v>11336.13</v>
      </c>
      <c r="H21" s="414">
        <f t="shared" si="0"/>
        <v>9449298.5551999994</v>
      </c>
    </row>
    <row r="22" spans="1:8">
      <c r="A22" s="415">
        <v>16</v>
      </c>
      <c r="B22" s="428" t="s">
        <v>533</v>
      </c>
      <c r="C22" s="561">
        <v>7061.34</v>
      </c>
      <c r="D22" s="561">
        <v>85108.34</v>
      </c>
      <c r="E22" s="561">
        <v>10451.7873</v>
      </c>
      <c r="F22" s="561" t="s">
        <v>961</v>
      </c>
      <c r="G22" s="561" t="s">
        <v>961</v>
      </c>
      <c r="H22" s="414">
        <f t="shared" si="0"/>
        <v>81717.892699999997</v>
      </c>
    </row>
    <row r="23" spans="1:8" ht="24">
      <c r="A23" s="415">
        <v>17</v>
      </c>
      <c r="B23" s="428" t="s">
        <v>534</v>
      </c>
      <c r="C23" s="561">
        <v>992.03</v>
      </c>
      <c r="D23" s="561">
        <v>20030724.971799999</v>
      </c>
      <c r="E23" s="561">
        <v>76283.466700000004</v>
      </c>
      <c r="F23" s="561" t="s">
        <v>961</v>
      </c>
      <c r="G23" s="561" t="s">
        <v>961</v>
      </c>
      <c r="H23" s="414">
        <f t="shared" si="0"/>
        <v>19955433.535100002</v>
      </c>
    </row>
    <row r="24" spans="1:8">
      <c r="A24" s="415">
        <v>18</v>
      </c>
      <c r="B24" s="428" t="s">
        <v>535</v>
      </c>
      <c r="C24" s="561">
        <v>54415.45</v>
      </c>
      <c r="D24" s="561">
        <v>56442279.0233</v>
      </c>
      <c r="E24" s="561">
        <v>803817.40110000002</v>
      </c>
      <c r="F24" s="561" t="s">
        <v>961</v>
      </c>
      <c r="G24" s="561">
        <v>35999.120000000003</v>
      </c>
      <c r="H24" s="414">
        <f t="shared" si="0"/>
        <v>55692877.0722</v>
      </c>
    </row>
    <row r="25" spans="1:8">
      <c r="A25" s="415">
        <v>19</v>
      </c>
      <c r="B25" s="428" t="s">
        <v>536</v>
      </c>
      <c r="C25" s="561">
        <v>1997.67</v>
      </c>
      <c r="D25" s="561">
        <v>321479.01280000003</v>
      </c>
      <c r="E25" s="561">
        <v>11801.92</v>
      </c>
      <c r="F25" s="561" t="s">
        <v>961</v>
      </c>
      <c r="G25" s="561" t="s">
        <v>961</v>
      </c>
      <c r="H25" s="414">
        <f t="shared" si="0"/>
        <v>311674.76280000003</v>
      </c>
    </row>
    <row r="26" spans="1:8">
      <c r="A26" s="415">
        <v>20</v>
      </c>
      <c r="B26" s="428" t="s">
        <v>537</v>
      </c>
      <c r="C26" s="561">
        <v>75204.41</v>
      </c>
      <c r="D26" s="561">
        <v>1723495.46</v>
      </c>
      <c r="E26" s="561">
        <v>142997.43119999999</v>
      </c>
      <c r="F26" s="561" t="s">
        <v>961</v>
      </c>
      <c r="G26" s="561">
        <v>0</v>
      </c>
      <c r="H26" s="414">
        <f t="shared" si="0"/>
        <v>1655702.4387999999</v>
      </c>
    </row>
    <row r="27" spans="1:8">
      <c r="A27" s="415">
        <v>21</v>
      </c>
      <c r="B27" s="428" t="s">
        <v>538</v>
      </c>
      <c r="C27" s="561">
        <v>6842.55</v>
      </c>
      <c r="D27" s="561">
        <v>395745.16</v>
      </c>
      <c r="E27" s="561">
        <v>23366.517800000001</v>
      </c>
      <c r="F27" s="561" t="s">
        <v>961</v>
      </c>
      <c r="G27" s="561">
        <v>1631.26</v>
      </c>
      <c r="H27" s="414">
        <f t="shared" si="0"/>
        <v>379221.19219999993</v>
      </c>
    </row>
    <row r="28" spans="1:8">
      <c r="A28" s="415">
        <v>22</v>
      </c>
      <c r="B28" s="428" t="s">
        <v>539</v>
      </c>
      <c r="C28" s="561">
        <v>5838.62</v>
      </c>
      <c r="D28" s="561">
        <v>394415.03</v>
      </c>
      <c r="E28" s="561">
        <v>22324.287400000001</v>
      </c>
      <c r="F28" s="561" t="s">
        <v>961</v>
      </c>
      <c r="G28" s="561">
        <v>4943.76</v>
      </c>
      <c r="H28" s="414">
        <f t="shared" si="0"/>
        <v>377929.36259999999</v>
      </c>
    </row>
    <row r="29" spans="1:8">
      <c r="A29" s="415">
        <v>23</v>
      </c>
      <c r="B29" s="428" t="s">
        <v>540</v>
      </c>
      <c r="C29" s="561">
        <v>2779048.7302000001</v>
      </c>
      <c r="D29" s="561">
        <v>8521226.5943999998</v>
      </c>
      <c r="E29" s="561">
        <v>888753.20330000005</v>
      </c>
      <c r="F29" s="561" t="s">
        <v>961</v>
      </c>
      <c r="G29" s="561">
        <v>103834.02</v>
      </c>
      <c r="H29" s="414">
        <f t="shared" si="0"/>
        <v>10411522.121300001</v>
      </c>
    </row>
    <row r="30" spans="1:8">
      <c r="A30" s="415">
        <v>24</v>
      </c>
      <c r="B30" s="428" t="s">
        <v>541</v>
      </c>
      <c r="C30" s="561">
        <v>2311920.2795000002</v>
      </c>
      <c r="D30" s="561">
        <v>7001211.6407000003</v>
      </c>
      <c r="E30" s="561">
        <v>1471262.0902</v>
      </c>
      <c r="F30" s="561" t="s">
        <v>961</v>
      </c>
      <c r="G30" s="561">
        <v>999.24</v>
      </c>
      <c r="H30" s="414">
        <f t="shared" si="0"/>
        <v>7841869.8300000019</v>
      </c>
    </row>
    <row r="31" spans="1:8">
      <c r="A31" s="415">
        <v>25</v>
      </c>
      <c r="B31" s="428" t="s">
        <v>542</v>
      </c>
      <c r="C31" s="561">
        <v>1029891.87</v>
      </c>
      <c r="D31" s="561">
        <v>6910377.2467</v>
      </c>
      <c r="E31" s="561">
        <v>1382133.9129999999</v>
      </c>
      <c r="F31" s="561" t="s">
        <v>961</v>
      </c>
      <c r="G31" s="561">
        <v>221729.3</v>
      </c>
      <c r="H31" s="414">
        <f t="shared" si="0"/>
        <v>6558135.2037000004</v>
      </c>
    </row>
    <row r="32" spans="1:8" ht="24">
      <c r="A32" s="415">
        <v>26</v>
      </c>
      <c r="B32" s="428" t="s">
        <v>543</v>
      </c>
      <c r="C32" s="561">
        <v>463977.47</v>
      </c>
      <c r="D32" s="561">
        <v>20110725.0601</v>
      </c>
      <c r="E32" s="561">
        <v>1741298.1276</v>
      </c>
      <c r="F32" s="561" t="s">
        <v>961</v>
      </c>
      <c r="G32" s="561">
        <v>70453.460000000006</v>
      </c>
      <c r="H32" s="414">
        <f t="shared" si="0"/>
        <v>18833404.4025</v>
      </c>
    </row>
    <row r="33" spans="1:8">
      <c r="A33" s="415">
        <v>27</v>
      </c>
      <c r="B33" s="415" t="s">
        <v>100</v>
      </c>
      <c r="C33" s="415">
        <v>3516866.86</v>
      </c>
      <c r="D33" s="415">
        <v>19383509.552299999</v>
      </c>
      <c r="E33" s="415"/>
      <c r="F33" s="415"/>
      <c r="G33" s="415"/>
      <c r="H33" s="414">
        <f t="shared" si="0"/>
        <v>22900376.412299998</v>
      </c>
    </row>
    <row r="34" spans="1:8">
      <c r="A34" s="415">
        <v>28</v>
      </c>
      <c r="B34" s="418" t="s">
        <v>67</v>
      </c>
      <c r="C34" s="562">
        <f>SUM(C7:C33)</f>
        <v>33877012.420400009</v>
      </c>
      <c r="D34" s="562">
        <f>SUM(D7:D33)</f>
        <v>506459709.89299989</v>
      </c>
      <c r="E34" s="562">
        <f>SUM(E7:E33)</f>
        <v>17786067.543499999</v>
      </c>
      <c r="F34" s="562">
        <f>SUM(F7:F33)</f>
        <v>0</v>
      </c>
      <c r="G34" s="562">
        <f>SUM(G7:G33)</f>
        <v>885234.16000000015</v>
      </c>
      <c r="H34" s="414">
        <f t="shared" ref="H34" si="1">C34+D34-E34-F34</f>
        <v>522550654.7698999</v>
      </c>
    </row>
    <row r="36" spans="1:8">
      <c r="B36" s="358"/>
    </row>
    <row r="37" spans="1:8">
      <c r="C37" s="732"/>
      <c r="D37" s="732"/>
      <c r="H37" s="733"/>
    </row>
    <row r="39" spans="1:8">
      <c r="C39" s="733"/>
      <c r="D39" s="733"/>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scale="39"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8"/>
  <sheetViews>
    <sheetView showGridLines="0" zoomScale="80" zoomScaleNormal="80" workbookViewId="0"/>
  </sheetViews>
  <sheetFormatPr defaultColWidth="9.21875" defaultRowHeight="12"/>
  <cols>
    <col min="1" max="1" width="11.77734375" style="353" bestFit="1" customWidth="1"/>
    <col min="2" max="2" width="62.33203125" style="353" customWidth="1"/>
    <col min="3" max="3" width="31.33203125" style="353" customWidth="1"/>
    <col min="4" max="4" width="38.44140625" style="353" customWidth="1"/>
    <col min="5" max="5" width="9.21875" style="353"/>
    <col min="6" max="6" width="12.21875" style="353" bestFit="1" customWidth="1"/>
    <col min="7" max="16384" width="9.21875" style="353"/>
  </cols>
  <sheetData>
    <row r="1" spans="1:6" ht="13.8">
      <c r="A1" s="352" t="s">
        <v>109</v>
      </c>
      <c r="B1" s="291" t="str">
        <f>Info!C2</f>
        <v>სს " პაშა ბანკი საქართველო"</v>
      </c>
    </row>
    <row r="2" spans="1:6">
      <c r="A2" s="352" t="s">
        <v>110</v>
      </c>
      <c r="B2" s="355">
        <f>'1. key ratios'!B2</f>
        <v>45016</v>
      </c>
    </row>
    <row r="3" spans="1:6">
      <c r="A3" s="354" t="s">
        <v>544</v>
      </c>
    </row>
    <row r="5" spans="1:6">
      <c r="A5" s="826" t="s">
        <v>881</v>
      </c>
      <c r="B5" s="826"/>
      <c r="C5" s="436" t="s">
        <v>563</v>
      </c>
      <c r="D5" s="436" t="s">
        <v>880</v>
      </c>
    </row>
    <row r="6" spans="1:6" ht="24">
      <c r="A6" s="435">
        <v>1</v>
      </c>
      <c r="B6" s="429" t="s">
        <v>879</v>
      </c>
      <c r="C6" s="731">
        <v>16823840.963300001</v>
      </c>
      <c r="D6" s="731">
        <v>338283.71879999997</v>
      </c>
    </row>
    <row r="7" spans="1:6">
      <c r="A7" s="432">
        <v>2</v>
      </c>
      <c r="B7" s="429" t="s">
        <v>878</v>
      </c>
      <c r="C7" s="926">
        <f>SUM(C8:C9)</f>
        <v>4189336.7481000004</v>
      </c>
      <c r="D7" s="572">
        <f>SUM(D8:D9)</f>
        <v>281337.04950000002</v>
      </c>
    </row>
    <row r="8" spans="1:6">
      <c r="A8" s="434">
        <v>2.1</v>
      </c>
      <c r="B8" s="433" t="s">
        <v>877</v>
      </c>
      <c r="C8" s="926">
        <f>2599093.6034+3379.97</f>
        <v>2602473.5734000001</v>
      </c>
      <c r="D8" s="572">
        <v>281337.04950000002</v>
      </c>
    </row>
    <row r="9" spans="1:6">
      <c r="A9" s="434">
        <v>2.2000000000000002</v>
      </c>
      <c r="B9" s="433" t="s">
        <v>876</v>
      </c>
      <c r="C9" s="926">
        <v>1586863.1747000001</v>
      </c>
      <c r="D9" s="572">
        <v>0</v>
      </c>
    </row>
    <row r="10" spans="1:6">
      <c r="A10" s="435">
        <v>3</v>
      </c>
      <c r="B10" s="429" t="s">
        <v>875</v>
      </c>
      <c r="C10" s="926">
        <f>SUM(C11:C13)</f>
        <v>3397800.8948000004</v>
      </c>
      <c r="D10" s="572">
        <f>SUM(D11:D13)</f>
        <v>13887.570299999999</v>
      </c>
    </row>
    <row r="11" spans="1:6">
      <c r="A11" s="434">
        <v>3.1</v>
      </c>
      <c r="B11" s="433" t="s">
        <v>545</v>
      </c>
      <c r="C11" s="926">
        <v>885234.16</v>
      </c>
      <c r="D11" s="572"/>
    </row>
    <row r="12" spans="1:6">
      <c r="A12" s="434">
        <v>3.2</v>
      </c>
      <c r="B12" s="433" t="s">
        <v>874</v>
      </c>
      <c r="C12" s="926">
        <f>2482459.6081+3379.97</f>
        <v>2485839.5781</v>
      </c>
      <c r="D12" s="572">
        <v>13887.570299999999</v>
      </c>
    </row>
    <row r="13" spans="1:6">
      <c r="A13" s="434">
        <v>3.3</v>
      </c>
      <c r="B13" s="433" t="s">
        <v>873</v>
      </c>
      <c r="C13" s="926">
        <v>26727.1567</v>
      </c>
      <c r="D13" s="572"/>
    </row>
    <row r="14" spans="1:6" ht="24">
      <c r="A14" s="432">
        <v>4</v>
      </c>
      <c r="B14" s="431" t="s">
        <v>872</v>
      </c>
      <c r="C14" s="572">
        <v>-533775.0960999988</v>
      </c>
      <c r="D14" s="572">
        <v>-16517.796399999992</v>
      </c>
    </row>
    <row r="15" spans="1:6" ht="24">
      <c r="A15" s="430">
        <v>5</v>
      </c>
      <c r="B15" s="429" t="s">
        <v>871</v>
      </c>
      <c r="C15" s="731">
        <f>C6+C7-C10+C14</f>
        <v>17081601.720500004</v>
      </c>
      <c r="D15" s="731">
        <f>D6+D7-D10+D14</f>
        <v>589215.40159999998</v>
      </c>
      <c r="F15" s="733"/>
    </row>
    <row r="17" spans="3:6">
      <c r="F17" s="733"/>
    </row>
    <row r="18" spans="3:6">
      <c r="C18" s="733"/>
    </row>
  </sheetData>
  <mergeCells count="1">
    <mergeCell ref="A5:B5"/>
  </mergeCells>
  <pageMargins left="0.7" right="0.7" top="0.75" bottom="0.75" header="0.3" footer="0.3"/>
  <pageSetup scale="62" orientation="portrait" horizontalDpi="4294967292"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3"/>
  <sheetViews>
    <sheetView showGridLines="0" zoomScale="70" zoomScaleNormal="70" workbookViewId="0">
      <selection activeCell="C7" sqref="C7"/>
    </sheetView>
  </sheetViews>
  <sheetFormatPr defaultColWidth="9.21875" defaultRowHeight="12"/>
  <cols>
    <col min="1" max="1" width="11.77734375" style="425" bestFit="1" customWidth="1"/>
    <col min="2" max="2" width="73.77734375" style="425" customWidth="1"/>
    <col min="3" max="3" width="37" style="425" customWidth="1"/>
    <col min="4" max="4" width="32.44140625" style="425" customWidth="1"/>
    <col min="5" max="5" width="15.21875" style="425" customWidth="1"/>
    <col min="6" max="16384" width="9.21875" style="425"/>
  </cols>
  <sheetData>
    <row r="1" spans="1:5" ht="13.8">
      <c r="A1" s="352" t="s">
        <v>109</v>
      </c>
      <c r="B1" s="291" t="str">
        <f>Info!C2</f>
        <v>სს " პაშა ბანკი საქართველო"</v>
      </c>
    </row>
    <row r="2" spans="1:5">
      <c r="A2" s="352" t="s">
        <v>110</v>
      </c>
      <c r="B2" s="355">
        <f>'1. key ratios'!B2</f>
        <v>45016</v>
      </c>
    </row>
    <row r="3" spans="1:5">
      <c r="A3" s="354" t="s">
        <v>546</v>
      </c>
    </row>
    <row r="4" spans="1:5">
      <c r="A4" s="354"/>
    </row>
    <row r="5" spans="1:5" ht="15" customHeight="1">
      <c r="A5" s="827" t="s">
        <v>547</v>
      </c>
      <c r="B5" s="828"/>
      <c r="C5" s="831" t="s">
        <v>548</v>
      </c>
      <c r="D5" s="831" t="s">
        <v>549</v>
      </c>
    </row>
    <row r="6" spans="1:5">
      <c r="A6" s="829"/>
      <c r="B6" s="830"/>
      <c r="C6" s="831"/>
      <c r="D6" s="831"/>
    </row>
    <row r="7" spans="1:5" ht="14.4">
      <c r="A7" s="418">
        <v>1</v>
      </c>
      <c r="B7" s="418" t="s">
        <v>550</v>
      </c>
      <c r="C7" s="415">
        <v>32793987.7315</v>
      </c>
      <c r="D7" s="437"/>
      <c r="E7" s="569"/>
    </row>
    <row r="8" spans="1:5" ht="14.4">
      <c r="A8" s="415">
        <v>2</v>
      </c>
      <c r="B8" s="415" t="s">
        <v>551</v>
      </c>
      <c r="C8" s="415">
        <v>4474844.4122000001</v>
      </c>
      <c r="D8" s="437"/>
      <c r="E8" s="569"/>
    </row>
    <row r="9" spans="1:5" ht="24.6">
      <c r="A9" s="415">
        <v>3</v>
      </c>
      <c r="B9" s="440" t="s">
        <v>552</v>
      </c>
      <c r="C9" s="415">
        <v>0</v>
      </c>
      <c r="D9" s="437"/>
      <c r="E9" s="569"/>
    </row>
    <row r="10" spans="1:5" ht="14.4">
      <c r="A10" s="415">
        <v>4</v>
      </c>
      <c r="B10" s="415" t="s">
        <v>553</v>
      </c>
      <c r="C10" s="570"/>
      <c r="D10" s="437"/>
      <c r="E10" s="569"/>
    </row>
    <row r="11" spans="1:5" ht="24.6">
      <c r="A11" s="415">
        <v>5</v>
      </c>
      <c r="B11" s="439" t="s">
        <v>882</v>
      </c>
      <c r="C11" s="415">
        <v>21482.080000000002</v>
      </c>
      <c r="D11" s="437"/>
      <c r="E11" s="569"/>
    </row>
    <row r="12" spans="1:5" ht="24.6">
      <c r="A12" s="415">
        <v>6</v>
      </c>
      <c r="B12" s="439" t="s">
        <v>554</v>
      </c>
      <c r="C12" s="415">
        <v>2328392.43872105</v>
      </c>
      <c r="D12" s="437"/>
      <c r="E12" s="569"/>
    </row>
    <row r="13" spans="1:5" ht="24.6">
      <c r="A13" s="415">
        <v>7</v>
      </c>
      <c r="B13" s="439" t="s">
        <v>557</v>
      </c>
      <c r="C13" s="415">
        <v>881845.26</v>
      </c>
      <c r="D13" s="437"/>
      <c r="E13" s="569"/>
    </row>
    <row r="14" spans="1:5" ht="24.6">
      <c r="A14" s="415">
        <v>8</v>
      </c>
      <c r="B14" s="439" t="s">
        <v>555</v>
      </c>
      <c r="C14" s="561">
        <v>2889199.0125789498</v>
      </c>
      <c r="D14" s="415"/>
      <c r="E14" s="569"/>
    </row>
    <row r="15" spans="1:5" ht="24.6">
      <c r="A15" s="415">
        <v>9</v>
      </c>
      <c r="B15" s="439" t="s">
        <v>556</v>
      </c>
      <c r="C15" s="415"/>
      <c r="D15" s="415"/>
      <c r="E15" s="569"/>
    </row>
    <row r="16" spans="1:5" ht="24.6">
      <c r="A16" s="415">
        <v>10</v>
      </c>
      <c r="B16" s="439" t="s">
        <v>558</v>
      </c>
      <c r="C16" s="415"/>
      <c r="D16" s="415"/>
      <c r="E16" s="569"/>
    </row>
    <row r="17" spans="1:5" ht="24.6">
      <c r="A17" s="415">
        <v>11</v>
      </c>
      <c r="B17" s="439" t="s">
        <v>559</v>
      </c>
      <c r="C17" s="415">
        <v>956639.42980000004</v>
      </c>
      <c r="D17" s="437"/>
      <c r="E17" s="569"/>
    </row>
    <row r="18" spans="1:5" ht="14.4">
      <c r="A18" s="418">
        <v>12</v>
      </c>
      <c r="B18" s="438" t="s">
        <v>560</v>
      </c>
      <c r="C18" s="418">
        <v>30191273.920400001</v>
      </c>
      <c r="D18" s="437"/>
      <c r="E18" s="569"/>
    </row>
    <row r="20" spans="1:5">
      <c r="C20" s="571"/>
    </row>
    <row r="21" spans="1:5">
      <c r="B21" s="352"/>
    </row>
    <row r="22" spans="1:5">
      <c r="B22" s="352"/>
    </row>
    <row r="23" spans="1:5">
      <c r="B23" s="354"/>
    </row>
  </sheetData>
  <mergeCells count="3">
    <mergeCell ref="A5:B6"/>
    <mergeCell ref="C5:C6"/>
    <mergeCell ref="D5:D6"/>
  </mergeCells>
  <pageMargins left="0.7" right="0.7" top="0.75" bottom="0.75" header="0.3" footer="0.3"/>
  <pageSetup paperSize="9" scale="56"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70" zoomScaleNormal="70" workbookViewId="0">
      <selection activeCell="L7" sqref="L7:L15"/>
    </sheetView>
  </sheetViews>
  <sheetFormatPr defaultColWidth="9.21875" defaultRowHeight="12"/>
  <cols>
    <col min="1" max="1" width="11.77734375" style="425" bestFit="1" customWidth="1"/>
    <col min="2" max="2" width="42.21875" style="425" customWidth="1"/>
    <col min="3" max="3" width="17.44140625" style="425" customWidth="1"/>
    <col min="4" max="18" width="22.21875" style="425" customWidth="1"/>
    <col min="19" max="19" width="23.21875" style="425" bestFit="1" customWidth="1"/>
    <col min="20" max="26" width="22.21875" style="425" customWidth="1"/>
    <col min="27" max="27" width="23.21875" style="425" bestFit="1" customWidth="1"/>
    <col min="28" max="28" width="20" style="425" customWidth="1"/>
    <col min="29" max="16384" width="9.21875" style="425"/>
  </cols>
  <sheetData>
    <row r="1" spans="1:28" ht="13.8">
      <c r="A1" s="352" t="s">
        <v>109</v>
      </c>
      <c r="B1" s="291" t="str">
        <f>Info!C2</f>
        <v>სს " პაშა ბანკი საქართველო"</v>
      </c>
    </row>
    <row r="2" spans="1:28">
      <c r="A2" s="352" t="s">
        <v>110</v>
      </c>
      <c r="B2" s="355">
        <f>'1. key ratios'!B2</f>
        <v>45016</v>
      </c>
      <c r="C2" s="426"/>
    </row>
    <row r="3" spans="1:28">
      <c r="A3" s="354" t="s">
        <v>561</v>
      </c>
    </row>
    <row r="5" spans="1:28" ht="15" customHeight="1">
      <c r="A5" s="832" t="s">
        <v>895</v>
      </c>
      <c r="B5" s="833"/>
      <c r="C5" s="824" t="s">
        <v>894</v>
      </c>
      <c r="D5" s="838"/>
      <c r="E5" s="838"/>
      <c r="F5" s="838"/>
      <c r="G5" s="838"/>
      <c r="H5" s="838"/>
      <c r="I5" s="838"/>
      <c r="J5" s="838"/>
      <c r="K5" s="838"/>
      <c r="L5" s="838"/>
      <c r="M5" s="838"/>
      <c r="N5" s="838"/>
      <c r="O5" s="838"/>
      <c r="P5" s="838"/>
      <c r="Q5" s="838"/>
      <c r="R5" s="838"/>
      <c r="S5" s="838"/>
      <c r="T5" s="450"/>
      <c r="U5" s="450"/>
      <c r="V5" s="450"/>
      <c r="W5" s="450"/>
      <c r="X5" s="450"/>
      <c r="Y5" s="450"/>
      <c r="Z5" s="450"/>
      <c r="AA5" s="449"/>
      <c r="AB5" s="443"/>
    </row>
    <row r="6" spans="1:28">
      <c r="A6" s="834"/>
      <c r="B6" s="835"/>
      <c r="C6" s="839" t="s">
        <v>67</v>
      </c>
      <c r="D6" s="841" t="s">
        <v>893</v>
      </c>
      <c r="E6" s="841"/>
      <c r="F6" s="841"/>
      <c r="G6" s="841"/>
      <c r="H6" s="842" t="s">
        <v>892</v>
      </c>
      <c r="I6" s="843"/>
      <c r="J6" s="843"/>
      <c r="K6" s="844"/>
      <c r="L6" s="447"/>
      <c r="M6" s="845" t="s">
        <v>891</v>
      </c>
      <c r="N6" s="845"/>
      <c r="O6" s="845"/>
      <c r="P6" s="845"/>
      <c r="Q6" s="845"/>
      <c r="R6" s="845"/>
      <c r="S6" s="822"/>
      <c r="T6" s="448"/>
      <c r="U6" s="825" t="s">
        <v>890</v>
      </c>
      <c r="V6" s="825"/>
      <c r="W6" s="825"/>
      <c r="X6" s="825"/>
      <c r="Y6" s="825"/>
      <c r="Z6" s="825"/>
      <c r="AA6" s="823"/>
      <c r="AB6" s="447"/>
    </row>
    <row r="7" spans="1:28" ht="24">
      <c r="A7" s="836"/>
      <c r="B7" s="837"/>
      <c r="C7" s="840"/>
      <c r="D7" s="446"/>
      <c r="E7" s="422" t="s">
        <v>562</v>
      </c>
      <c r="F7" s="422" t="s">
        <v>888</v>
      </c>
      <c r="G7" s="422" t="s">
        <v>889</v>
      </c>
      <c r="H7" s="445"/>
      <c r="I7" s="422" t="s">
        <v>562</v>
      </c>
      <c r="J7" s="422" t="s">
        <v>888</v>
      </c>
      <c r="K7" s="422" t="s">
        <v>889</v>
      </c>
      <c r="L7" s="928"/>
      <c r="M7" s="422" t="s">
        <v>562</v>
      </c>
      <c r="N7" s="422" t="s">
        <v>888</v>
      </c>
      <c r="O7" s="422" t="s">
        <v>887</v>
      </c>
      <c r="P7" s="422" t="s">
        <v>886</v>
      </c>
      <c r="Q7" s="422" t="s">
        <v>885</v>
      </c>
      <c r="R7" s="422" t="s">
        <v>884</v>
      </c>
      <c r="S7" s="422" t="s">
        <v>883</v>
      </c>
      <c r="T7" s="444"/>
      <c r="U7" s="422" t="s">
        <v>562</v>
      </c>
      <c r="V7" s="422" t="s">
        <v>888</v>
      </c>
      <c r="W7" s="422" t="s">
        <v>887</v>
      </c>
      <c r="X7" s="422" t="s">
        <v>886</v>
      </c>
      <c r="Y7" s="422" t="s">
        <v>885</v>
      </c>
      <c r="Z7" s="422" t="s">
        <v>884</v>
      </c>
      <c r="AA7" s="422" t="s">
        <v>883</v>
      </c>
      <c r="AB7" s="443"/>
    </row>
    <row r="8" spans="1:28">
      <c r="A8" s="442">
        <v>1</v>
      </c>
      <c r="B8" s="418" t="s">
        <v>563</v>
      </c>
      <c r="C8" s="562">
        <v>338174384.34899998</v>
      </c>
      <c r="D8" s="415">
        <v>280684081.9928</v>
      </c>
      <c r="E8" s="415">
        <v>5403347.0082</v>
      </c>
      <c r="F8" s="415">
        <v>7242773.3624999998</v>
      </c>
      <c r="G8" s="415">
        <v>3055.3317999999999</v>
      </c>
      <c r="H8" s="415">
        <v>27299028.435800001</v>
      </c>
      <c r="I8" s="415">
        <v>52161.55</v>
      </c>
      <c r="J8" s="415">
        <v>7360785.8125999998</v>
      </c>
      <c r="K8" s="415">
        <v>0</v>
      </c>
      <c r="L8" s="929">
        <f>30191273.9204-T8</f>
        <v>27934639.925900001</v>
      </c>
      <c r="M8" s="415">
        <v>2525370.2752</v>
      </c>
      <c r="N8" s="415">
        <v>37971</v>
      </c>
      <c r="O8" s="415">
        <v>1925433.2514</v>
      </c>
      <c r="P8" s="415">
        <v>14637890.544</v>
      </c>
      <c r="Q8" s="415">
        <v>4161473.7902000002</v>
      </c>
      <c r="R8" s="415">
        <v>4182894.4978</v>
      </c>
      <c r="S8" s="415">
        <v>0</v>
      </c>
      <c r="T8" s="415">
        <v>2256633.9945</v>
      </c>
      <c r="U8" s="415">
        <v>0</v>
      </c>
      <c r="V8" s="415">
        <v>0</v>
      </c>
      <c r="W8" s="415">
        <v>0</v>
      </c>
      <c r="X8" s="415">
        <v>0</v>
      </c>
      <c r="Y8" s="415">
        <v>0</v>
      </c>
      <c r="Z8" s="415">
        <v>0</v>
      </c>
      <c r="AA8" s="415">
        <v>0</v>
      </c>
    </row>
    <row r="9" spans="1:28">
      <c r="A9" s="415">
        <v>1.1000000000000001</v>
      </c>
      <c r="B9" s="432" t="s">
        <v>564</v>
      </c>
      <c r="C9" s="432" t="s">
        <v>961</v>
      </c>
      <c r="D9" s="415" t="s">
        <v>961</v>
      </c>
      <c r="E9" s="415" t="s">
        <v>961</v>
      </c>
      <c r="F9" s="415" t="s">
        <v>961</v>
      </c>
      <c r="G9" s="415" t="s">
        <v>961</v>
      </c>
      <c r="H9" s="415" t="s">
        <v>961</v>
      </c>
      <c r="I9" s="415" t="s">
        <v>961</v>
      </c>
      <c r="J9" s="415" t="s">
        <v>961</v>
      </c>
      <c r="K9" s="415" t="s">
        <v>961</v>
      </c>
      <c r="L9" s="929" t="s">
        <v>961</v>
      </c>
      <c r="M9" s="415" t="s">
        <v>961</v>
      </c>
      <c r="N9" s="415" t="s">
        <v>961</v>
      </c>
      <c r="O9" s="415" t="s">
        <v>961</v>
      </c>
      <c r="P9" s="415" t="s">
        <v>961</v>
      </c>
      <c r="Q9" s="415" t="s">
        <v>961</v>
      </c>
      <c r="R9" s="415" t="s">
        <v>961</v>
      </c>
      <c r="S9" s="415" t="s">
        <v>961</v>
      </c>
      <c r="T9" s="415" t="s">
        <v>961</v>
      </c>
      <c r="U9" s="415" t="s">
        <v>961</v>
      </c>
      <c r="V9" s="415" t="s">
        <v>961</v>
      </c>
      <c r="W9" s="415" t="s">
        <v>961</v>
      </c>
      <c r="X9" s="415" t="s">
        <v>961</v>
      </c>
      <c r="Y9" s="415" t="s">
        <v>961</v>
      </c>
      <c r="Z9" s="415" t="s">
        <v>961</v>
      </c>
      <c r="AA9" s="415" t="s">
        <v>961</v>
      </c>
    </row>
    <row r="10" spans="1:28">
      <c r="A10" s="415">
        <v>1.2</v>
      </c>
      <c r="B10" s="432" t="s">
        <v>565</v>
      </c>
      <c r="C10" s="432" t="s">
        <v>961</v>
      </c>
      <c r="D10" s="415" t="s">
        <v>961</v>
      </c>
      <c r="E10" s="415" t="s">
        <v>961</v>
      </c>
      <c r="F10" s="415" t="s">
        <v>961</v>
      </c>
      <c r="G10" s="415" t="s">
        <v>961</v>
      </c>
      <c r="H10" s="415" t="s">
        <v>961</v>
      </c>
      <c r="I10" s="415" t="s">
        <v>961</v>
      </c>
      <c r="J10" s="415" t="s">
        <v>961</v>
      </c>
      <c r="K10" s="415" t="s">
        <v>961</v>
      </c>
      <c r="L10" s="929" t="s">
        <v>961</v>
      </c>
      <c r="M10" s="415" t="s">
        <v>961</v>
      </c>
      <c r="N10" s="415" t="s">
        <v>961</v>
      </c>
      <c r="O10" s="415" t="s">
        <v>961</v>
      </c>
      <c r="P10" s="415" t="s">
        <v>961</v>
      </c>
      <c r="Q10" s="415" t="s">
        <v>961</v>
      </c>
      <c r="R10" s="415" t="s">
        <v>961</v>
      </c>
      <c r="S10" s="415" t="s">
        <v>961</v>
      </c>
      <c r="T10" s="415" t="s">
        <v>961</v>
      </c>
      <c r="U10" s="415" t="s">
        <v>961</v>
      </c>
      <c r="V10" s="415" t="s">
        <v>961</v>
      </c>
      <c r="W10" s="415" t="s">
        <v>961</v>
      </c>
      <c r="X10" s="415" t="s">
        <v>961</v>
      </c>
      <c r="Y10" s="415" t="s">
        <v>961</v>
      </c>
      <c r="Z10" s="415" t="s">
        <v>961</v>
      </c>
      <c r="AA10" s="415" t="s">
        <v>961</v>
      </c>
    </row>
    <row r="11" spans="1:28">
      <c r="A11" s="415">
        <v>1.3</v>
      </c>
      <c r="B11" s="432" t="s">
        <v>566</v>
      </c>
      <c r="C11" s="432" t="s">
        <v>961</v>
      </c>
      <c r="D11" s="415" t="s">
        <v>961</v>
      </c>
      <c r="E11" s="415" t="s">
        <v>961</v>
      </c>
      <c r="F11" s="415" t="s">
        <v>961</v>
      </c>
      <c r="G11" s="415" t="s">
        <v>961</v>
      </c>
      <c r="H11" s="415" t="s">
        <v>961</v>
      </c>
      <c r="I11" s="415" t="s">
        <v>961</v>
      </c>
      <c r="J11" s="415" t="s">
        <v>961</v>
      </c>
      <c r="K11" s="415" t="s">
        <v>961</v>
      </c>
      <c r="L11" s="929" t="s">
        <v>961</v>
      </c>
      <c r="M11" s="415" t="s">
        <v>961</v>
      </c>
      <c r="N11" s="415" t="s">
        <v>961</v>
      </c>
      <c r="O11" s="415" t="s">
        <v>961</v>
      </c>
      <c r="P11" s="415" t="s">
        <v>961</v>
      </c>
      <c r="Q11" s="415" t="s">
        <v>961</v>
      </c>
      <c r="R11" s="415" t="s">
        <v>961</v>
      </c>
      <c r="S11" s="415" t="s">
        <v>961</v>
      </c>
      <c r="T11" s="415" t="s">
        <v>961</v>
      </c>
      <c r="U11" s="415" t="s">
        <v>961</v>
      </c>
      <c r="V11" s="415" t="s">
        <v>961</v>
      </c>
      <c r="W11" s="415" t="s">
        <v>961</v>
      </c>
      <c r="X11" s="415" t="s">
        <v>961</v>
      </c>
      <c r="Y11" s="415" t="s">
        <v>961</v>
      </c>
      <c r="Z11" s="415" t="s">
        <v>961</v>
      </c>
      <c r="AA11" s="415" t="s">
        <v>961</v>
      </c>
    </row>
    <row r="12" spans="1:28">
      <c r="A12" s="415">
        <v>1.4</v>
      </c>
      <c r="B12" s="432" t="s">
        <v>567</v>
      </c>
      <c r="C12" s="432">
        <v>60114285.0348</v>
      </c>
      <c r="D12" s="415">
        <v>59960661.0348</v>
      </c>
      <c r="E12" s="415">
        <v>2996277.17</v>
      </c>
      <c r="F12" s="415">
        <v>0</v>
      </c>
      <c r="G12" s="415">
        <v>0</v>
      </c>
      <c r="H12" s="415">
        <v>0</v>
      </c>
      <c r="I12" s="415">
        <v>0</v>
      </c>
      <c r="J12" s="415">
        <v>0</v>
      </c>
      <c r="K12" s="415">
        <v>0</v>
      </c>
      <c r="L12" s="929">
        <v>153624</v>
      </c>
      <c r="M12" s="415">
        <v>0</v>
      </c>
      <c r="N12" s="415">
        <v>0</v>
      </c>
      <c r="O12" s="415">
        <v>0</v>
      </c>
      <c r="P12" s="415">
        <v>0</v>
      </c>
      <c r="Q12" s="415">
        <v>153624</v>
      </c>
      <c r="R12" s="415">
        <v>0</v>
      </c>
      <c r="S12" s="415">
        <v>0</v>
      </c>
      <c r="T12" s="415">
        <v>0</v>
      </c>
      <c r="U12" s="415">
        <v>0</v>
      </c>
      <c r="V12" s="415">
        <v>0</v>
      </c>
      <c r="W12" s="415">
        <v>0</v>
      </c>
      <c r="X12" s="415">
        <v>0</v>
      </c>
      <c r="Y12" s="415">
        <v>0</v>
      </c>
      <c r="Z12" s="415">
        <v>0</v>
      </c>
      <c r="AA12" s="415">
        <v>0</v>
      </c>
    </row>
    <row r="13" spans="1:28">
      <c r="A13" s="415">
        <v>1.5</v>
      </c>
      <c r="B13" s="432" t="s">
        <v>568</v>
      </c>
      <c r="C13" s="432">
        <v>212678229.16209999</v>
      </c>
      <c r="D13" s="415">
        <v>164978171.81290001</v>
      </c>
      <c r="E13" s="415">
        <v>951970.41819999996</v>
      </c>
      <c r="F13" s="415">
        <v>7242773.3624999998</v>
      </c>
      <c r="G13" s="415">
        <v>0</v>
      </c>
      <c r="H13" s="415">
        <v>23877469.4837</v>
      </c>
      <c r="I13" s="415">
        <v>0</v>
      </c>
      <c r="J13" s="415">
        <v>5737489.5225999998</v>
      </c>
      <c r="K13" s="415">
        <v>0</v>
      </c>
      <c r="L13" s="929">
        <f>23822587.8655-T13</f>
        <v>21565953.870999999</v>
      </c>
      <c r="M13" s="415">
        <v>2282601.5183999999</v>
      </c>
      <c r="N13" s="415">
        <v>0</v>
      </c>
      <c r="O13" s="415">
        <v>255782.76139999999</v>
      </c>
      <c r="P13" s="415">
        <v>13115468.424000001</v>
      </c>
      <c r="Q13" s="415">
        <v>1584942.39</v>
      </c>
      <c r="R13" s="415">
        <v>4182894.4978</v>
      </c>
      <c r="S13" s="415">
        <v>0</v>
      </c>
      <c r="T13" s="415">
        <v>2256633.9945</v>
      </c>
      <c r="U13" s="415">
        <v>0</v>
      </c>
      <c r="V13" s="415">
        <v>0</v>
      </c>
      <c r="W13" s="415">
        <v>0</v>
      </c>
      <c r="X13" s="415">
        <v>0</v>
      </c>
      <c r="Y13" s="415">
        <v>0</v>
      </c>
      <c r="Z13" s="415">
        <v>0</v>
      </c>
      <c r="AA13" s="415">
        <v>0</v>
      </c>
    </row>
    <row r="14" spans="1:28">
      <c r="A14" s="415">
        <v>1.6</v>
      </c>
      <c r="B14" s="432" t="s">
        <v>569</v>
      </c>
      <c r="C14" s="432">
        <v>65381870.152099997</v>
      </c>
      <c r="D14" s="415">
        <v>55745249.145099998</v>
      </c>
      <c r="E14" s="415">
        <v>1455099.42</v>
      </c>
      <c r="F14" s="415">
        <v>0</v>
      </c>
      <c r="G14" s="415">
        <v>3055.3317999999999</v>
      </c>
      <c r="H14" s="415">
        <v>3421558.9520999999</v>
      </c>
      <c r="I14" s="415">
        <v>52161.55</v>
      </c>
      <c r="J14" s="415">
        <v>1623296.29</v>
      </c>
      <c r="K14" s="415">
        <v>0</v>
      </c>
      <c r="L14" s="929">
        <v>6215062.0548999999</v>
      </c>
      <c r="M14" s="415">
        <v>242768.7568</v>
      </c>
      <c r="N14" s="415">
        <v>37971</v>
      </c>
      <c r="O14" s="415">
        <v>1669650.49</v>
      </c>
      <c r="P14" s="415">
        <v>1522422.12</v>
      </c>
      <c r="Q14" s="415">
        <v>2422907.4002</v>
      </c>
      <c r="R14" s="415">
        <v>0</v>
      </c>
      <c r="S14" s="415">
        <v>0</v>
      </c>
      <c r="T14" s="415">
        <v>0</v>
      </c>
      <c r="U14" s="415">
        <v>0</v>
      </c>
      <c r="V14" s="415">
        <v>0</v>
      </c>
      <c r="W14" s="415">
        <v>0</v>
      </c>
      <c r="X14" s="415">
        <v>0</v>
      </c>
      <c r="Y14" s="415">
        <v>0</v>
      </c>
      <c r="Z14" s="415">
        <v>0</v>
      </c>
      <c r="AA14" s="415">
        <v>0</v>
      </c>
    </row>
    <row r="15" spans="1:28">
      <c r="A15" s="442">
        <v>2</v>
      </c>
      <c r="B15" s="418" t="s">
        <v>570</v>
      </c>
      <c r="C15" s="927">
        <f>SUM(C16:C21)</f>
        <v>58675395.000299998</v>
      </c>
      <c r="D15" s="927">
        <f>SUM(D16:D21)</f>
        <v>58675395.000299998</v>
      </c>
      <c r="E15" s="415">
        <v>0</v>
      </c>
      <c r="F15" s="415">
        <v>0</v>
      </c>
      <c r="G15" s="415">
        <v>0</v>
      </c>
      <c r="H15" s="415">
        <v>0</v>
      </c>
      <c r="I15" s="415">
        <v>0</v>
      </c>
      <c r="J15" s="415">
        <v>0</v>
      </c>
      <c r="K15" s="415">
        <v>0</v>
      </c>
      <c r="L15" s="929">
        <v>0</v>
      </c>
      <c r="M15" s="415">
        <v>0</v>
      </c>
      <c r="N15" s="415">
        <v>0</v>
      </c>
      <c r="O15" s="415">
        <v>0</v>
      </c>
      <c r="P15" s="415">
        <v>0</v>
      </c>
      <c r="Q15" s="415">
        <v>0</v>
      </c>
      <c r="R15" s="415">
        <v>0</v>
      </c>
      <c r="S15" s="415">
        <v>0</v>
      </c>
      <c r="T15" s="415">
        <v>0</v>
      </c>
      <c r="U15" s="415">
        <v>0</v>
      </c>
      <c r="V15" s="415">
        <v>0</v>
      </c>
      <c r="W15" s="415">
        <v>0</v>
      </c>
      <c r="X15" s="415">
        <v>0</v>
      </c>
      <c r="Y15" s="415">
        <v>0</v>
      </c>
      <c r="Z15" s="415">
        <v>0</v>
      </c>
      <c r="AA15" s="415">
        <v>0</v>
      </c>
    </row>
    <row r="16" spans="1:28">
      <c r="A16" s="415">
        <v>2.1</v>
      </c>
      <c r="B16" s="432" t="s">
        <v>564</v>
      </c>
      <c r="C16" s="432" t="s">
        <v>961</v>
      </c>
      <c r="D16" s="415" t="s">
        <v>961</v>
      </c>
      <c r="E16" s="415" t="s">
        <v>961</v>
      </c>
      <c r="F16" s="415" t="s">
        <v>961</v>
      </c>
      <c r="G16" s="415" t="s">
        <v>961</v>
      </c>
      <c r="H16" s="415" t="s">
        <v>961</v>
      </c>
      <c r="I16" s="415" t="s">
        <v>961</v>
      </c>
      <c r="J16" s="415" t="s">
        <v>961</v>
      </c>
      <c r="K16" s="415" t="s">
        <v>961</v>
      </c>
      <c r="L16" s="415" t="s">
        <v>961</v>
      </c>
      <c r="M16" s="415" t="s">
        <v>961</v>
      </c>
      <c r="N16" s="415" t="s">
        <v>961</v>
      </c>
      <c r="O16" s="415" t="s">
        <v>961</v>
      </c>
      <c r="P16" s="415" t="s">
        <v>961</v>
      </c>
      <c r="Q16" s="415" t="s">
        <v>961</v>
      </c>
      <c r="R16" s="415" t="s">
        <v>961</v>
      </c>
      <c r="S16" s="415" t="s">
        <v>961</v>
      </c>
      <c r="T16" s="415" t="s">
        <v>961</v>
      </c>
      <c r="U16" s="415" t="s">
        <v>961</v>
      </c>
      <c r="V16" s="415" t="s">
        <v>961</v>
      </c>
      <c r="W16" s="415" t="s">
        <v>961</v>
      </c>
      <c r="X16" s="415" t="s">
        <v>961</v>
      </c>
      <c r="Y16" s="415" t="s">
        <v>961</v>
      </c>
      <c r="Z16" s="415" t="s">
        <v>961</v>
      </c>
      <c r="AA16" s="415" t="s">
        <v>961</v>
      </c>
    </row>
    <row r="17" spans="1:27">
      <c r="A17" s="415">
        <v>2.2000000000000002</v>
      </c>
      <c r="B17" s="432" t="s">
        <v>565</v>
      </c>
      <c r="C17" s="729">
        <v>5248000</v>
      </c>
      <c r="D17" s="730">
        <v>5248000</v>
      </c>
      <c r="E17" s="415" t="s">
        <v>961</v>
      </c>
      <c r="F17" s="415" t="s">
        <v>961</v>
      </c>
      <c r="G17" s="415" t="s">
        <v>961</v>
      </c>
      <c r="H17" s="415" t="s">
        <v>961</v>
      </c>
      <c r="I17" s="415" t="s">
        <v>961</v>
      </c>
      <c r="J17" s="415" t="s">
        <v>961</v>
      </c>
      <c r="K17" s="415" t="s">
        <v>961</v>
      </c>
      <c r="L17" s="415" t="s">
        <v>961</v>
      </c>
      <c r="M17" s="415" t="s">
        <v>961</v>
      </c>
      <c r="N17" s="415" t="s">
        <v>961</v>
      </c>
      <c r="O17" s="415" t="s">
        <v>961</v>
      </c>
      <c r="P17" s="415" t="s">
        <v>961</v>
      </c>
      <c r="Q17" s="415" t="s">
        <v>961</v>
      </c>
      <c r="R17" s="415" t="s">
        <v>961</v>
      </c>
      <c r="S17" s="415" t="s">
        <v>961</v>
      </c>
      <c r="T17" s="415" t="s">
        <v>961</v>
      </c>
      <c r="U17" s="415" t="s">
        <v>961</v>
      </c>
      <c r="V17" s="415" t="s">
        <v>961</v>
      </c>
      <c r="W17" s="415" t="s">
        <v>961</v>
      </c>
      <c r="X17" s="415" t="s">
        <v>961</v>
      </c>
      <c r="Y17" s="415" t="s">
        <v>961</v>
      </c>
      <c r="Z17" s="415" t="s">
        <v>961</v>
      </c>
      <c r="AA17" s="415" t="s">
        <v>961</v>
      </c>
    </row>
    <row r="18" spans="1:27">
      <c r="A18" s="415">
        <v>2.2999999999999998</v>
      </c>
      <c r="B18" s="432" t="s">
        <v>566</v>
      </c>
      <c r="C18" s="432" t="s">
        <v>961</v>
      </c>
      <c r="D18" s="415" t="s">
        <v>961</v>
      </c>
      <c r="E18" s="415" t="s">
        <v>961</v>
      </c>
      <c r="F18" s="415" t="s">
        <v>961</v>
      </c>
      <c r="G18" s="415" t="s">
        <v>961</v>
      </c>
      <c r="H18" s="415" t="s">
        <v>961</v>
      </c>
      <c r="I18" s="415" t="s">
        <v>961</v>
      </c>
      <c r="J18" s="415" t="s">
        <v>961</v>
      </c>
      <c r="K18" s="415" t="s">
        <v>961</v>
      </c>
      <c r="L18" s="415" t="s">
        <v>961</v>
      </c>
      <c r="M18" s="415" t="s">
        <v>961</v>
      </c>
      <c r="N18" s="415" t="s">
        <v>961</v>
      </c>
      <c r="O18" s="415" t="s">
        <v>961</v>
      </c>
      <c r="P18" s="415" t="s">
        <v>961</v>
      </c>
      <c r="Q18" s="415" t="s">
        <v>961</v>
      </c>
      <c r="R18" s="415" t="s">
        <v>961</v>
      </c>
      <c r="S18" s="415" t="s">
        <v>961</v>
      </c>
      <c r="T18" s="415" t="s">
        <v>961</v>
      </c>
      <c r="U18" s="415" t="s">
        <v>961</v>
      </c>
      <c r="V18" s="415" t="s">
        <v>961</v>
      </c>
      <c r="W18" s="415" t="s">
        <v>961</v>
      </c>
      <c r="X18" s="415" t="s">
        <v>961</v>
      </c>
      <c r="Y18" s="415" t="s">
        <v>961</v>
      </c>
      <c r="Z18" s="415" t="s">
        <v>961</v>
      </c>
      <c r="AA18" s="415" t="s">
        <v>961</v>
      </c>
    </row>
    <row r="19" spans="1:27">
      <c r="A19" s="415">
        <v>2.4</v>
      </c>
      <c r="B19" s="432" t="s">
        <v>567</v>
      </c>
      <c r="C19" s="432">
        <v>34199081.716499999</v>
      </c>
      <c r="D19" s="415">
        <v>34199081.716499999</v>
      </c>
      <c r="E19" s="415">
        <v>0</v>
      </c>
      <c r="F19" s="415">
        <v>0</v>
      </c>
      <c r="G19" s="415">
        <v>0</v>
      </c>
      <c r="H19" s="415">
        <v>0</v>
      </c>
      <c r="I19" s="415">
        <v>0</v>
      </c>
      <c r="J19" s="415">
        <v>0</v>
      </c>
      <c r="K19" s="415">
        <v>0</v>
      </c>
      <c r="L19" s="415">
        <v>0</v>
      </c>
      <c r="M19" s="415">
        <v>0</v>
      </c>
      <c r="N19" s="415">
        <v>0</v>
      </c>
      <c r="O19" s="415">
        <v>0</v>
      </c>
      <c r="P19" s="415">
        <v>0</v>
      </c>
      <c r="Q19" s="415">
        <v>0</v>
      </c>
      <c r="R19" s="415">
        <v>0</v>
      </c>
      <c r="S19" s="415">
        <v>0</v>
      </c>
      <c r="T19" s="415">
        <v>0</v>
      </c>
      <c r="U19" s="415">
        <v>0</v>
      </c>
      <c r="V19" s="415">
        <v>0</v>
      </c>
      <c r="W19" s="415">
        <v>0</v>
      </c>
      <c r="X19" s="415">
        <v>0</v>
      </c>
      <c r="Y19" s="415">
        <v>0</v>
      </c>
      <c r="Z19" s="415">
        <v>0</v>
      </c>
      <c r="AA19" s="415">
        <v>0</v>
      </c>
    </row>
    <row r="20" spans="1:27">
      <c r="A20" s="415">
        <v>2.5</v>
      </c>
      <c r="B20" s="432" t="s">
        <v>568</v>
      </c>
      <c r="C20" s="432">
        <v>19228313.283799998</v>
      </c>
      <c r="D20" s="415">
        <v>19228313.283799998</v>
      </c>
      <c r="E20" s="415">
        <v>0</v>
      </c>
      <c r="F20" s="415">
        <v>0</v>
      </c>
      <c r="G20" s="415">
        <v>0</v>
      </c>
      <c r="H20" s="415">
        <v>0</v>
      </c>
      <c r="I20" s="415">
        <v>0</v>
      </c>
      <c r="J20" s="415">
        <v>0</v>
      </c>
      <c r="K20" s="415">
        <v>0</v>
      </c>
      <c r="L20" s="415">
        <v>0</v>
      </c>
      <c r="M20" s="415">
        <v>0</v>
      </c>
      <c r="N20" s="415">
        <v>0</v>
      </c>
      <c r="O20" s="415">
        <v>0</v>
      </c>
      <c r="P20" s="415">
        <v>0</v>
      </c>
      <c r="Q20" s="415">
        <v>0</v>
      </c>
      <c r="R20" s="415">
        <v>0</v>
      </c>
      <c r="S20" s="415">
        <v>0</v>
      </c>
      <c r="T20" s="415">
        <v>0</v>
      </c>
      <c r="U20" s="415">
        <v>0</v>
      </c>
      <c r="V20" s="415">
        <v>0</v>
      </c>
      <c r="W20" s="415">
        <v>0</v>
      </c>
      <c r="X20" s="415">
        <v>0</v>
      </c>
      <c r="Y20" s="415">
        <v>0</v>
      </c>
      <c r="Z20" s="415">
        <v>0</v>
      </c>
      <c r="AA20" s="415">
        <v>0</v>
      </c>
    </row>
    <row r="21" spans="1:27">
      <c r="A21" s="415">
        <v>2.6</v>
      </c>
      <c r="B21" s="432" t="s">
        <v>569</v>
      </c>
      <c r="C21" s="432" t="s">
        <v>961</v>
      </c>
      <c r="D21" s="415" t="s">
        <v>961</v>
      </c>
      <c r="E21" s="415" t="s">
        <v>961</v>
      </c>
      <c r="F21" s="415" t="s">
        <v>961</v>
      </c>
      <c r="G21" s="415" t="s">
        <v>961</v>
      </c>
      <c r="H21" s="415" t="s">
        <v>961</v>
      </c>
      <c r="I21" s="415" t="s">
        <v>961</v>
      </c>
      <c r="J21" s="415" t="s">
        <v>961</v>
      </c>
      <c r="K21" s="415" t="s">
        <v>961</v>
      </c>
      <c r="L21" s="415" t="s">
        <v>961</v>
      </c>
      <c r="M21" s="415" t="s">
        <v>961</v>
      </c>
      <c r="N21" s="415" t="s">
        <v>961</v>
      </c>
      <c r="O21" s="415" t="s">
        <v>961</v>
      </c>
      <c r="P21" s="415" t="s">
        <v>961</v>
      </c>
      <c r="Q21" s="415" t="s">
        <v>961</v>
      </c>
      <c r="R21" s="415" t="s">
        <v>961</v>
      </c>
      <c r="S21" s="415" t="s">
        <v>961</v>
      </c>
      <c r="T21" s="415" t="s">
        <v>961</v>
      </c>
      <c r="U21" s="415" t="s">
        <v>961</v>
      </c>
      <c r="V21" s="415" t="s">
        <v>961</v>
      </c>
      <c r="W21" s="415" t="s">
        <v>961</v>
      </c>
      <c r="X21" s="415" t="s">
        <v>961</v>
      </c>
      <c r="Y21" s="415" t="s">
        <v>961</v>
      </c>
      <c r="Z21" s="415" t="s">
        <v>961</v>
      </c>
      <c r="AA21" s="415" t="s">
        <v>961</v>
      </c>
    </row>
    <row r="22" spans="1:27">
      <c r="A22" s="442">
        <v>3</v>
      </c>
      <c r="B22" s="418" t="s">
        <v>571</v>
      </c>
      <c r="C22" s="562">
        <v>117663443.3495</v>
      </c>
      <c r="D22" s="418">
        <v>116296146.9595</v>
      </c>
      <c r="E22" s="441" t="s">
        <v>961</v>
      </c>
      <c r="F22" s="441" t="s">
        <v>961</v>
      </c>
      <c r="G22" s="441" t="s">
        <v>961</v>
      </c>
      <c r="H22" s="418">
        <v>288120.62</v>
      </c>
      <c r="I22" s="441" t="s">
        <v>961</v>
      </c>
      <c r="J22" s="441" t="s">
        <v>961</v>
      </c>
      <c r="K22" s="441" t="s">
        <v>961</v>
      </c>
      <c r="L22" s="418">
        <v>1079175.77</v>
      </c>
      <c r="M22" s="441" t="s">
        <v>961</v>
      </c>
      <c r="N22" s="441" t="s">
        <v>961</v>
      </c>
      <c r="O22" s="441" t="s">
        <v>961</v>
      </c>
      <c r="P22" s="441" t="s">
        <v>961</v>
      </c>
      <c r="Q22" s="441" t="s">
        <v>961</v>
      </c>
      <c r="R22" s="441" t="s">
        <v>961</v>
      </c>
      <c r="S22" s="441" t="s">
        <v>961</v>
      </c>
      <c r="T22" s="418">
        <v>0</v>
      </c>
      <c r="U22" s="441" t="s">
        <v>961</v>
      </c>
      <c r="V22" s="441" t="s">
        <v>961</v>
      </c>
      <c r="W22" s="441" t="s">
        <v>961</v>
      </c>
      <c r="X22" s="441" t="s">
        <v>961</v>
      </c>
      <c r="Y22" s="441" t="s">
        <v>961</v>
      </c>
      <c r="Z22" s="441" t="s">
        <v>961</v>
      </c>
      <c r="AA22" s="441" t="s">
        <v>961</v>
      </c>
    </row>
    <row r="23" spans="1:27">
      <c r="A23" s="415">
        <v>3.1</v>
      </c>
      <c r="B23" s="432" t="s">
        <v>564</v>
      </c>
      <c r="C23" s="432" t="s">
        <v>961</v>
      </c>
      <c r="D23" s="418" t="s">
        <v>961</v>
      </c>
      <c r="E23" s="441" t="s">
        <v>961</v>
      </c>
      <c r="F23" s="441" t="s">
        <v>961</v>
      </c>
      <c r="G23" s="441" t="s">
        <v>961</v>
      </c>
      <c r="H23" s="418" t="s">
        <v>961</v>
      </c>
      <c r="I23" s="441" t="s">
        <v>961</v>
      </c>
      <c r="J23" s="441" t="s">
        <v>961</v>
      </c>
      <c r="K23" s="441" t="s">
        <v>961</v>
      </c>
      <c r="L23" s="418" t="s">
        <v>961</v>
      </c>
      <c r="M23" s="441" t="s">
        <v>961</v>
      </c>
      <c r="N23" s="441" t="s">
        <v>961</v>
      </c>
      <c r="O23" s="441" t="s">
        <v>961</v>
      </c>
      <c r="P23" s="441" t="s">
        <v>961</v>
      </c>
      <c r="Q23" s="441" t="s">
        <v>961</v>
      </c>
      <c r="R23" s="441" t="s">
        <v>961</v>
      </c>
      <c r="S23" s="441" t="s">
        <v>961</v>
      </c>
      <c r="T23" s="418" t="s">
        <v>961</v>
      </c>
      <c r="U23" s="441" t="s">
        <v>961</v>
      </c>
      <c r="V23" s="441" t="s">
        <v>961</v>
      </c>
      <c r="W23" s="441" t="s">
        <v>961</v>
      </c>
      <c r="X23" s="441" t="s">
        <v>961</v>
      </c>
      <c r="Y23" s="441" t="s">
        <v>961</v>
      </c>
      <c r="Z23" s="441" t="s">
        <v>961</v>
      </c>
      <c r="AA23" s="441" t="s">
        <v>961</v>
      </c>
    </row>
    <row r="24" spans="1:27">
      <c r="A24" s="415">
        <v>3.2</v>
      </c>
      <c r="B24" s="432" t="s">
        <v>565</v>
      </c>
      <c r="C24" s="432" t="s">
        <v>961</v>
      </c>
      <c r="D24" s="418" t="s">
        <v>961</v>
      </c>
      <c r="E24" s="441" t="s">
        <v>961</v>
      </c>
      <c r="F24" s="441" t="s">
        <v>961</v>
      </c>
      <c r="G24" s="441" t="s">
        <v>961</v>
      </c>
      <c r="H24" s="418" t="s">
        <v>961</v>
      </c>
      <c r="I24" s="441" t="s">
        <v>961</v>
      </c>
      <c r="J24" s="441" t="s">
        <v>961</v>
      </c>
      <c r="K24" s="441" t="s">
        <v>961</v>
      </c>
      <c r="L24" s="418" t="s">
        <v>961</v>
      </c>
      <c r="M24" s="441" t="s">
        <v>961</v>
      </c>
      <c r="N24" s="441" t="s">
        <v>961</v>
      </c>
      <c r="O24" s="441" t="s">
        <v>961</v>
      </c>
      <c r="P24" s="441" t="s">
        <v>961</v>
      </c>
      <c r="Q24" s="441" t="s">
        <v>961</v>
      </c>
      <c r="R24" s="441" t="s">
        <v>961</v>
      </c>
      <c r="S24" s="441" t="s">
        <v>961</v>
      </c>
      <c r="T24" s="418" t="s">
        <v>961</v>
      </c>
      <c r="U24" s="441" t="s">
        <v>961</v>
      </c>
      <c r="V24" s="441" t="s">
        <v>961</v>
      </c>
      <c r="W24" s="441" t="s">
        <v>961</v>
      </c>
      <c r="X24" s="441" t="s">
        <v>961</v>
      </c>
      <c r="Y24" s="441" t="s">
        <v>961</v>
      </c>
      <c r="Z24" s="441" t="s">
        <v>961</v>
      </c>
      <c r="AA24" s="441" t="s">
        <v>961</v>
      </c>
    </row>
    <row r="25" spans="1:27">
      <c r="A25" s="415">
        <v>3.3</v>
      </c>
      <c r="B25" s="432" t="s">
        <v>566</v>
      </c>
      <c r="C25" s="432">
        <v>870000</v>
      </c>
      <c r="D25" s="418">
        <v>870000</v>
      </c>
      <c r="E25" s="441" t="s">
        <v>961</v>
      </c>
      <c r="F25" s="441" t="s">
        <v>961</v>
      </c>
      <c r="G25" s="441" t="s">
        <v>961</v>
      </c>
      <c r="H25" s="418">
        <v>0</v>
      </c>
      <c r="I25" s="441" t="s">
        <v>961</v>
      </c>
      <c r="J25" s="441" t="s">
        <v>961</v>
      </c>
      <c r="K25" s="441" t="s">
        <v>961</v>
      </c>
      <c r="L25" s="418">
        <v>0</v>
      </c>
      <c r="M25" s="441" t="s">
        <v>961</v>
      </c>
      <c r="N25" s="441" t="s">
        <v>961</v>
      </c>
      <c r="O25" s="441" t="s">
        <v>961</v>
      </c>
      <c r="P25" s="441" t="s">
        <v>961</v>
      </c>
      <c r="Q25" s="441" t="s">
        <v>961</v>
      </c>
      <c r="R25" s="441" t="s">
        <v>961</v>
      </c>
      <c r="S25" s="441" t="s">
        <v>961</v>
      </c>
      <c r="T25" s="418">
        <v>0</v>
      </c>
      <c r="U25" s="441" t="s">
        <v>961</v>
      </c>
      <c r="V25" s="441" t="s">
        <v>961</v>
      </c>
      <c r="W25" s="441" t="s">
        <v>961</v>
      </c>
      <c r="X25" s="441" t="s">
        <v>961</v>
      </c>
      <c r="Y25" s="441" t="s">
        <v>961</v>
      </c>
      <c r="Z25" s="441" t="s">
        <v>961</v>
      </c>
      <c r="AA25" s="441" t="s">
        <v>961</v>
      </c>
    </row>
    <row r="26" spans="1:27">
      <c r="A26" s="415">
        <v>3.4</v>
      </c>
      <c r="B26" s="432" t="s">
        <v>567</v>
      </c>
      <c r="C26" s="432">
        <v>6178579.7856000001</v>
      </c>
      <c r="D26" s="418">
        <v>6178579.7856000001</v>
      </c>
      <c r="E26" s="441" t="s">
        <v>961</v>
      </c>
      <c r="F26" s="441" t="s">
        <v>961</v>
      </c>
      <c r="G26" s="441" t="s">
        <v>961</v>
      </c>
      <c r="H26" s="418">
        <v>0</v>
      </c>
      <c r="I26" s="441" t="s">
        <v>961</v>
      </c>
      <c r="J26" s="441" t="s">
        <v>961</v>
      </c>
      <c r="K26" s="441" t="s">
        <v>961</v>
      </c>
      <c r="L26" s="418">
        <v>0</v>
      </c>
      <c r="M26" s="441" t="s">
        <v>961</v>
      </c>
      <c r="N26" s="441" t="s">
        <v>961</v>
      </c>
      <c r="O26" s="441" t="s">
        <v>961</v>
      </c>
      <c r="P26" s="441" t="s">
        <v>961</v>
      </c>
      <c r="Q26" s="441" t="s">
        <v>961</v>
      </c>
      <c r="R26" s="441" t="s">
        <v>961</v>
      </c>
      <c r="S26" s="441" t="s">
        <v>961</v>
      </c>
      <c r="T26" s="418">
        <v>0</v>
      </c>
      <c r="U26" s="441" t="s">
        <v>961</v>
      </c>
      <c r="V26" s="441" t="s">
        <v>961</v>
      </c>
      <c r="W26" s="441" t="s">
        <v>961</v>
      </c>
      <c r="X26" s="441" t="s">
        <v>961</v>
      </c>
      <c r="Y26" s="441" t="s">
        <v>961</v>
      </c>
      <c r="Z26" s="441" t="s">
        <v>961</v>
      </c>
      <c r="AA26" s="441" t="s">
        <v>961</v>
      </c>
    </row>
    <row r="27" spans="1:27">
      <c r="A27" s="415">
        <v>3.5</v>
      </c>
      <c r="B27" s="432" t="s">
        <v>568</v>
      </c>
      <c r="C27" s="432">
        <v>59257012.683899999</v>
      </c>
      <c r="D27" s="418">
        <v>57923588.553900003</v>
      </c>
      <c r="E27" s="441" t="s">
        <v>961</v>
      </c>
      <c r="F27" s="441" t="s">
        <v>961</v>
      </c>
      <c r="G27" s="441" t="s">
        <v>961</v>
      </c>
      <c r="H27" s="418">
        <v>269674.13</v>
      </c>
      <c r="I27" s="441" t="s">
        <v>961</v>
      </c>
      <c r="J27" s="441" t="s">
        <v>961</v>
      </c>
      <c r="K27" s="441" t="s">
        <v>961</v>
      </c>
      <c r="L27" s="418">
        <v>1063750</v>
      </c>
      <c r="M27" s="441" t="s">
        <v>961</v>
      </c>
      <c r="N27" s="441" t="s">
        <v>961</v>
      </c>
      <c r="O27" s="441" t="s">
        <v>961</v>
      </c>
      <c r="P27" s="441" t="s">
        <v>961</v>
      </c>
      <c r="Q27" s="441" t="s">
        <v>961</v>
      </c>
      <c r="R27" s="441" t="s">
        <v>961</v>
      </c>
      <c r="S27" s="441" t="s">
        <v>961</v>
      </c>
      <c r="T27" s="418">
        <v>0</v>
      </c>
      <c r="U27" s="441" t="s">
        <v>961</v>
      </c>
      <c r="V27" s="441" t="s">
        <v>961</v>
      </c>
      <c r="W27" s="441" t="s">
        <v>961</v>
      </c>
      <c r="X27" s="441" t="s">
        <v>961</v>
      </c>
      <c r="Y27" s="441" t="s">
        <v>961</v>
      </c>
      <c r="Z27" s="441" t="s">
        <v>961</v>
      </c>
      <c r="AA27" s="441" t="s">
        <v>961</v>
      </c>
    </row>
    <row r="28" spans="1:27">
      <c r="A28" s="415">
        <v>3.6</v>
      </c>
      <c r="B28" s="432" t="s">
        <v>569</v>
      </c>
      <c r="C28" s="432">
        <v>51357850.880000003</v>
      </c>
      <c r="D28" s="418">
        <v>51323978.619999997</v>
      </c>
      <c r="E28" s="441" t="s">
        <v>961</v>
      </c>
      <c r="F28" s="441" t="s">
        <v>961</v>
      </c>
      <c r="G28" s="441" t="s">
        <v>961</v>
      </c>
      <c r="H28" s="418">
        <v>18446.490000000002</v>
      </c>
      <c r="I28" s="441" t="s">
        <v>961</v>
      </c>
      <c r="J28" s="441" t="s">
        <v>961</v>
      </c>
      <c r="K28" s="441" t="s">
        <v>961</v>
      </c>
      <c r="L28" s="418">
        <v>15425.77</v>
      </c>
      <c r="M28" s="441" t="s">
        <v>961</v>
      </c>
      <c r="N28" s="441" t="s">
        <v>961</v>
      </c>
      <c r="O28" s="441" t="s">
        <v>961</v>
      </c>
      <c r="P28" s="441" t="s">
        <v>961</v>
      </c>
      <c r="Q28" s="441" t="s">
        <v>961</v>
      </c>
      <c r="R28" s="441" t="s">
        <v>961</v>
      </c>
      <c r="S28" s="441" t="s">
        <v>961</v>
      </c>
      <c r="T28" s="418">
        <v>0</v>
      </c>
      <c r="U28" s="441" t="s">
        <v>961</v>
      </c>
      <c r="V28" s="441" t="s">
        <v>961</v>
      </c>
      <c r="W28" s="441" t="s">
        <v>961</v>
      </c>
      <c r="X28" s="441" t="s">
        <v>961</v>
      </c>
      <c r="Y28" s="441" t="s">
        <v>961</v>
      </c>
      <c r="Z28" s="441" t="s">
        <v>961</v>
      </c>
      <c r="AA28" s="441" t="s">
        <v>961</v>
      </c>
    </row>
  </sheetData>
  <mergeCells count="7">
    <mergeCell ref="U6:AA6"/>
    <mergeCell ref="A5:B7"/>
    <mergeCell ref="C5:S5"/>
    <mergeCell ref="C6:C7"/>
    <mergeCell ref="D6:G6"/>
    <mergeCell ref="H6:K6"/>
    <mergeCell ref="M6:S6"/>
  </mergeCells>
  <pageMargins left="0.7" right="0.7" top="0.75" bottom="0.75" header="0.3" footer="0.3"/>
  <pageSetup scale="14"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70" zoomScaleNormal="70" workbookViewId="0"/>
  </sheetViews>
  <sheetFormatPr defaultColWidth="9.21875" defaultRowHeight="12"/>
  <cols>
    <col min="1" max="1" width="11.77734375" style="425" bestFit="1" customWidth="1"/>
    <col min="2" max="2" width="54" style="425" customWidth="1"/>
    <col min="3" max="3" width="20.21875" style="425" customWidth="1"/>
    <col min="4" max="4" width="22.21875" style="425" customWidth="1"/>
    <col min="5" max="7" width="17.109375" style="425" customWidth="1"/>
    <col min="8" max="8" width="22.21875" style="425" customWidth="1"/>
    <col min="9" max="10" width="17.109375" style="425" customWidth="1"/>
    <col min="11" max="12" width="22.21875" style="425" customWidth="1"/>
    <col min="13" max="22" width="13.6640625" style="425" customWidth="1"/>
    <col min="23" max="27" width="22.21875" style="425" customWidth="1"/>
    <col min="28" max="16384" width="9.21875" style="425"/>
  </cols>
  <sheetData>
    <row r="1" spans="1:27" ht="13.8">
      <c r="A1" s="352" t="s">
        <v>109</v>
      </c>
      <c r="B1" s="291" t="str">
        <f>Info!C2</f>
        <v>სს " პაშა ბანკი საქართველო"</v>
      </c>
    </row>
    <row r="2" spans="1:27">
      <c r="A2" s="352" t="s">
        <v>110</v>
      </c>
      <c r="B2" s="355">
        <f>'1. key ratios'!B2</f>
        <v>45016</v>
      </c>
    </row>
    <row r="3" spans="1:27">
      <c r="A3" s="354" t="s">
        <v>572</v>
      </c>
      <c r="C3" s="427"/>
    </row>
    <row r="4" spans="1:27" ht="12.6" thickBot="1">
      <c r="A4" s="354"/>
      <c r="B4" s="427"/>
      <c r="C4" s="427"/>
    </row>
    <row r="5" spans="1:27" ht="13.5" customHeight="1">
      <c r="A5" s="850" t="s">
        <v>902</v>
      </c>
      <c r="B5" s="851"/>
      <c r="C5" s="847" t="s">
        <v>573</v>
      </c>
      <c r="D5" s="848"/>
      <c r="E5" s="848"/>
      <c r="F5" s="848"/>
      <c r="G5" s="848"/>
      <c r="H5" s="848"/>
      <c r="I5" s="848"/>
      <c r="J5" s="848"/>
      <c r="K5" s="848"/>
      <c r="L5" s="848"/>
      <c r="M5" s="848"/>
      <c r="N5" s="848"/>
      <c r="O5" s="848"/>
      <c r="P5" s="848"/>
      <c r="Q5" s="848"/>
      <c r="R5" s="848"/>
      <c r="S5" s="848"/>
      <c r="T5" s="848"/>
      <c r="U5" s="848"/>
      <c r="V5" s="848"/>
      <c r="W5" s="848"/>
      <c r="X5" s="848"/>
      <c r="Y5" s="848"/>
      <c r="Z5" s="848"/>
      <c r="AA5" s="849"/>
    </row>
    <row r="6" spans="1:27" ht="12" customHeight="1">
      <c r="A6" s="852"/>
      <c r="B6" s="853"/>
      <c r="C6" s="856" t="s">
        <v>67</v>
      </c>
      <c r="D6" s="821" t="s">
        <v>893</v>
      </c>
      <c r="E6" s="821"/>
      <c r="F6" s="821"/>
      <c r="G6" s="821"/>
      <c r="H6" s="842" t="s">
        <v>892</v>
      </c>
      <c r="I6" s="843"/>
      <c r="J6" s="843"/>
      <c r="K6" s="843"/>
      <c r="L6" s="448"/>
      <c r="M6" s="825" t="s">
        <v>891</v>
      </c>
      <c r="N6" s="825"/>
      <c r="O6" s="825"/>
      <c r="P6" s="825"/>
      <c r="Q6" s="825"/>
      <c r="R6" s="825"/>
      <c r="S6" s="823"/>
      <c r="T6" s="448"/>
      <c r="U6" s="825" t="s">
        <v>890</v>
      </c>
      <c r="V6" s="825"/>
      <c r="W6" s="825"/>
      <c r="X6" s="825"/>
      <c r="Y6" s="825"/>
      <c r="Z6" s="825"/>
      <c r="AA6" s="846"/>
    </row>
    <row r="7" spans="1:27" ht="36">
      <c r="A7" s="854"/>
      <c r="B7" s="855"/>
      <c r="C7" s="857"/>
      <c r="D7" s="446"/>
      <c r="E7" s="422" t="s">
        <v>562</v>
      </c>
      <c r="F7" s="422" t="s">
        <v>888</v>
      </c>
      <c r="G7" s="422" t="s">
        <v>889</v>
      </c>
      <c r="H7" s="426"/>
      <c r="I7" s="422" t="s">
        <v>562</v>
      </c>
      <c r="J7" s="422" t="s">
        <v>888</v>
      </c>
      <c r="K7" s="422" t="s">
        <v>889</v>
      </c>
      <c r="L7" s="444"/>
      <c r="M7" s="422" t="s">
        <v>562</v>
      </c>
      <c r="N7" s="422" t="s">
        <v>901</v>
      </c>
      <c r="O7" s="422" t="s">
        <v>900</v>
      </c>
      <c r="P7" s="422" t="s">
        <v>899</v>
      </c>
      <c r="Q7" s="422" t="s">
        <v>898</v>
      </c>
      <c r="R7" s="422" t="s">
        <v>897</v>
      </c>
      <c r="S7" s="422" t="s">
        <v>883</v>
      </c>
      <c r="T7" s="444"/>
      <c r="U7" s="422" t="s">
        <v>562</v>
      </c>
      <c r="V7" s="422" t="s">
        <v>901</v>
      </c>
      <c r="W7" s="422" t="s">
        <v>900</v>
      </c>
      <c r="X7" s="422" t="s">
        <v>899</v>
      </c>
      <c r="Y7" s="422" t="s">
        <v>898</v>
      </c>
      <c r="Z7" s="422" t="s">
        <v>897</v>
      </c>
      <c r="AA7" s="422" t="s">
        <v>883</v>
      </c>
    </row>
    <row r="8" spans="1:27">
      <c r="A8" s="477">
        <v>1</v>
      </c>
      <c r="B8" s="476" t="s">
        <v>563</v>
      </c>
      <c r="C8" s="564">
        <v>338174384.34899998</v>
      </c>
      <c r="D8" s="415">
        <v>280684081.9928</v>
      </c>
      <c r="E8" s="415">
        <v>5403347.0082</v>
      </c>
      <c r="F8" s="415">
        <v>7242773.3624999998</v>
      </c>
      <c r="G8" s="415">
        <v>3055.3317999999999</v>
      </c>
      <c r="H8" s="415">
        <v>27299028.435800001</v>
      </c>
      <c r="I8" s="415">
        <v>52161.55</v>
      </c>
      <c r="J8" s="415">
        <v>7360785.8125999998</v>
      </c>
      <c r="K8" s="415">
        <v>0</v>
      </c>
      <c r="L8" s="929">
        <f>30191273.9204-T8</f>
        <v>27934639.925900001</v>
      </c>
      <c r="M8" s="415">
        <v>2525370.2752</v>
      </c>
      <c r="N8" s="415">
        <v>37971</v>
      </c>
      <c r="O8" s="415">
        <v>1925433.2514</v>
      </c>
      <c r="P8" s="415">
        <v>14637890.544</v>
      </c>
      <c r="Q8" s="415">
        <v>4161473.7902000002</v>
      </c>
      <c r="R8" s="415">
        <v>4182894.4978</v>
      </c>
      <c r="S8" s="415">
        <v>0</v>
      </c>
      <c r="T8" s="415">
        <v>2256633.9945</v>
      </c>
      <c r="U8" s="415">
        <v>0</v>
      </c>
      <c r="V8" s="415">
        <v>0</v>
      </c>
      <c r="W8" s="415">
        <v>0</v>
      </c>
      <c r="X8" s="415">
        <v>0</v>
      </c>
      <c r="Y8" s="415">
        <v>0</v>
      </c>
      <c r="Z8" s="415">
        <v>0</v>
      </c>
      <c r="AA8" s="456">
        <v>0</v>
      </c>
    </row>
    <row r="9" spans="1:27">
      <c r="A9" s="470">
        <v>1.1000000000000001</v>
      </c>
      <c r="B9" s="475" t="s">
        <v>574</v>
      </c>
      <c r="C9" s="565">
        <v>265601924.04719999</v>
      </c>
      <c r="D9" s="415">
        <v>213588429.34099999</v>
      </c>
      <c r="E9" s="415">
        <v>3948247.5882000001</v>
      </c>
      <c r="F9" s="415">
        <v>7242773.3624999998</v>
      </c>
      <c r="G9" s="415">
        <v>0</v>
      </c>
      <c r="H9" s="415">
        <v>25363769.265799999</v>
      </c>
      <c r="I9" s="415">
        <v>0</v>
      </c>
      <c r="J9" s="415">
        <v>5737489.5225999998</v>
      </c>
      <c r="K9" s="415">
        <v>0</v>
      </c>
      <c r="L9" s="929">
        <f>26649725.4404-T9</f>
        <v>24393091.445900001</v>
      </c>
      <c r="M9" s="415">
        <v>2444376.5052</v>
      </c>
      <c r="N9" s="415">
        <v>0</v>
      </c>
      <c r="O9" s="415">
        <v>255782.76139999999</v>
      </c>
      <c r="P9" s="415">
        <v>13115468.424000001</v>
      </c>
      <c r="Q9" s="415">
        <v>4110238.9501999998</v>
      </c>
      <c r="R9" s="415">
        <v>4182894.4978</v>
      </c>
      <c r="S9" s="415">
        <v>0</v>
      </c>
      <c r="T9" s="415">
        <v>2256633.9945</v>
      </c>
      <c r="U9" s="415">
        <v>0</v>
      </c>
      <c r="V9" s="415">
        <v>0</v>
      </c>
      <c r="W9" s="415">
        <v>0</v>
      </c>
      <c r="X9" s="415">
        <v>0</v>
      </c>
      <c r="Y9" s="415">
        <v>0</v>
      </c>
      <c r="Z9" s="415">
        <v>0</v>
      </c>
      <c r="AA9" s="456">
        <v>0</v>
      </c>
    </row>
    <row r="10" spans="1:27">
      <c r="A10" s="473" t="s">
        <v>158</v>
      </c>
      <c r="B10" s="474" t="s">
        <v>575</v>
      </c>
      <c r="C10" s="566">
        <v>206392134.87799999</v>
      </c>
      <c r="D10" s="415">
        <v>155330227.14179999</v>
      </c>
      <c r="E10" s="415">
        <v>219795.5153</v>
      </c>
      <c r="F10" s="415">
        <v>7242773.3624999998</v>
      </c>
      <c r="G10" s="415">
        <v>0</v>
      </c>
      <c r="H10" s="415">
        <v>24565806.2958</v>
      </c>
      <c r="I10" s="415">
        <v>0</v>
      </c>
      <c r="J10" s="415">
        <v>4939526.5526000001</v>
      </c>
      <c r="K10" s="415">
        <v>0</v>
      </c>
      <c r="L10" s="929">
        <f>26496101.4404-T10</f>
        <v>24239467.445900001</v>
      </c>
      <c r="M10" s="415">
        <v>2444376.5052</v>
      </c>
      <c r="N10" s="415">
        <v>0</v>
      </c>
      <c r="O10" s="415">
        <v>255782.76139999999</v>
      </c>
      <c r="P10" s="415">
        <v>13115468.424000001</v>
      </c>
      <c r="Q10" s="415">
        <v>3956614.9501999998</v>
      </c>
      <c r="R10" s="415">
        <v>4182894.4978</v>
      </c>
      <c r="S10" s="415">
        <v>0</v>
      </c>
      <c r="T10" s="415">
        <v>2256633.9945</v>
      </c>
      <c r="U10" s="415">
        <v>0</v>
      </c>
      <c r="V10" s="415">
        <v>0</v>
      </c>
      <c r="W10" s="415">
        <v>0</v>
      </c>
      <c r="X10" s="415">
        <v>0</v>
      </c>
      <c r="Y10" s="415">
        <v>0</v>
      </c>
      <c r="Z10" s="415">
        <v>0</v>
      </c>
      <c r="AA10" s="456">
        <v>0</v>
      </c>
    </row>
    <row r="11" spans="1:27">
      <c r="A11" s="471" t="s">
        <v>576</v>
      </c>
      <c r="B11" s="472" t="s">
        <v>577</v>
      </c>
      <c r="C11" s="563">
        <v>108127828.5106</v>
      </c>
      <c r="D11" s="415">
        <v>81337961.331400007</v>
      </c>
      <c r="E11" s="415">
        <v>0</v>
      </c>
      <c r="F11" s="415">
        <v>0</v>
      </c>
      <c r="G11" s="415">
        <v>0</v>
      </c>
      <c r="H11" s="415">
        <v>20783943.881099999</v>
      </c>
      <c r="I11" s="415">
        <v>0</v>
      </c>
      <c r="J11" s="415">
        <v>4408632.1309000002</v>
      </c>
      <c r="K11" s="415">
        <v>0</v>
      </c>
      <c r="L11" s="929">
        <v>6005923.2981000002</v>
      </c>
      <c r="M11" s="415">
        <v>2287312.5484000002</v>
      </c>
      <c r="N11" s="415">
        <v>0</v>
      </c>
      <c r="O11" s="415">
        <v>0</v>
      </c>
      <c r="P11" s="415">
        <v>0</v>
      </c>
      <c r="Q11" s="415">
        <v>3528071.2768000001</v>
      </c>
      <c r="R11" s="415">
        <v>0</v>
      </c>
      <c r="S11" s="415">
        <v>0</v>
      </c>
      <c r="T11" s="415">
        <v>0</v>
      </c>
      <c r="U11" s="415">
        <v>0</v>
      </c>
      <c r="V11" s="415">
        <v>0</v>
      </c>
      <c r="W11" s="415">
        <v>0</v>
      </c>
      <c r="X11" s="415">
        <v>0</v>
      </c>
      <c r="Y11" s="415">
        <v>0</v>
      </c>
      <c r="Z11" s="415">
        <v>0</v>
      </c>
      <c r="AA11" s="456">
        <v>0</v>
      </c>
    </row>
    <row r="12" spans="1:27">
      <c r="A12" s="471" t="s">
        <v>578</v>
      </c>
      <c r="B12" s="472" t="s">
        <v>579</v>
      </c>
      <c r="C12" s="563">
        <v>13688617.692199999</v>
      </c>
      <c r="D12" s="415">
        <v>12712230.578199999</v>
      </c>
      <c r="E12" s="415">
        <v>220327.95050000001</v>
      </c>
      <c r="F12" s="415">
        <v>0</v>
      </c>
      <c r="G12" s="415">
        <v>0</v>
      </c>
      <c r="H12" s="415">
        <v>814612.12719999999</v>
      </c>
      <c r="I12" s="415">
        <v>0</v>
      </c>
      <c r="J12" s="415">
        <v>0</v>
      </c>
      <c r="K12" s="415">
        <v>0</v>
      </c>
      <c r="L12" s="929">
        <v>161774.98680000001</v>
      </c>
      <c r="M12" s="415">
        <v>161774.98680000001</v>
      </c>
      <c r="N12" s="415">
        <v>0</v>
      </c>
      <c r="O12" s="415">
        <v>0</v>
      </c>
      <c r="P12" s="415">
        <v>0</v>
      </c>
      <c r="Q12" s="415">
        <v>0</v>
      </c>
      <c r="R12" s="415">
        <v>0</v>
      </c>
      <c r="S12" s="415">
        <v>0</v>
      </c>
      <c r="T12" s="415">
        <v>0</v>
      </c>
      <c r="U12" s="415">
        <v>0</v>
      </c>
      <c r="V12" s="415">
        <v>0</v>
      </c>
      <c r="W12" s="415">
        <v>0</v>
      </c>
      <c r="X12" s="415">
        <v>0</v>
      </c>
      <c r="Y12" s="415">
        <v>0</v>
      </c>
      <c r="Z12" s="415">
        <v>0</v>
      </c>
      <c r="AA12" s="456">
        <v>0</v>
      </c>
    </row>
    <row r="13" spans="1:27">
      <c r="A13" s="471" t="s">
        <v>580</v>
      </c>
      <c r="B13" s="472" t="s">
        <v>581</v>
      </c>
      <c r="C13" s="563">
        <v>31312728.774900001</v>
      </c>
      <c r="D13" s="415">
        <v>13313182.4189</v>
      </c>
      <c r="E13" s="415">
        <v>0</v>
      </c>
      <c r="F13" s="415">
        <v>7242773.3624999998</v>
      </c>
      <c r="G13" s="415">
        <v>0</v>
      </c>
      <c r="H13" s="415">
        <v>0</v>
      </c>
      <c r="I13" s="415">
        <v>0</v>
      </c>
      <c r="J13" s="415">
        <v>0</v>
      </c>
      <c r="K13" s="415">
        <v>0</v>
      </c>
      <c r="L13" s="929">
        <v>17999546.355999999</v>
      </c>
      <c r="M13" s="415">
        <v>0</v>
      </c>
      <c r="N13" s="415">
        <v>0</v>
      </c>
      <c r="O13" s="415">
        <v>261535.66390000001</v>
      </c>
      <c r="P13" s="415">
        <v>13118739.844000001</v>
      </c>
      <c r="Q13" s="415">
        <v>433376.50449999998</v>
      </c>
      <c r="R13" s="415">
        <v>4185894.3435999998</v>
      </c>
      <c r="S13" s="415">
        <v>0</v>
      </c>
      <c r="T13" s="415">
        <v>0</v>
      </c>
      <c r="U13" s="415">
        <v>0</v>
      </c>
      <c r="V13" s="415">
        <v>0</v>
      </c>
      <c r="W13" s="415">
        <v>0</v>
      </c>
      <c r="X13" s="415">
        <v>0</v>
      </c>
      <c r="Y13" s="415">
        <v>0</v>
      </c>
      <c r="Z13" s="415">
        <v>0</v>
      </c>
      <c r="AA13" s="456">
        <v>0</v>
      </c>
    </row>
    <row r="14" spans="1:27">
      <c r="A14" s="471" t="s">
        <v>582</v>
      </c>
      <c r="B14" s="472" t="s">
        <v>583</v>
      </c>
      <c r="C14" s="563">
        <v>53535239.103</v>
      </c>
      <c r="D14" s="415">
        <v>48199509.319399998</v>
      </c>
      <c r="E14" s="415">
        <v>0</v>
      </c>
      <c r="F14" s="415">
        <v>0</v>
      </c>
      <c r="G14" s="415">
        <v>0</v>
      </c>
      <c r="H14" s="415">
        <v>2985135.0210000002</v>
      </c>
      <c r="I14" s="415">
        <v>0</v>
      </c>
      <c r="J14" s="415">
        <v>537597.76029999997</v>
      </c>
      <c r="K14" s="415">
        <v>0</v>
      </c>
      <c r="L14" s="929">
        <f>2350594.7626-T14</f>
        <v>93960.768099999987</v>
      </c>
      <c r="M14" s="415">
        <v>0</v>
      </c>
      <c r="N14" s="415">
        <v>0</v>
      </c>
      <c r="O14" s="415">
        <v>0</v>
      </c>
      <c r="P14" s="415">
        <v>0</v>
      </c>
      <c r="Q14" s="415">
        <v>0</v>
      </c>
      <c r="R14" s="415">
        <v>0</v>
      </c>
      <c r="S14" s="415">
        <v>0</v>
      </c>
      <c r="T14" s="415">
        <v>2256633.9945</v>
      </c>
      <c r="U14" s="415">
        <v>0</v>
      </c>
      <c r="V14" s="415">
        <v>0</v>
      </c>
      <c r="W14" s="415">
        <v>0</v>
      </c>
      <c r="X14" s="415">
        <v>0</v>
      </c>
      <c r="Y14" s="415">
        <v>0</v>
      </c>
      <c r="Z14" s="415">
        <v>0</v>
      </c>
      <c r="AA14" s="456">
        <v>0</v>
      </c>
    </row>
    <row r="15" spans="1:27">
      <c r="A15" s="567" t="s">
        <v>366</v>
      </c>
      <c r="B15" s="469" t="s">
        <v>896</v>
      </c>
      <c r="C15" s="568">
        <v>10272328.3616</v>
      </c>
      <c r="D15" s="415">
        <v>1650353.0205999999</v>
      </c>
      <c r="E15" s="415">
        <v>8488.3161</v>
      </c>
      <c r="F15" s="415">
        <v>39850.296699999999</v>
      </c>
      <c r="G15" s="415">
        <v>0</v>
      </c>
      <c r="H15" s="415">
        <v>543925.76470000006</v>
      </c>
      <c r="I15" s="415">
        <v>0</v>
      </c>
      <c r="J15" s="415">
        <v>92535.555500000002</v>
      </c>
      <c r="K15" s="415">
        <v>0</v>
      </c>
      <c r="L15" s="929">
        <f>8078049.5763-T15</f>
        <v>6702155.6439999994</v>
      </c>
      <c r="M15" s="415">
        <v>781997.86849999998</v>
      </c>
      <c r="N15" s="415">
        <v>0</v>
      </c>
      <c r="O15" s="415">
        <v>91624.516199999998</v>
      </c>
      <c r="P15" s="415">
        <v>4539881.8513000002</v>
      </c>
      <c r="Q15" s="415">
        <v>585359.08779999998</v>
      </c>
      <c r="R15" s="415">
        <v>611064.17579999997</v>
      </c>
      <c r="S15" s="415">
        <v>0</v>
      </c>
      <c r="T15" s="415">
        <v>1375893.9323</v>
      </c>
      <c r="U15" s="415">
        <v>0</v>
      </c>
      <c r="V15" s="415">
        <v>0</v>
      </c>
      <c r="W15" s="415">
        <v>0</v>
      </c>
      <c r="X15" s="415">
        <v>0</v>
      </c>
      <c r="Y15" s="415">
        <v>0</v>
      </c>
      <c r="Z15" s="415">
        <v>0</v>
      </c>
      <c r="AA15" s="456">
        <v>0</v>
      </c>
    </row>
    <row r="16" spans="1:27">
      <c r="A16" s="470">
        <v>1.3</v>
      </c>
      <c r="B16" s="469" t="s">
        <v>584</v>
      </c>
      <c r="C16" s="468" t="s">
        <v>961</v>
      </c>
      <c r="D16" s="467" t="s">
        <v>961</v>
      </c>
      <c r="E16" s="467" t="s">
        <v>961</v>
      </c>
      <c r="F16" s="467" t="s">
        <v>961</v>
      </c>
      <c r="G16" s="467" t="s">
        <v>961</v>
      </c>
      <c r="H16" s="467" t="s">
        <v>961</v>
      </c>
      <c r="I16" s="467" t="s">
        <v>961</v>
      </c>
      <c r="J16" s="467" t="s">
        <v>961</v>
      </c>
      <c r="K16" s="467" t="s">
        <v>961</v>
      </c>
      <c r="L16" s="467" t="s">
        <v>961</v>
      </c>
      <c r="M16" s="467" t="s">
        <v>961</v>
      </c>
      <c r="N16" s="467" t="s">
        <v>961</v>
      </c>
      <c r="O16" s="467" t="s">
        <v>961</v>
      </c>
      <c r="P16" s="467" t="s">
        <v>961</v>
      </c>
      <c r="Q16" s="467" t="s">
        <v>961</v>
      </c>
      <c r="R16" s="467" t="s">
        <v>961</v>
      </c>
      <c r="S16" s="467" t="s">
        <v>961</v>
      </c>
      <c r="T16" s="467"/>
      <c r="U16" s="467"/>
      <c r="V16" s="467"/>
      <c r="W16" s="467"/>
      <c r="X16" s="467"/>
      <c r="Y16" s="467"/>
      <c r="Z16" s="467"/>
      <c r="AA16" s="466"/>
    </row>
    <row r="17" spans="1:27" ht="36">
      <c r="A17" s="462" t="s">
        <v>585</v>
      </c>
      <c r="B17" s="465" t="s">
        <v>586</v>
      </c>
      <c r="C17" s="464">
        <v>192539180.8626</v>
      </c>
      <c r="D17" s="415">
        <v>145568396.17230001</v>
      </c>
      <c r="E17" s="415">
        <v>951970.41819999996</v>
      </c>
      <c r="F17" s="415">
        <v>7242773.3624999998</v>
      </c>
      <c r="G17" s="415">
        <v>0</v>
      </c>
      <c r="H17" s="415">
        <v>22601947.345600002</v>
      </c>
      <c r="I17" s="415">
        <v>0</v>
      </c>
      <c r="J17" s="415">
        <v>4823575.7774999999</v>
      </c>
      <c r="K17" s="415">
        <v>0</v>
      </c>
      <c r="L17" s="929">
        <f>22293594.4355-T17</f>
        <v>22293591.875099998</v>
      </c>
      <c r="M17" s="415">
        <v>2430867.3009000001</v>
      </c>
      <c r="N17" s="415">
        <v>0</v>
      </c>
      <c r="O17" s="415">
        <v>253036.49859999999</v>
      </c>
      <c r="P17" s="415">
        <v>12302134.287900001</v>
      </c>
      <c r="Q17" s="415">
        <v>3525138.6269999999</v>
      </c>
      <c r="R17" s="415">
        <v>3520157.6326000001</v>
      </c>
      <c r="S17" s="415">
        <v>0</v>
      </c>
      <c r="T17" s="415">
        <v>2.5604</v>
      </c>
      <c r="U17" s="415">
        <v>0</v>
      </c>
      <c r="V17" s="415">
        <v>0</v>
      </c>
      <c r="W17" s="415">
        <v>0</v>
      </c>
      <c r="X17" s="415">
        <v>0</v>
      </c>
      <c r="Y17" s="415">
        <v>0</v>
      </c>
      <c r="Z17" s="415">
        <v>0</v>
      </c>
      <c r="AA17" s="456">
        <v>0</v>
      </c>
    </row>
    <row r="18" spans="1:27" ht="36">
      <c r="A18" s="460" t="s">
        <v>587</v>
      </c>
      <c r="B18" s="461" t="s">
        <v>588</v>
      </c>
      <c r="C18" s="460">
        <v>191807005.95969999</v>
      </c>
      <c r="D18" s="415">
        <v>144836221.2694</v>
      </c>
      <c r="E18" s="415">
        <v>219795.5153</v>
      </c>
      <c r="F18" s="415">
        <v>7242773.3624999998</v>
      </c>
      <c r="G18" s="415">
        <v>0</v>
      </c>
      <c r="H18" s="415">
        <v>22601947.345600002</v>
      </c>
      <c r="I18" s="415">
        <v>0</v>
      </c>
      <c r="J18" s="415">
        <v>4823575.7774999999</v>
      </c>
      <c r="K18" s="415">
        <v>0</v>
      </c>
      <c r="L18" s="929">
        <f>22293594.4355-T18</f>
        <v>22293591.875099998</v>
      </c>
      <c r="M18" s="415">
        <v>2430867.3009000001</v>
      </c>
      <c r="N18" s="415">
        <v>0</v>
      </c>
      <c r="O18" s="415">
        <v>253036.49859999999</v>
      </c>
      <c r="P18" s="415">
        <v>12302134.287900001</v>
      </c>
      <c r="Q18" s="415">
        <v>3525138.6269999999</v>
      </c>
      <c r="R18" s="415">
        <v>3520157.6326000001</v>
      </c>
      <c r="S18" s="415">
        <v>0</v>
      </c>
      <c r="T18" s="415">
        <v>2.5604</v>
      </c>
      <c r="U18" s="415">
        <v>0</v>
      </c>
      <c r="V18" s="415">
        <v>0</v>
      </c>
      <c r="W18" s="415">
        <v>0</v>
      </c>
      <c r="X18" s="415">
        <v>0</v>
      </c>
      <c r="Y18" s="415">
        <v>0</v>
      </c>
      <c r="Z18" s="415">
        <v>0</v>
      </c>
      <c r="AA18" s="456">
        <v>0</v>
      </c>
    </row>
    <row r="19" spans="1:27" ht="24">
      <c r="A19" s="462" t="s">
        <v>589</v>
      </c>
      <c r="B19" s="463" t="s">
        <v>590</v>
      </c>
      <c r="C19" s="462">
        <v>206514715.58629999</v>
      </c>
      <c r="D19" s="415">
        <v>159555405.52919999</v>
      </c>
      <c r="E19" s="415">
        <v>1744379.2612000001</v>
      </c>
      <c r="F19" s="415">
        <v>1108467.9550999999</v>
      </c>
      <c r="G19" s="415">
        <v>0</v>
      </c>
      <c r="H19" s="415">
        <v>38440549.5559</v>
      </c>
      <c r="I19" s="415">
        <v>0</v>
      </c>
      <c r="J19" s="415">
        <v>9123624.5702999998</v>
      </c>
      <c r="K19" s="415">
        <v>0</v>
      </c>
      <c r="L19" s="415">
        <v>8518760.5011999998</v>
      </c>
      <c r="M19" s="415">
        <v>1482498.4502999999</v>
      </c>
      <c r="N19" s="415">
        <v>0</v>
      </c>
      <c r="O19" s="415">
        <v>22684.813600000001</v>
      </c>
      <c r="P19" s="415">
        <v>754165.01430000004</v>
      </c>
      <c r="Q19" s="415">
        <v>5771865.7435999997</v>
      </c>
      <c r="R19" s="415">
        <v>247938.75229999999</v>
      </c>
      <c r="S19" s="415">
        <v>0</v>
      </c>
      <c r="T19" s="415">
        <v>0</v>
      </c>
      <c r="U19" s="415">
        <v>0</v>
      </c>
      <c r="V19" s="415">
        <v>0</v>
      </c>
      <c r="W19" s="415">
        <v>0</v>
      </c>
      <c r="X19" s="415">
        <v>0</v>
      </c>
      <c r="Y19" s="415">
        <v>0</v>
      </c>
      <c r="Z19" s="415">
        <v>0</v>
      </c>
      <c r="AA19" s="456">
        <v>0</v>
      </c>
    </row>
    <row r="20" spans="1:27" ht="24">
      <c r="A20" s="460" t="s">
        <v>591</v>
      </c>
      <c r="B20" s="461" t="s">
        <v>592</v>
      </c>
      <c r="C20" s="460">
        <v>186219096.03209999</v>
      </c>
      <c r="D20" s="415">
        <v>139820115.2911</v>
      </c>
      <c r="E20" s="415">
        <v>44174.164100000002</v>
      </c>
      <c r="F20" s="415">
        <v>1108465.3947000001</v>
      </c>
      <c r="G20" s="415">
        <v>0</v>
      </c>
      <c r="H20" s="415">
        <v>37880220.239799999</v>
      </c>
      <c r="I20" s="415">
        <v>0</v>
      </c>
      <c r="J20" s="415">
        <v>8737488.4170999993</v>
      </c>
      <c r="K20" s="415">
        <v>0</v>
      </c>
      <c r="L20" s="415">
        <v>8518760.5011999998</v>
      </c>
      <c r="M20" s="415">
        <v>1482498.4502999999</v>
      </c>
      <c r="N20" s="415">
        <v>0</v>
      </c>
      <c r="O20" s="415">
        <v>22684.813600000001</v>
      </c>
      <c r="P20" s="415">
        <v>754165.01430000004</v>
      </c>
      <c r="Q20" s="415">
        <v>5771865.7435999997</v>
      </c>
      <c r="R20" s="415">
        <v>247938.75229999999</v>
      </c>
      <c r="S20" s="415">
        <v>0</v>
      </c>
      <c r="T20" s="415">
        <v>0</v>
      </c>
      <c r="U20" s="415">
        <v>0</v>
      </c>
      <c r="V20" s="415">
        <v>0</v>
      </c>
      <c r="W20" s="415">
        <v>0</v>
      </c>
      <c r="X20" s="415">
        <v>0</v>
      </c>
      <c r="Y20" s="415">
        <v>0</v>
      </c>
      <c r="Z20" s="415">
        <v>0</v>
      </c>
      <c r="AA20" s="456">
        <v>0</v>
      </c>
    </row>
    <row r="21" spans="1:27" ht="24">
      <c r="A21" s="459">
        <v>1.4</v>
      </c>
      <c r="B21" s="458" t="s">
        <v>681</v>
      </c>
      <c r="C21" s="457" t="s">
        <v>961</v>
      </c>
      <c r="D21" s="415" t="s">
        <v>961</v>
      </c>
      <c r="E21" s="415" t="s">
        <v>961</v>
      </c>
      <c r="F21" s="415" t="s">
        <v>961</v>
      </c>
      <c r="G21" s="415" t="s">
        <v>961</v>
      </c>
      <c r="H21" s="415" t="s">
        <v>961</v>
      </c>
      <c r="I21" s="415" t="s">
        <v>961</v>
      </c>
      <c r="J21" s="415" t="s">
        <v>961</v>
      </c>
      <c r="K21" s="415" t="s">
        <v>961</v>
      </c>
      <c r="L21" s="415" t="s">
        <v>961</v>
      </c>
      <c r="M21" s="415" t="s">
        <v>961</v>
      </c>
      <c r="N21" s="415" t="s">
        <v>961</v>
      </c>
      <c r="O21" s="415" t="s">
        <v>961</v>
      </c>
      <c r="P21" s="415" t="s">
        <v>961</v>
      </c>
      <c r="Q21" s="415" t="s">
        <v>961</v>
      </c>
      <c r="R21" s="415" t="s">
        <v>961</v>
      </c>
      <c r="S21" s="415" t="s">
        <v>961</v>
      </c>
      <c r="T21" s="415" t="s">
        <v>961</v>
      </c>
      <c r="U21" s="415" t="s">
        <v>961</v>
      </c>
      <c r="V21" s="415" t="s">
        <v>961</v>
      </c>
      <c r="W21" s="415" t="s">
        <v>961</v>
      </c>
      <c r="X21" s="415" t="s">
        <v>961</v>
      </c>
      <c r="Y21" s="415" t="s">
        <v>961</v>
      </c>
      <c r="Z21" s="415" t="s">
        <v>961</v>
      </c>
      <c r="AA21" s="456" t="s">
        <v>961</v>
      </c>
    </row>
    <row r="22" spans="1:27" ht="24.6" thickBot="1">
      <c r="A22" s="455">
        <v>1.5</v>
      </c>
      <c r="B22" s="454" t="s">
        <v>682</v>
      </c>
      <c r="C22" s="453">
        <v>0</v>
      </c>
      <c r="D22" s="452">
        <v>0</v>
      </c>
      <c r="E22" s="452">
        <v>0</v>
      </c>
      <c r="F22" s="452">
        <v>0</v>
      </c>
      <c r="G22" s="452">
        <v>0</v>
      </c>
      <c r="H22" s="452">
        <v>0</v>
      </c>
      <c r="I22" s="452">
        <v>0</v>
      </c>
      <c r="J22" s="452">
        <v>0</v>
      </c>
      <c r="K22" s="452">
        <v>0</v>
      </c>
      <c r="L22" s="452">
        <v>0</v>
      </c>
      <c r="M22" s="452">
        <v>0</v>
      </c>
      <c r="N22" s="452">
        <v>0</v>
      </c>
      <c r="O22" s="452">
        <v>0</v>
      </c>
      <c r="P22" s="452">
        <v>0</v>
      </c>
      <c r="Q22" s="452">
        <v>0</v>
      </c>
      <c r="R22" s="452">
        <v>0</v>
      </c>
      <c r="S22" s="452">
        <v>0</v>
      </c>
      <c r="T22" s="452">
        <v>0</v>
      </c>
      <c r="U22" s="452">
        <v>0</v>
      </c>
      <c r="V22" s="452">
        <v>0</v>
      </c>
      <c r="W22" s="452">
        <v>0</v>
      </c>
      <c r="X22" s="452">
        <v>0</v>
      </c>
      <c r="Y22" s="452">
        <v>0</v>
      </c>
      <c r="Z22" s="452">
        <v>0</v>
      </c>
      <c r="AA22" s="451">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scale="15"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70" zoomScaleNormal="70" workbookViewId="0"/>
  </sheetViews>
  <sheetFormatPr defaultColWidth="9.21875" defaultRowHeight="12"/>
  <cols>
    <col min="1" max="1" width="11.77734375" style="425" bestFit="1" customWidth="1"/>
    <col min="2" max="2" width="23.77734375" style="425" customWidth="1"/>
    <col min="3" max="3" width="14.6640625" style="425" customWidth="1"/>
    <col min="4" max="5" width="16.109375" style="425" customWidth="1"/>
    <col min="6" max="6" width="16.109375" style="443" customWidth="1"/>
    <col min="7" max="7" width="25.21875" style="443" customWidth="1"/>
    <col min="8" max="8" width="16.109375" style="425" customWidth="1"/>
    <col min="9" max="11" width="16.109375" style="443" customWidth="1"/>
    <col min="12" max="12" width="26.21875" style="443" customWidth="1"/>
    <col min="13" max="16384" width="9.21875" style="425"/>
  </cols>
  <sheetData>
    <row r="1" spans="1:12" ht="13.8">
      <c r="A1" s="352" t="s">
        <v>109</v>
      </c>
      <c r="B1" s="291" t="str">
        <f>Info!C2</f>
        <v>სს " პაშა ბანკი საქართველო"</v>
      </c>
      <c r="F1" s="425"/>
      <c r="G1" s="425"/>
      <c r="I1" s="425"/>
      <c r="J1" s="425"/>
      <c r="K1" s="425"/>
      <c r="L1" s="425"/>
    </row>
    <row r="2" spans="1:12">
      <c r="A2" s="352" t="s">
        <v>110</v>
      </c>
      <c r="B2" s="355">
        <f>'1. key ratios'!B2</f>
        <v>45016</v>
      </c>
      <c r="F2" s="425"/>
      <c r="G2" s="425"/>
      <c r="I2" s="425"/>
      <c r="J2" s="425"/>
      <c r="K2" s="425"/>
      <c r="L2" s="425"/>
    </row>
    <row r="3" spans="1:12">
      <c r="A3" s="354" t="s">
        <v>595</v>
      </c>
      <c r="F3" s="425"/>
      <c r="G3" s="425"/>
      <c r="I3" s="425"/>
      <c r="J3" s="425"/>
      <c r="K3" s="425"/>
      <c r="L3" s="425"/>
    </row>
    <row r="4" spans="1:12">
      <c r="F4" s="425"/>
      <c r="G4" s="425"/>
      <c r="I4" s="425"/>
      <c r="J4" s="425"/>
      <c r="K4" s="425"/>
      <c r="L4" s="425"/>
    </row>
    <row r="5" spans="1:12" ht="37.5" customHeight="1">
      <c r="A5" s="809" t="s">
        <v>596</v>
      </c>
      <c r="B5" s="810"/>
      <c r="C5" s="858" t="s">
        <v>597</v>
      </c>
      <c r="D5" s="859"/>
      <c r="E5" s="859"/>
      <c r="F5" s="859"/>
      <c r="G5" s="859"/>
      <c r="H5" s="858" t="s">
        <v>908</v>
      </c>
      <c r="I5" s="860"/>
      <c r="J5" s="860"/>
      <c r="K5" s="860"/>
      <c r="L5" s="861"/>
    </row>
    <row r="6" spans="1:12" ht="49.05" customHeight="1">
      <c r="A6" s="813"/>
      <c r="B6" s="814"/>
      <c r="C6" s="359"/>
      <c r="D6" s="423" t="s">
        <v>893</v>
      </c>
      <c r="E6" s="423" t="s">
        <v>892</v>
      </c>
      <c r="F6" s="423" t="s">
        <v>891</v>
      </c>
      <c r="G6" s="423" t="s">
        <v>890</v>
      </c>
      <c r="H6" s="444"/>
      <c r="I6" s="423" t="s">
        <v>893</v>
      </c>
      <c r="J6" s="423" t="s">
        <v>892</v>
      </c>
      <c r="K6" s="423" t="s">
        <v>891</v>
      </c>
      <c r="L6" s="423" t="s">
        <v>890</v>
      </c>
    </row>
    <row r="7" spans="1:12">
      <c r="A7" s="415">
        <v>1</v>
      </c>
      <c r="B7" s="428" t="s">
        <v>519</v>
      </c>
      <c r="C7" s="428">
        <v>8593206.8399999999</v>
      </c>
      <c r="D7" s="415">
        <v>7889953.04</v>
      </c>
      <c r="E7" s="415">
        <v>200115.52</v>
      </c>
      <c r="F7" s="422">
        <v>503138.28</v>
      </c>
      <c r="G7" s="422"/>
      <c r="H7" s="415">
        <v>815911.75730000006</v>
      </c>
      <c r="I7" s="422">
        <v>291749.45799999998</v>
      </c>
      <c r="J7" s="422">
        <v>18498.809300000001</v>
      </c>
      <c r="K7" s="422">
        <v>505663.49</v>
      </c>
      <c r="L7" s="422"/>
    </row>
    <row r="8" spans="1:12">
      <c r="A8" s="415">
        <v>2</v>
      </c>
      <c r="B8" s="428" t="s">
        <v>520</v>
      </c>
      <c r="C8" s="428">
        <v>63330729.804799996</v>
      </c>
      <c r="D8" s="415">
        <v>62743542.744800001</v>
      </c>
      <c r="E8" s="415">
        <v>84302.54</v>
      </c>
      <c r="F8" s="422">
        <v>502884.52</v>
      </c>
      <c r="G8" s="422"/>
      <c r="H8" s="415">
        <v>1448685.9783999999</v>
      </c>
      <c r="I8" s="422">
        <v>934259.05960000004</v>
      </c>
      <c r="J8" s="422">
        <v>8891.2487999999994</v>
      </c>
      <c r="K8" s="422">
        <v>505535.67</v>
      </c>
      <c r="L8" s="422"/>
    </row>
    <row r="9" spans="1:12">
      <c r="A9" s="415">
        <v>3</v>
      </c>
      <c r="B9" s="428" t="s">
        <v>869</v>
      </c>
      <c r="C9" s="428">
        <v>17087.740000000002</v>
      </c>
      <c r="D9" s="415">
        <v>17087.740000000002</v>
      </c>
      <c r="E9" s="415"/>
      <c r="F9" s="424">
        <v>0</v>
      </c>
      <c r="G9" s="424"/>
      <c r="H9" s="415">
        <v>818.96609999999998</v>
      </c>
      <c r="I9" s="424">
        <v>818.96609999999998</v>
      </c>
      <c r="J9" s="424"/>
      <c r="K9" s="424">
        <v>0</v>
      </c>
      <c r="L9" s="424"/>
    </row>
    <row r="10" spans="1:12" ht="24">
      <c r="A10" s="415">
        <v>4</v>
      </c>
      <c r="B10" s="428" t="s">
        <v>521</v>
      </c>
      <c r="C10" s="428">
        <v>20220218.3226</v>
      </c>
      <c r="D10" s="415">
        <v>7976036.3635</v>
      </c>
      <c r="E10" s="415">
        <v>11092616.0736</v>
      </c>
      <c r="F10" s="424">
        <v>1151565.8855000001</v>
      </c>
      <c r="G10" s="424"/>
      <c r="H10" s="415">
        <v>169419.56359999999</v>
      </c>
      <c r="I10" s="424">
        <v>19514.735000000001</v>
      </c>
      <c r="J10" s="424">
        <v>35181.047200000001</v>
      </c>
      <c r="K10" s="424">
        <v>114723.78140000001</v>
      </c>
      <c r="L10" s="424"/>
    </row>
    <row r="11" spans="1:12">
      <c r="A11" s="415">
        <v>5</v>
      </c>
      <c r="B11" s="428" t="s">
        <v>522</v>
      </c>
      <c r="C11" s="428">
        <v>44717075.428300001</v>
      </c>
      <c r="D11" s="415">
        <v>43778677.754199997</v>
      </c>
      <c r="E11" s="415">
        <v>929673.99410000001</v>
      </c>
      <c r="F11" s="424">
        <v>8723.68</v>
      </c>
      <c r="G11" s="424"/>
      <c r="H11" s="415">
        <v>112609.0248</v>
      </c>
      <c r="I11" s="424">
        <v>93524.957299999995</v>
      </c>
      <c r="J11" s="424">
        <v>10360.387500000001</v>
      </c>
      <c r="K11" s="424">
        <v>8723.68</v>
      </c>
      <c r="L11" s="424"/>
    </row>
    <row r="12" spans="1:12" ht="24">
      <c r="A12" s="415">
        <v>6</v>
      </c>
      <c r="B12" s="428" t="s">
        <v>523</v>
      </c>
      <c r="C12" s="428">
        <v>3097703.6557</v>
      </c>
      <c r="D12" s="415">
        <v>2118649.1957</v>
      </c>
      <c r="E12" s="415">
        <v>832944.25</v>
      </c>
      <c r="F12" s="424">
        <v>146110.21</v>
      </c>
      <c r="G12" s="424"/>
      <c r="H12" s="415">
        <v>202621.95060000001</v>
      </c>
      <c r="I12" s="424">
        <v>44208.2284</v>
      </c>
      <c r="J12" s="424">
        <v>12009.4822</v>
      </c>
      <c r="K12" s="424">
        <v>146404.24</v>
      </c>
      <c r="L12" s="424"/>
    </row>
    <row r="13" spans="1:12" ht="36">
      <c r="A13" s="415">
        <v>7</v>
      </c>
      <c r="B13" s="428" t="s">
        <v>524</v>
      </c>
      <c r="C13" s="428">
        <v>666391.28700000001</v>
      </c>
      <c r="D13" s="415">
        <v>644906.68999999994</v>
      </c>
      <c r="E13" s="415">
        <v>4681.76</v>
      </c>
      <c r="F13" s="424">
        <v>16802.837</v>
      </c>
      <c r="G13" s="424"/>
      <c r="H13" s="415">
        <v>46324.203600000001</v>
      </c>
      <c r="I13" s="424">
        <v>25721.267899999999</v>
      </c>
      <c r="J13" s="424">
        <v>570.85569999999996</v>
      </c>
      <c r="K13" s="424">
        <v>20032.080000000002</v>
      </c>
      <c r="L13" s="424"/>
    </row>
    <row r="14" spans="1:12" ht="24">
      <c r="A14" s="415">
        <v>8</v>
      </c>
      <c r="B14" s="428" t="s">
        <v>525</v>
      </c>
      <c r="C14" s="428">
        <v>4704720.4868999999</v>
      </c>
      <c r="D14" s="415">
        <v>3053736.0355000002</v>
      </c>
      <c r="E14" s="415">
        <v>1058712.2766</v>
      </c>
      <c r="F14" s="424">
        <v>592272.17480000004</v>
      </c>
      <c r="G14" s="424"/>
      <c r="H14" s="415">
        <v>206542.9627</v>
      </c>
      <c r="I14" s="424">
        <v>33967.606</v>
      </c>
      <c r="J14" s="424">
        <v>10547.6772</v>
      </c>
      <c r="K14" s="424">
        <v>162027.6795</v>
      </c>
      <c r="L14" s="424"/>
    </row>
    <row r="15" spans="1:12" ht="24">
      <c r="A15" s="415">
        <v>9</v>
      </c>
      <c r="B15" s="428" t="s">
        <v>526</v>
      </c>
      <c r="C15" s="428">
        <v>1737403.5027000001</v>
      </c>
      <c r="D15" s="415">
        <v>556827.07609999995</v>
      </c>
      <c r="E15" s="415">
        <v>1036215.0388</v>
      </c>
      <c r="F15" s="424">
        <v>144361.3879</v>
      </c>
      <c r="G15" s="424"/>
      <c r="H15" s="415">
        <v>66052.180300000007</v>
      </c>
      <c r="I15" s="424">
        <v>9375.1522999999997</v>
      </c>
      <c r="J15" s="424">
        <v>16125.971799999999</v>
      </c>
      <c r="K15" s="424">
        <v>40551.056199999999</v>
      </c>
      <c r="L15" s="424"/>
    </row>
    <row r="16" spans="1:12" ht="36">
      <c r="A16" s="415">
        <v>10</v>
      </c>
      <c r="B16" s="428" t="s">
        <v>527</v>
      </c>
      <c r="C16" s="428">
        <v>342282.17839999998</v>
      </c>
      <c r="D16" s="415">
        <v>342282.17839999998</v>
      </c>
      <c r="E16" s="415"/>
      <c r="F16" s="424"/>
      <c r="G16" s="424"/>
      <c r="H16" s="415">
        <v>897.29600000000005</v>
      </c>
      <c r="I16" s="424">
        <v>897.29600000000005</v>
      </c>
      <c r="J16" s="424"/>
      <c r="K16" s="424"/>
      <c r="L16" s="424"/>
    </row>
    <row r="17" spans="1:12" ht="36">
      <c r="A17" s="415">
        <v>11</v>
      </c>
      <c r="B17" s="428" t="s">
        <v>528</v>
      </c>
      <c r="C17" s="428">
        <v>3377573.0274999999</v>
      </c>
      <c r="D17" s="415">
        <v>3377171.8374999999</v>
      </c>
      <c r="E17" s="415">
        <v>401.19</v>
      </c>
      <c r="F17" s="424"/>
      <c r="G17" s="424"/>
      <c r="H17" s="415">
        <v>6618.6696000000002</v>
      </c>
      <c r="I17" s="424">
        <v>6591.3751000000002</v>
      </c>
      <c r="J17" s="424">
        <v>27.294499999999999</v>
      </c>
      <c r="K17" s="424"/>
      <c r="L17" s="424"/>
    </row>
    <row r="18" spans="1:12">
      <c r="A18" s="415">
        <v>12</v>
      </c>
      <c r="B18" s="428" t="s">
        <v>529</v>
      </c>
      <c r="C18" s="428">
        <v>8268290.0214</v>
      </c>
      <c r="D18" s="415">
        <v>7743843.9614000004</v>
      </c>
      <c r="E18" s="415">
        <v>166146.85999999999</v>
      </c>
      <c r="F18" s="424">
        <v>358299.2</v>
      </c>
      <c r="G18" s="424"/>
      <c r="H18" s="415">
        <v>674410.35569999996</v>
      </c>
      <c r="I18" s="424">
        <v>290469.8149</v>
      </c>
      <c r="J18" s="424">
        <v>24064.430799999998</v>
      </c>
      <c r="K18" s="424">
        <v>359876.11</v>
      </c>
      <c r="L18" s="424"/>
    </row>
    <row r="19" spans="1:12">
      <c r="A19" s="415">
        <v>13</v>
      </c>
      <c r="B19" s="428" t="s">
        <v>530</v>
      </c>
      <c r="C19" s="428">
        <v>5372352.1440000003</v>
      </c>
      <c r="D19" s="415">
        <v>4779693.9737</v>
      </c>
      <c r="E19" s="415">
        <v>559815.12029999995</v>
      </c>
      <c r="F19" s="424">
        <v>32843.050000000003</v>
      </c>
      <c r="G19" s="424"/>
      <c r="H19" s="415">
        <v>149052.8008</v>
      </c>
      <c r="I19" s="424">
        <v>86304.356</v>
      </c>
      <c r="J19" s="424">
        <v>29772.074799999999</v>
      </c>
      <c r="K19" s="424">
        <v>32976.370000000003</v>
      </c>
      <c r="L19" s="424"/>
    </row>
    <row r="20" spans="1:12">
      <c r="A20" s="415">
        <v>14</v>
      </c>
      <c r="B20" s="428" t="s">
        <v>531</v>
      </c>
      <c r="C20" s="428">
        <v>36020408.932700001</v>
      </c>
      <c r="D20" s="415">
        <v>15215774.139799999</v>
      </c>
      <c r="E20" s="415">
        <v>9143579.0307999998</v>
      </c>
      <c r="F20" s="424">
        <v>11661055.7622</v>
      </c>
      <c r="G20" s="424"/>
      <c r="H20" s="415">
        <v>4384427.8096000003</v>
      </c>
      <c r="I20" s="424">
        <v>100729.07279999999</v>
      </c>
      <c r="J20" s="424">
        <v>437259.6496</v>
      </c>
      <c r="K20" s="424">
        <v>3846439.0872</v>
      </c>
      <c r="L20" s="424"/>
    </row>
    <row r="21" spans="1:12" ht="36">
      <c r="A21" s="415">
        <v>15</v>
      </c>
      <c r="B21" s="428" t="s">
        <v>532</v>
      </c>
      <c r="C21" s="428">
        <v>11759664.7096</v>
      </c>
      <c r="D21" s="415">
        <v>3375294.6461</v>
      </c>
      <c r="E21" s="415">
        <v>16116.55</v>
      </c>
      <c r="F21" s="424">
        <v>8368253.5135000004</v>
      </c>
      <c r="G21" s="424"/>
      <c r="H21" s="415">
        <v>2316158.1543000001</v>
      </c>
      <c r="I21" s="424">
        <v>30678.561699999998</v>
      </c>
      <c r="J21" s="424">
        <v>4442.5688</v>
      </c>
      <c r="K21" s="424">
        <v>2281037.0238000001</v>
      </c>
      <c r="L21" s="424"/>
    </row>
    <row r="22" spans="1:12">
      <c r="A22" s="415">
        <v>16</v>
      </c>
      <c r="B22" s="428" t="s">
        <v>533</v>
      </c>
      <c r="C22" s="428">
        <v>92169.68</v>
      </c>
      <c r="D22" s="415">
        <v>79261.919999999998</v>
      </c>
      <c r="E22" s="415">
        <v>5846.42</v>
      </c>
      <c r="F22" s="424">
        <v>7061.34</v>
      </c>
      <c r="G22" s="424"/>
      <c r="H22" s="415">
        <v>10451.7873</v>
      </c>
      <c r="I22" s="424">
        <v>2842.2071000000001</v>
      </c>
      <c r="J22" s="424">
        <v>541.53020000000004</v>
      </c>
      <c r="K22" s="424">
        <v>7068.05</v>
      </c>
      <c r="L22" s="424"/>
    </row>
    <row r="23" spans="1:12" ht="36">
      <c r="A23" s="415">
        <v>17</v>
      </c>
      <c r="B23" s="428" t="s">
        <v>534</v>
      </c>
      <c r="C23" s="428">
        <v>20004893.261799999</v>
      </c>
      <c r="D23" s="415">
        <v>19190395.456300002</v>
      </c>
      <c r="E23" s="415">
        <v>814497.80550000002</v>
      </c>
      <c r="F23" s="424"/>
      <c r="G23" s="424"/>
      <c r="H23" s="415">
        <v>73584.081999999995</v>
      </c>
      <c r="I23" s="424">
        <v>61669.955499999996</v>
      </c>
      <c r="J23" s="424">
        <v>11914.1265</v>
      </c>
      <c r="K23" s="424"/>
      <c r="L23" s="424"/>
    </row>
    <row r="24" spans="1:12">
      <c r="A24" s="415">
        <v>18</v>
      </c>
      <c r="B24" s="428" t="s">
        <v>535</v>
      </c>
      <c r="C24" s="428">
        <v>53850465.897</v>
      </c>
      <c r="D24" s="415">
        <v>53791232.806999996</v>
      </c>
      <c r="E24" s="415">
        <v>5176.84</v>
      </c>
      <c r="F24" s="424">
        <v>54056.25</v>
      </c>
      <c r="G24" s="424"/>
      <c r="H24" s="415">
        <v>735860.49399999995</v>
      </c>
      <c r="I24" s="424">
        <v>680593.09680000006</v>
      </c>
      <c r="J24" s="424">
        <v>1201.7172</v>
      </c>
      <c r="K24" s="424">
        <v>54065.68</v>
      </c>
      <c r="L24" s="424"/>
    </row>
    <row r="25" spans="1:12">
      <c r="A25" s="415">
        <v>19</v>
      </c>
      <c r="B25" s="428" t="s">
        <v>536</v>
      </c>
      <c r="C25" s="428">
        <v>323476.68280000001</v>
      </c>
      <c r="D25" s="415">
        <v>319663.3028</v>
      </c>
      <c r="E25" s="415">
        <v>1815.71</v>
      </c>
      <c r="F25" s="424">
        <v>1997.67</v>
      </c>
      <c r="G25" s="424"/>
      <c r="H25" s="415">
        <v>11801.92</v>
      </c>
      <c r="I25" s="424">
        <v>9405.8017</v>
      </c>
      <c r="J25" s="424">
        <v>398.44830000000002</v>
      </c>
      <c r="K25" s="424">
        <v>1997.67</v>
      </c>
      <c r="L25" s="424"/>
    </row>
    <row r="26" spans="1:12">
      <c r="A26" s="415">
        <v>20</v>
      </c>
      <c r="B26" s="428" t="s">
        <v>537</v>
      </c>
      <c r="C26" s="428">
        <v>1790345.25</v>
      </c>
      <c r="D26" s="415">
        <v>1659074.54</v>
      </c>
      <c r="E26" s="415">
        <v>63270.92</v>
      </c>
      <c r="F26" s="424">
        <v>67999.789999999994</v>
      </c>
      <c r="G26" s="424"/>
      <c r="H26" s="415">
        <v>135792.8112</v>
      </c>
      <c r="I26" s="424">
        <v>61791.947200000002</v>
      </c>
      <c r="J26" s="424">
        <v>5973.2740000000003</v>
      </c>
      <c r="K26" s="424">
        <v>68027.59</v>
      </c>
      <c r="L26" s="424"/>
    </row>
    <row r="27" spans="1:12">
      <c r="A27" s="415">
        <v>21</v>
      </c>
      <c r="B27" s="428" t="s">
        <v>538</v>
      </c>
      <c r="C27" s="428">
        <v>402371.51</v>
      </c>
      <c r="D27" s="415">
        <v>387651.32</v>
      </c>
      <c r="E27" s="415">
        <v>7877.64</v>
      </c>
      <c r="F27" s="424">
        <v>6842.55</v>
      </c>
      <c r="G27" s="424"/>
      <c r="H27" s="415">
        <v>23366.517800000001</v>
      </c>
      <c r="I27" s="424">
        <v>15259.633900000001</v>
      </c>
      <c r="J27" s="424">
        <v>1253.6439</v>
      </c>
      <c r="K27" s="424">
        <v>6853.24</v>
      </c>
      <c r="L27" s="424"/>
    </row>
    <row r="28" spans="1:12">
      <c r="A28" s="415">
        <v>22</v>
      </c>
      <c r="B28" s="428" t="s">
        <v>539</v>
      </c>
      <c r="C28" s="428">
        <v>399825.45</v>
      </c>
      <c r="D28" s="415">
        <v>382366.35</v>
      </c>
      <c r="E28" s="415">
        <v>11820.48</v>
      </c>
      <c r="F28" s="424">
        <v>5638.62</v>
      </c>
      <c r="G28" s="424"/>
      <c r="H28" s="415">
        <v>22124.287400000001</v>
      </c>
      <c r="I28" s="424">
        <v>15749.2014</v>
      </c>
      <c r="J28" s="424">
        <v>726.68600000000004</v>
      </c>
      <c r="K28" s="424">
        <v>5648.4</v>
      </c>
      <c r="L28" s="424"/>
    </row>
    <row r="29" spans="1:12">
      <c r="A29" s="415">
        <v>23</v>
      </c>
      <c r="B29" s="428" t="s">
        <v>540</v>
      </c>
      <c r="C29" s="428">
        <v>11284821.805</v>
      </c>
      <c r="D29" s="415">
        <v>8385928.3986</v>
      </c>
      <c r="E29" s="415">
        <v>130095.6162</v>
      </c>
      <c r="F29" s="424">
        <v>2768797.7902000002</v>
      </c>
      <c r="G29" s="424"/>
      <c r="H29" s="415">
        <v>882959.98840000003</v>
      </c>
      <c r="I29" s="424">
        <v>270030.5024</v>
      </c>
      <c r="J29" s="424">
        <v>19356.575099999998</v>
      </c>
      <c r="K29" s="930">
        <v>593572.91090000002</v>
      </c>
      <c r="L29" s="424"/>
    </row>
    <row r="30" spans="1:12" ht="24">
      <c r="A30" s="415">
        <v>24</v>
      </c>
      <c r="B30" s="428" t="s">
        <v>541</v>
      </c>
      <c r="C30" s="428">
        <v>9308131.9199999999</v>
      </c>
      <c r="D30" s="415">
        <v>7001211.6405999996</v>
      </c>
      <c r="E30" s="415"/>
      <c r="F30" s="930">
        <f>2306920.2794-G30</f>
        <v>50286.284999999683</v>
      </c>
      <c r="G30" s="424">
        <v>2256633.9944000002</v>
      </c>
      <c r="H30" s="415">
        <v>1470762.0902</v>
      </c>
      <c r="I30" s="424">
        <v>88868.152900000001</v>
      </c>
      <c r="J30" s="424"/>
      <c r="K30" s="930">
        <f>1381893.9373-L30</f>
        <v>6000.0050000001211</v>
      </c>
      <c r="L30" s="424">
        <v>1375893.9323</v>
      </c>
    </row>
    <row r="31" spans="1:12">
      <c r="A31" s="415">
        <v>25</v>
      </c>
      <c r="B31" s="428" t="s">
        <v>542</v>
      </c>
      <c r="C31" s="428">
        <v>8058518.1608999996</v>
      </c>
      <c r="D31" s="415">
        <v>6701238.4008999998</v>
      </c>
      <c r="E31" s="415">
        <v>335608.1</v>
      </c>
      <c r="F31" s="930">
        <v>1021671.66</v>
      </c>
      <c r="G31" s="424"/>
      <c r="H31" s="415">
        <v>1379655.4084999999</v>
      </c>
      <c r="I31" s="424">
        <v>313773.59049999999</v>
      </c>
      <c r="J31" s="424">
        <v>38323.468000000001</v>
      </c>
      <c r="K31" s="930">
        <v>1027558.35</v>
      </c>
      <c r="L31" s="424"/>
    </row>
    <row r="32" spans="1:12" ht="36">
      <c r="A32" s="415">
        <v>26</v>
      </c>
      <c r="B32" s="428" t="s">
        <v>598</v>
      </c>
      <c r="C32" s="428">
        <v>20434256.6501</v>
      </c>
      <c r="D32" s="415">
        <v>19172580.480099998</v>
      </c>
      <c r="E32" s="415">
        <v>797698.7</v>
      </c>
      <c r="F32" s="930">
        <v>463977.47</v>
      </c>
      <c r="G32" s="424"/>
      <c r="H32" s="415">
        <v>1734690.6603000001</v>
      </c>
      <c r="I32" s="424">
        <v>1148163.3883</v>
      </c>
      <c r="J32" s="424">
        <v>119728.042</v>
      </c>
      <c r="K32" s="930">
        <v>466799.23</v>
      </c>
      <c r="L32" s="424"/>
    </row>
    <row r="33" spans="1:12">
      <c r="A33" s="415">
        <v>27</v>
      </c>
      <c r="B33" s="479" t="s">
        <v>67</v>
      </c>
      <c r="C33" s="479">
        <v>338174384.34930003</v>
      </c>
      <c r="D33" s="415">
        <v>280684081.99299997</v>
      </c>
      <c r="E33" s="415">
        <v>27299028.435899999</v>
      </c>
      <c r="F33" s="930">
        <f>30191273.9204-G33</f>
        <v>27934639.925999999</v>
      </c>
      <c r="G33" s="424">
        <v>2256633.9944000002</v>
      </c>
      <c r="H33" s="415">
        <v>17081601.7205</v>
      </c>
      <c r="I33" s="424">
        <v>4636957.3848000001</v>
      </c>
      <c r="J33" s="424">
        <v>807169.00939999998</v>
      </c>
      <c r="K33" s="930">
        <f>11637475.3263-L33</f>
        <v>10261581.394000001</v>
      </c>
      <c r="L33" s="424">
        <v>1375893.9323</v>
      </c>
    </row>
    <row r="34" spans="1:12">
      <c r="K34" s="931"/>
    </row>
    <row r="35" spans="1:12">
      <c r="B35" s="478"/>
      <c r="C35" s="478"/>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scale="42"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80" zoomScaleNormal="80" workbookViewId="0"/>
  </sheetViews>
  <sheetFormatPr defaultColWidth="8.77734375" defaultRowHeight="12"/>
  <cols>
    <col min="1" max="1" width="5.109375" style="360" customWidth="1"/>
    <col min="2" max="2" width="48" style="360" customWidth="1"/>
    <col min="3" max="3" width="15.109375" style="360" customWidth="1"/>
    <col min="4" max="4" width="14.21875" style="360" customWidth="1"/>
    <col min="5" max="5" width="17.44140625" style="360" customWidth="1"/>
    <col min="6" max="6" width="13.21875" style="360" customWidth="1"/>
    <col min="7" max="7" width="13.77734375" style="360" customWidth="1"/>
    <col min="8" max="8" width="15.6640625" style="360" customWidth="1"/>
    <col min="9" max="9" width="15.21875" style="360" customWidth="1"/>
    <col min="10" max="10" width="13.88671875" style="360" customWidth="1"/>
    <col min="11" max="11" width="14.6640625" style="360" customWidth="1"/>
    <col min="12" max="12" width="11.88671875" style="360" bestFit="1" customWidth="1"/>
    <col min="13" max="16384" width="8.77734375" style="360"/>
  </cols>
  <sheetData>
    <row r="1" spans="1:11" s="353" customFormat="1" ht="13.8">
      <c r="A1" s="352" t="s">
        <v>109</v>
      </c>
      <c r="B1" s="291" t="str">
        <f>Info!C2</f>
        <v>სს " პაშა ბანკი საქართველო"</v>
      </c>
      <c r="C1" s="425"/>
      <c r="D1" s="425"/>
      <c r="E1" s="425"/>
      <c r="F1" s="425"/>
      <c r="G1" s="425"/>
      <c r="H1" s="425"/>
      <c r="I1" s="425"/>
      <c r="J1" s="425"/>
      <c r="K1" s="425"/>
    </row>
    <row r="2" spans="1:11" s="353" customFormat="1">
      <c r="A2" s="352" t="s">
        <v>110</v>
      </c>
      <c r="B2" s="355">
        <f>'1. key ratios'!B2</f>
        <v>45016</v>
      </c>
      <c r="C2" s="425"/>
      <c r="D2" s="425"/>
      <c r="E2" s="425"/>
      <c r="F2" s="425"/>
      <c r="G2" s="425"/>
      <c r="H2" s="425"/>
      <c r="I2" s="425"/>
      <c r="J2" s="425"/>
      <c r="K2" s="425"/>
    </row>
    <row r="3" spans="1:11" s="353" customFormat="1">
      <c r="A3" s="354" t="s">
        <v>599</v>
      </c>
      <c r="B3" s="425"/>
      <c r="C3" s="425"/>
      <c r="D3" s="425"/>
      <c r="E3" s="425"/>
      <c r="F3" s="425"/>
      <c r="G3" s="425"/>
      <c r="H3" s="425"/>
      <c r="I3" s="425"/>
      <c r="J3" s="425"/>
      <c r="K3" s="425"/>
    </row>
    <row r="4" spans="1:11">
      <c r="A4" s="484"/>
      <c r="B4" s="484"/>
      <c r="C4" s="483" t="s">
        <v>503</v>
      </c>
      <c r="D4" s="483" t="s">
        <v>504</v>
      </c>
      <c r="E4" s="483" t="s">
        <v>505</v>
      </c>
      <c r="F4" s="483" t="s">
        <v>506</v>
      </c>
      <c r="G4" s="483" t="s">
        <v>507</v>
      </c>
      <c r="H4" s="483" t="s">
        <v>508</v>
      </c>
      <c r="I4" s="483" t="s">
        <v>509</v>
      </c>
      <c r="J4" s="483" t="s">
        <v>510</v>
      </c>
      <c r="K4" s="483" t="s">
        <v>511</v>
      </c>
    </row>
    <row r="5" spans="1:11" ht="103.95" customHeight="1">
      <c r="A5" s="862" t="s">
        <v>907</v>
      </c>
      <c r="B5" s="863"/>
      <c r="C5" s="482" t="s">
        <v>600</v>
      </c>
      <c r="D5" s="482" t="s">
        <v>593</v>
      </c>
      <c r="E5" s="482" t="s">
        <v>594</v>
      </c>
      <c r="F5" s="482" t="s">
        <v>906</v>
      </c>
      <c r="G5" s="482" t="s">
        <v>601</v>
      </c>
      <c r="H5" s="482" t="s">
        <v>602</v>
      </c>
      <c r="I5" s="482" t="s">
        <v>603</v>
      </c>
      <c r="J5" s="482" t="s">
        <v>604</v>
      </c>
      <c r="K5" s="482" t="s">
        <v>605</v>
      </c>
    </row>
    <row r="6" spans="1:11">
      <c r="A6" s="415">
        <v>1</v>
      </c>
      <c r="B6" s="415" t="s">
        <v>606</v>
      </c>
      <c r="C6" s="415">
        <v>1520223.7478</v>
      </c>
      <c r="D6" s="415" t="s">
        <v>961</v>
      </c>
      <c r="E6" s="415">
        <v>0</v>
      </c>
      <c r="F6" s="415" t="s">
        <v>961</v>
      </c>
      <c r="G6" s="415">
        <v>173312971.61880001</v>
      </c>
      <c r="H6" s="415" t="s">
        <v>961</v>
      </c>
      <c r="I6" s="415">
        <v>56931816.621299997</v>
      </c>
      <c r="J6" s="415">
        <v>18735366.518300001</v>
      </c>
      <c r="K6" s="415">
        <v>87674005.842800006</v>
      </c>
    </row>
    <row r="7" spans="1:11">
      <c r="A7" s="415">
        <v>2</v>
      </c>
      <c r="B7" s="415" t="s">
        <v>607</v>
      </c>
      <c r="C7" s="415" t="s">
        <v>961</v>
      </c>
      <c r="D7" s="415" t="s">
        <v>961</v>
      </c>
      <c r="E7" s="415" t="s">
        <v>961</v>
      </c>
      <c r="F7" s="415" t="s">
        <v>961</v>
      </c>
      <c r="G7" s="415">
        <v>135.7012</v>
      </c>
      <c r="H7" s="415" t="s">
        <v>961</v>
      </c>
      <c r="I7" s="415">
        <v>14060540.344000001</v>
      </c>
      <c r="J7" s="415">
        <v>2643714.7247000001</v>
      </c>
      <c r="K7" s="415">
        <v>36723004.230400003</v>
      </c>
    </row>
    <row r="8" spans="1:11">
      <c r="A8" s="415">
        <v>3</v>
      </c>
      <c r="B8" s="415" t="s">
        <v>571</v>
      </c>
      <c r="C8" s="561">
        <v>27838.995200000001</v>
      </c>
      <c r="D8" s="561" t="s">
        <v>961</v>
      </c>
      <c r="E8" s="561">
        <v>29201.702300000001</v>
      </c>
      <c r="F8" s="561" t="s">
        <v>961</v>
      </c>
      <c r="G8" s="561">
        <v>8762993.2608000003</v>
      </c>
      <c r="H8" s="561" t="s">
        <v>961</v>
      </c>
      <c r="I8" s="561">
        <v>2397133.0071</v>
      </c>
      <c r="J8" s="561">
        <v>14229329.309800001</v>
      </c>
      <c r="K8" s="561">
        <v>92216947.074300006</v>
      </c>
    </row>
    <row r="9" spans="1:11">
      <c r="A9" s="415">
        <v>4</v>
      </c>
      <c r="B9" s="432" t="s">
        <v>905</v>
      </c>
      <c r="C9" s="481" t="s">
        <v>961</v>
      </c>
      <c r="D9" s="481" t="s">
        <v>961</v>
      </c>
      <c r="E9" s="481" t="s">
        <v>961</v>
      </c>
      <c r="F9" s="481" t="s">
        <v>961</v>
      </c>
      <c r="G9" s="481">
        <v>24219714.449999999</v>
      </c>
      <c r="H9" s="481" t="s">
        <v>961</v>
      </c>
      <c r="I9" s="481">
        <v>12.802</v>
      </c>
      <c r="J9" s="481">
        <v>2276386.9904</v>
      </c>
      <c r="K9" s="481">
        <v>3695159.6779999998</v>
      </c>
    </row>
    <row r="10" spans="1:11">
      <c r="A10" s="415">
        <v>5</v>
      </c>
      <c r="B10" s="432" t="s">
        <v>904</v>
      </c>
      <c r="C10" s="481" t="s">
        <v>961</v>
      </c>
      <c r="D10" s="481" t="s">
        <v>961</v>
      </c>
      <c r="E10" s="481" t="s">
        <v>961</v>
      </c>
      <c r="F10" s="481" t="s">
        <v>961</v>
      </c>
      <c r="G10" s="481" t="s">
        <v>961</v>
      </c>
      <c r="H10" s="481" t="s">
        <v>961</v>
      </c>
      <c r="I10" s="481" t="s">
        <v>961</v>
      </c>
      <c r="J10" s="481" t="s">
        <v>961</v>
      </c>
      <c r="K10" s="481" t="s">
        <v>961</v>
      </c>
    </row>
    <row r="11" spans="1:11">
      <c r="A11" s="415">
        <v>6</v>
      </c>
      <c r="B11" s="432" t="s">
        <v>903</v>
      </c>
      <c r="C11" s="481" t="s">
        <v>961</v>
      </c>
      <c r="D11" s="481" t="s">
        <v>961</v>
      </c>
      <c r="E11" s="481" t="s">
        <v>961</v>
      </c>
      <c r="F11" s="481" t="s">
        <v>961</v>
      </c>
      <c r="G11" s="481">
        <v>1063750</v>
      </c>
      <c r="H11" s="481" t="s">
        <v>961</v>
      </c>
      <c r="I11" s="481">
        <v>0</v>
      </c>
      <c r="J11" s="481">
        <v>0</v>
      </c>
      <c r="K11" s="481">
        <v>15425.77</v>
      </c>
    </row>
    <row r="13" spans="1:11" ht="13.8">
      <c r="B13" s="480"/>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scale="48"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70" zoomScaleNormal="70" workbookViewId="0"/>
  </sheetViews>
  <sheetFormatPr defaultColWidth="8.77734375" defaultRowHeight="14.4"/>
  <cols>
    <col min="1" max="1" width="10" style="485" bestFit="1" customWidth="1"/>
    <col min="2" max="2" width="32.5546875" style="485" customWidth="1"/>
    <col min="3" max="3" width="10.6640625" style="485" bestFit="1" customWidth="1"/>
    <col min="4" max="5" width="15.21875" style="485" bestFit="1" customWidth="1"/>
    <col min="6" max="6" width="20" style="485" bestFit="1" customWidth="1"/>
    <col min="7" max="7" width="37.6640625" style="485" bestFit="1" customWidth="1"/>
    <col min="8" max="8" width="10.6640625" style="485" bestFit="1" customWidth="1"/>
    <col min="9" max="10" width="15.21875" style="485" bestFit="1" customWidth="1"/>
    <col min="11" max="11" width="20" style="485" bestFit="1" customWidth="1"/>
    <col min="12" max="12" width="12.88671875" style="485" customWidth="1"/>
    <col min="13" max="13" width="10.6640625" style="485" bestFit="1" customWidth="1"/>
    <col min="14" max="15" width="15.21875" style="485" bestFit="1" customWidth="1"/>
    <col min="16" max="16" width="20" style="485" bestFit="1" customWidth="1"/>
    <col min="17" max="17" width="37.6640625" style="485" bestFit="1" customWidth="1"/>
    <col min="18" max="18" width="18" style="485" bestFit="1" customWidth="1"/>
    <col min="19" max="22" width="25.5546875" style="485" customWidth="1"/>
    <col min="23" max="16384" width="8.77734375" style="485"/>
  </cols>
  <sheetData>
    <row r="1" spans="1:22">
      <c r="A1" s="352" t="s">
        <v>109</v>
      </c>
      <c r="B1" s="291" t="str">
        <f>Info!C2</f>
        <v>სს " პაშა ბანკი საქართველო"</v>
      </c>
    </row>
    <row r="2" spans="1:22">
      <c r="A2" s="352" t="s">
        <v>110</v>
      </c>
      <c r="B2" s="355">
        <f>'1. key ratios'!B2</f>
        <v>45016</v>
      </c>
    </row>
    <row r="3" spans="1:22">
      <c r="A3" s="354" t="s">
        <v>690</v>
      </c>
      <c r="B3" s="425"/>
      <c r="U3" s="559"/>
    </row>
    <row r="4" spans="1:22">
      <c r="A4" s="354"/>
      <c r="B4" s="425"/>
    </row>
    <row r="5" spans="1:22" ht="24" customHeight="1">
      <c r="A5" s="864" t="s">
        <v>717</v>
      </c>
      <c r="B5" s="864"/>
      <c r="C5" s="866" t="s">
        <v>909</v>
      </c>
      <c r="D5" s="866"/>
      <c r="E5" s="866"/>
      <c r="F5" s="866"/>
      <c r="G5" s="866"/>
      <c r="H5" s="866" t="s">
        <v>597</v>
      </c>
      <c r="I5" s="866"/>
      <c r="J5" s="866"/>
      <c r="K5" s="866"/>
      <c r="L5" s="866"/>
      <c r="M5" s="866" t="s">
        <v>908</v>
      </c>
      <c r="N5" s="866"/>
      <c r="O5" s="866"/>
      <c r="P5" s="866"/>
      <c r="Q5" s="866"/>
      <c r="R5" s="865" t="s">
        <v>716</v>
      </c>
      <c r="S5" s="865" t="s">
        <v>720</v>
      </c>
      <c r="T5" s="865" t="s">
        <v>719</v>
      </c>
      <c r="U5" s="865" t="s">
        <v>957</v>
      </c>
      <c r="V5" s="865" t="s">
        <v>958</v>
      </c>
    </row>
    <row r="6" spans="1:22" ht="36" customHeight="1">
      <c r="A6" s="864"/>
      <c r="B6" s="864"/>
      <c r="C6" s="494"/>
      <c r="D6" s="423" t="s">
        <v>893</v>
      </c>
      <c r="E6" s="423" t="s">
        <v>892</v>
      </c>
      <c r="F6" s="423" t="s">
        <v>891</v>
      </c>
      <c r="G6" s="423" t="s">
        <v>890</v>
      </c>
      <c r="H6" s="494"/>
      <c r="I6" s="423" t="s">
        <v>893</v>
      </c>
      <c r="J6" s="423" t="s">
        <v>892</v>
      </c>
      <c r="K6" s="423" t="s">
        <v>891</v>
      </c>
      <c r="L6" s="423" t="s">
        <v>890</v>
      </c>
      <c r="M6" s="494"/>
      <c r="N6" s="423" t="s">
        <v>893</v>
      </c>
      <c r="O6" s="423" t="s">
        <v>892</v>
      </c>
      <c r="P6" s="423" t="s">
        <v>891</v>
      </c>
      <c r="Q6" s="423" t="s">
        <v>890</v>
      </c>
      <c r="R6" s="865"/>
      <c r="S6" s="865"/>
      <c r="T6" s="865"/>
      <c r="U6" s="865"/>
      <c r="V6" s="865"/>
    </row>
    <row r="7" spans="1:22">
      <c r="A7" s="489">
        <v>1</v>
      </c>
      <c r="B7" s="493" t="s">
        <v>691</v>
      </c>
      <c r="C7" s="932" t="s">
        <v>961</v>
      </c>
      <c r="D7" s="932" t="s">
        <v>961</v>
      </c>
      <c r="E7" s="932" t="s">
        <v>961</v>
      </c>
      <c r="F7" s="932" t="s">
        <v>961</v>
      </c>
      <c r="G7" s="932"/>
      <c r="H7" s="932" t="s">
        <v>961</v>
      </c>
      <c r="I7" s="932" t="s">
        <v>961</v>
      </c>
      <c r="J7" s="932" t="s">
        <v>961</v>
      </c>
      <c r="K7" s="932" t="s">
        <v>961</v>
      </c>
      <c r="L7" s="932"/>
      <c r="M7" s="932" t="s">
        <v>961</v>
      </c>
      <c r="N7" s="932" t="s">
        <v>961</v>
      </c>
      <c r="O7" s="932" t="s">
        <v>961</v>
      </c>
      <c r="P7" s="932" t="s">
        <v>961</v>
      </c>
      <c r="Q7" s="932"/>
      <c r="R7" s="932">
        <v>0</v>
      </c>
      <c r="S7" s="933" t="s">
        <v>961</v>
      </c>
      <c r="T7" s="933" t="s">
        <v>961</v>
      </c>
      <c r="U7" s="933" t="s">
        <v>961</v>
      </c>
      <c r="V7" s="934" t="s">
        <v>961</v>
      </c>
    </row>
    <row r="8" spans="1:22">
      <c r="A8" s="489">
        <v>2</v>
      </c>
      <c r="B8" s="492" t="s">
        <v>692</v>
      </c>
      <c r="C8" s="932">
        <v>25262281.556000002</v>
      </c>
      <c r="D8" s="932">
        <v>21924100.456</v>
      </c>
      <c r="E8" s="932">
        <v>1045212.73</v>
      </c>
      <c r="F8" s="932">
        <v>2292968.37</v>
      </c>
      <c r="G8" s="932"/>
      <c r="H8" s="932">
        <v>25249902.395</v>
      </c>
      <c r="I8" s="932">
        <v>21902620.385000002</v>
      </c>
      <c r="J8" s="932">
        <v>1071454.74</v>
      </c>
      <c r="K8" s="932">
        <v>2275827.27</v>
      </c>
      <c r="L8" s="932"/>
      <c r="M8" s="932">
        <v>3193948.8204999999</v>
      </c>
      <c r="N8" s="932">
        <v>817088.5246</v>
      </c>
      <c r="O8" s="932">
        <v>83891.925900000002</v>
      </c>
      <c r="P8" s="932">
        <v>2292968.37</v>
      </c>
      <c r="Q8" s="932"/>
      <c r="R8" s="932">
        <v>5413</v>
      </c>
      <c r="S8" s="933">
        <v>0.2059</v>
      </c>
      <c r="T8" s="933">
        <v>0.2477</v>
      </c>
      <c r="U8" s="933">
        <v>0.17599999999999999</v>
      </c>
      <c r="V8" s="934">
        <v>30.501000000000001</v>
      </c>
    </row>
    <row r="9" spans="1:22">
      <c r="A9" s="489">
        <v>3</v>
      </c>
      <c r="B9" s="492" t="s">
        <v>693</v>
      </c>
      <c r="C9" s="932" t="s">
        <v>961</v>
      </c>
      <c r="D9" s="932" t="s">
        <v>961</v>
      </c>
      <c r="E9" s="932" t="s">
        <v>961</v>
      </c>
      <c r="F9" s="932" t="s">
        <v>961</v>
      </c>
      <c r="G9" s="932"/>
      <c r="H9" s="932" t="s">
        <v>961</v>
      </c>
      <c r="I9" s="932" t="s">
        <v>961</v>
      </c>
      <c r="J9" s="932" t="s">
        <v>961</v>
      </c>
      <c r="K9" s="932" t="s">
        <v>961</v>
      </c>
      <c r="L9" s="932"/>
      <c r="M9" s="932" t="s">
        <v>961</v>
      </c>
      <c r="N9" s="932" t="s">
        <v>961</v>
      </c>
      <c r="O9" s="932" t="s">
        <v>961</v>
      </c>
      <c r="P9" s="932" t="s">
        <v>961</v>
      </c>
      <c r="Q9" s="932"/>
      <c r="R9" s="932">
        <v>0</v>
      </c>
      <c r="S9" s="933" t="s">
        <v>961</v>
      </c>
      <c r="T9" s="933" t="s">
        <v>961</v>
      </c>
      <c r="U9" s="933" t="s">
        <v>961</v>
      </c>
      <c r="V9" s="934" t="s">
        <v>961</v>
      </c>
    </row>
    <row r="10" spans="1:22">
      <c r="A10" s="489">
        <v>4</v>
      </c>
      <c r="B10" s="492" t="s">
        <v>694</v>
      </c>
      <c r="C10" s="932" t="s">
        <v>961</v>
      </c>
      <c r="D10" s="932" t="s">
        <v>961</v>
      </c>
      <c r="E10" s="932" t="s">
        <v>961</v>
      </c>
      <c r="F10" s="932" t="s">
        <v>961</v>
      </c>
      <c r="G10" s="932"/>
      <c r="H10" s="932" t="s">
        <v>961</v>
      </c>
      <c r="I10" s="932" t="s">
        <v>961</v>
      </c>
      <c r="J10" s="932" t="s">
        <v>961</v>
      </c>
      <c r="K10" s="932" t="s">
        <v>961</v>
      </c>
      <c r="L10" s="932"/>
      <c r="M10" s="932" t="s">
        <v>961</v>
      </c>
      <c r="N10" s="932" t="s">
        <v>961</v>
      </c>
      <c r="O10" s="932" t="s">
        <v>961</v>
      </c>
      <c r="P10" s="932" t="s">
        <v>961</v>
      </c>
      <c r="Q10" s="932"/>
      <c r="R10" s="932">
        <v>0</v>
      </c>
      <c r="S10" s="933" t="s">
        <v>961</v>
      </c>
      <c r="T10" s="933" t="s">
        <v>961</v>
      </c>
      <c r="U10" s="933" t="s">
        <v>961</v>
      </c>
      <c r="V10" s="934" t="s">
        <v>961</v>
      </c>
    </row>
    <row r="11" spans="1:22">
      <c r="A11" s="489">
        <v>5</v>
      </c>
      <c r="B11" s="492" t="s">
        <v>695</v>
      </c>
      <c r="C11" s="932">
        <v>12879.721799999999</v>
      </c>
      <c r="D11" s="932">
        <v>12879.721799999999</v>
      </c>
      <c r="E11" s="932">
        <v>0</v>
      </c>
      <c r="F11" s="932">
        <v>0</v>
      </c>
      <c r="G11" s="932"/>
      <c r="H11" s="932">
        <v>12894.3318</v>
      </c>
      <c r="I11" s="932">
        <v>12894.3318</v>
      </c>
      <c r="J11" s="932">
        <v>0</v>
      </c>
      <c r="K11" s="932">
        <v>0</v>
      </c>
      <c r="L11" s="932"/>
      <c r="M11" s="932">
        <v>0</v>
      </c>
      <c r="N11" s="932">
        <v>0</v>
      </c>
      <c r="O11" s="932">
        <v>0</v>
      </c>
      <c r="P11" s="932">
        <v>0</v>
      </c>
      <c r="Q11" s="932"/>
      <c r="R11" s="932">
        <v>38</v>
      </c>
      <c r="S11" s="933">
        <v>0.13869999999999999</v>
      </c>
      <c r="T11" s="933">
        <v>0.1487</v>
      </c>
      <c r="U11" s="933">
        <v>0.1144</v>
      </c>
      <c r="V11" s="934">
        <v>4.4649999999999999</v>
      </c>
    </row>
    <row r="12" spans="1:22">
      <c r="A12" s="489">
        <v>6</v>
      </c>
      <c r="B12" s="492" t="s">
        <v>696</v>
      </c>
      <c r="C12" s="932">
        <v>32777882.940000001</v>
      </c>
      <c r="D12" s="932">
        <v>30741968.73</v>
      </c>
      <c r="E12" s="932">
        <v>810646.4</v>
      </c>
      <c r="F12" s="932">
        <v>1225267.81</v>
      </c>
      <c r="G12" s="932"/>
      <c r="H12" s="932">
        <v>32623121.280000001</v>
      </c>
      <c r="I12" s="932">
        <v>30534486.949999999</v>
      </c>
      <c r="J12" s="932">
        <v>863804.43</v>
      </c>
      <c r="K12" s="932">
        <v>1224829.8999999999</v>
      </c>
      <c r="L12" s="932"/>
      <c r="M12" s="932">
        <v>3232969.3095</v>
      </c>
      <c r="N12" s="932">
        <v>1828350.1806999999</v>
      </c>
      <c r="O12" s="932">
        <v>179351.31880000001</v>
      </c>
      <c r="P12" s="932">
        <v>1225267.81</v>
      </c>
      <c r="Q12" s="932"/>
      <c r="R12" s="932">
        <v>23638</v>
      </c>
      <c r="S12" s="933">
        <v>0.36</v>
      </c>
      <c r="T12" s="933">
        <v>0.39179999999999998</v>
      </c>
      <c r="U12" s="933">
        <v>0.36</v>
      </c>
      <c r="V12" s="934">
        <v>31.755800000000001</v>
      </c>
    </row>
    <row r="13" spans="1:22">
      <c r="A13" s="489">
        <v>7</v>
      </c>
      <c r="B13" s="492" t="s">
        <v>697</v>
      </c>
      <c r="C13" s="932">
        <v>114763.83620000001</v>
      </c>
      <c r="D13" s="932">
        <v>0</v>
      </c>
      <c r="E13" s="932">
        <v>114763.83620000001</v>
      </c>
      <c r="F13" s="932">
        <v>0</v>
      </c>
      <c r="G13" s="932"/>
      <c r="H13" s="932">
        <v>114947.4425</v>
      </c>
      <c r="I13" s="932">
        <v>0</v>
      </c>
      <c r="J13" s="932">
        <v>114947.4425</v>
      </c>
      <c r="K13" s="932">
        <v>0</v>
      </c>
      <c r="L13" s="932"/>
      <c r="M13" s="932">
        <v>13302.974700000001</v>
      </c>
      <c r="N13" s="932">
        <v>0</v>
      </c>
      <c r="O13" s="932">
        <v>13302.974700000001</v>
      </c>
      <c r="P13" s="932">
        <v>0</v>
      </c>
      <c r="Q13" s="932"/>
      <c r="R13" s="932">
        <v>1</v>
      </c>
      <c r="S13" s="933" t="s">
        <v>961</v>
      </c>
      <c r="T13" s="933" t="s">
        <v>961</v>
      </c>
      <c r="U13" s="933">
        <v>0.10100000000000001</v>
      </c>
      <c r="V13" s="934">
        <v>33</v>
      </c>
    </row>
    <row r="14" spans="1:22" ht="24">
      <c r="A14" s="487">
        <v>7.1</v>
      </c>
      <c r="B14" s="486" t="s">
        <v>698</v>
      </c>
      <c r="C14" s="932">
        <v>114763.83620000001</v>
      </c>
      <c r="D14" s="932">
        <v>0</v>
      </c>
      <c r="E14" s="932">
        <v>114763.83620000001</v>
      </c>
      <c r="F14" s="932">
        <v>0</v>
      </c>
      <c r="G14" s="932"/>
      <c r="H14" s="932">
        <v>114947.4425</v>
      </c>
      <c r="I14" s="932">
        <v>0</v>
      </c>
      <c r="J14" s="932">
        <v>114947.4425</v>
      </c>
      <c r="K14" s="932">
        <v>0</v>
      </c>
      <c r="L14" s="932"/>
      <c r="M14" s="932">
        <v>13302.974700000001</v>
      </c>
      <c r="N14" s="932">
        <v>0</v>
      </c>
      <c r="O14" s="932">
        <v>13302.974700000001</v>
      </c>
      <c r="P14" s="932">
        <v>0</v>
      </c>
      <c r="Q14" s="932"/>
      <c r="R14" s="932">
        <v>1</v>
      </c>
      <c r="S14" s="933" t="s">
        <v>961</v>
      </c>
      <c r="T14" s="933" t="s">
        <v>961</v>
      </c>
      <c r="U14" s="933">
        <v>0.10100000000000001</v>
      </c>
      <c r="V14" s="934">
        <v>33</v>
      </c>
    </row>
    <row r="15" spans="1:22" ht="36">
      <c r="A15" s="487">
        <v>7.2</v>
      </c>
      <c r="B15" s="486" t="s">
        <v>699</v>
      </c>
      <c r="C15" s="932" t="s">
        <v>961</v>
      </c>
      <c r="D15" s="932" t="s">
        <v>961</v>
      </c>
      <c r="E15" s="932" t="s">
        <v>961</v>
      </c>
      <c r="F15" s="932" t="s">
        <v>961</v>
      </c>
      <c r="G15" s="932"/>
      <c r="H15" s="932" t="s">
        <v>961</v>
      </c>
      <c r="I15" s="932" t="s">
        <v>961</v>
      </c>
      <c r="J15" s="932" t="s">
        <v>961</v>
      </c>
      <c r="K15" s="932" t="s">
        <v>961</v>
      </c>
      <c r="L15" s="932"/>
      <c r="M15" s="932" t="s">
        <v>961</v>
      </c>
      <c r="N15" s="932" t="s">
        <v>961</v>
      </c>
      <c r="O15" s="932" t="s">
        <v>961</v>
      </c>
      <c r="P15" s="932" t="s">
        <v>961</v>
      </c>
      <c r="Q15" s="932"/>
      <c r="R15" s="932">
        <v>0</v>
      </c>
      <c r="S15" s="933" t="s">
        <v>961</v>
      </c>
      <c r="T15" s="933" t="s">
        <v>961</v>
      </c>
      <c r="U15" s="933" t="s">
        <v>961</v>
      </c>
      <c r="V15" s="934" t="s">
        <v>961</v>
      </c>
    </row>
    <row r="16" spans="1:22" ht="24">
      <c r="A16" s="487">
        <v>7.3</v>
      </c>
      <c r="B16" s="486" t="s">
        <v>700</v>
      </c>
      <c r="C16" s="932" t="s">
        <v>961</v>
      </c>
      <c r="D16" s="932" t="s">
        <v>961</v>
      </c>
      <c r="E16" s="932" t="s">
        <v>961</v>
      </c>
      <c r="F16" s="932" t="s">
        <v>961</v>
      </c>
      <c r="G16" s="932"/>
      <c r="H16" s="932" t="s">
        <v>961</v>
      </c>
      <c r="I16" s="932" t="s">
        <v>961</v>
      </c>
      <c r="J16" s="932" t="s">
        <v>961</v>
      </c>
      <c r="K16" s="932" t="s">
        <v>961</v>
      </c>
      <c r="L16" s="932"/>
      <c r="M16" s="932" t="s">
        <v>961</v>
      </c>
      <c r="N16" s="932" t="s">
        <v>961</v>
      </c>
      <c r="O16" s="932" t="s">
        <v>961</v>
      </c>
      <c r="P16" s="932" t="s">
        <v>961</v>
      </c>
      <c r="Q16" s="932"/>
      <c r="R16" s="932">
        <v>0</v>
      </c>
      <c r="S16" s="933" t="s">
        <v>961</v>
      </c>
      <c r="T16" s="933" t="s">
        <v>961</v>
      </c>
      <c r="U16" s="933" t="s">
        <v>961</v>
      </c>
      <c r="V16" s="934" t="s">
        <v>961</v>
      </c>
    </row>
    <row r="17" spans="1:22">
      <c r="A17" s="489">
        <v>8</v>
      </c>
      <c r="B17" s="492" t="s">
        <v>701</v>
      </c>
      <c r="C17" s="932" t="s">
        <v>961</v>
      </c>
      <c r="D17" s="932" t="s">
        <v>961</v>
      </c>
      <c r="E17" s="932" t="s">
        <v>961</v>
      </c>
      <c r="F17" s="932" t="s">
        <v>961</v>
      </c>
      <c r="G17" s="932"/>
      <c r="H17" s="932" t="s">
        <v>961</v>
      </c>
      <c r="I17" s="932" t="s">
        <v>961</v>
      </c>
      <c r="J17" s="932" t="s">
        <v>961</v>
      </c>
      <c r="K17" s="932" t="s">
        <v>961</v>
      </c>
      <c r="L17" s="932"/>
      <c r="M17" s="932" t="s">
        <v>961</v>
      </c>
      <c r="N17" s="932" t="s">
        <v>961</v>
      </c>
      <c r="O17" s="932" t="s">
        <v>961</v>
      </c>
      <c r="P17" s="932" t="s">
        <v>961</v>
      </c>
      <c r="Q17" s="932"/>
      <c r="R17" s="932">
        <v>0</v>
      </c>
      <c r="S17" s="933" t="s">
        <v>961</v>
      </c>
      <c r="T17" s="933" t="s">
        <v>961</v>
      </c>
      <c r="U17" s="933" t="s">
        <v>961</v>
      </c>
      <c r="V17" s="934" t="s">
        <v>961</v>
      </c>
    </row>
    <row r="18" spans="1:22">
      <c r="A18" s="491">
        <v>9</v>
      </c>
      <c r="B18" s="490" t="s">
        <v>702</v>
      </c>
      <c r="C18" s="935" t="s">
        <v>961</v>
      </c>
      <c r="D18" s="935" t="s">
        <v>961</v>
      </c>
      <c r="E18" s="935" t="s">
        <v>961</v>
      </c>
      <c r="F18" s="935" t="s">
        <v>961</v>
      </c>
      <c r="G18" s="935"/>
      <c r="H18" s="935" t="s">
        <v>961</v>
      </c>
      <c r="I18" s="935" t="s">
        <v>961</v>
      </c>
      <c r="J18" s="935" t="s">
        <v>961</v>
      </c>
      <c r="K18" s="935" t="s">
        <v>961</v>
      </c>
      <c r="L18" s="935"/>
      <c r="M18" s="935" t="s">
        <v>961</v>
      </c>
      <c r="N18" s="935" t="s">
        <v>961</v>
      </c>
      <c r="O18" s="935" t="s">
        <v>961</v>
      </c>
      <c r="P18" s="935" t="s">
        <v>961</v>
      </c>
      <c r="Q18" s="935"/>
      <c r="R18" s="935">
        <v>0</v>
      </c>
      <c r="S18" s="936" t="s">
        <v>961</v>
      </c>
      <c r="T18" s="936" t="s">
        <v>961</v>
      </c>
      <c r="U18" s="936" t="s">
        <v>961</v>
      </c>
      <c r="V18" s="937" t="s">
        <v>961</v>
      </c>
    </row>
    <row r="19" spans="1:22">
      <c r="A19" s="489">
        <v>10</v>
      </c>
      <c r="B19" s="488" t="s">
        <v>718</v>
      </c>
      <c r="C19" s="932">
        <v>58167808.053999998</v>
      </c>
      <c r="D19" s="932">
        <v>52678948.907799996</v>
      </c>
      <c r="E19" s="932">
        <v>1970622.9661999999</v>
      </c>
      <c r="F19" s="932">
        <v>3518236.18</v>
      </c>
      <c r="G19" s="932"/>
      <c r="H19" s="932">
        <v>58000865.449299999</v>
      </c>
      <c r="I19" s="932">
        <v>52450001.6668</v>
      </c>
      <c r="J19" s="932">
        <v>2050206.6125</v>
      </c>
      <c r="K19" s="932">
        <v>3500657.17</v>
      </c>
      <c r="L19" s="932"/>
      <c r="M19" s="932">
        <v>6440221.1047</v>
      </c>
      <c r="N19" s="932">
        <v>2645438.7053</v>
      </c>
      <c r="O19" s="932">
        <v>276546.2194</v>
      </c>
      <c r="P19" s="932">
        <v>3518236.18</v>
      </c>
      <c r="Q19" s="932"/>
      <c r="R19" s="932">
        <f>SUM(R7:R13)</f>
        <v>29090</v>
      </c>
      <c r="S19" s="933">
        <v>0.33460000000000001</v>
      </c>
      <c r="T19" s="933">
        <v>0.36799999999999999</v>
      </c>
      <c r="U19" s="933">
        <v>0.27950000000000003</v>
      </c>
      <c r="V19" s="934">
        <v>31.2073</v>
      </c>
    </row>
    <row r="20" spans="1:22" ht="48">
      <c r="A20" s="487">
        <v>10.1</v>
      </c>
      <c r="B20" s="486" t="s">
        <v>721</v>
      </c>
      <c r="C20" s="932"/>
      <c r="D20" s="932"/>
      <c r="E20" s="932"/>
      <c r="F20" s="932"/>
      <c r="G20" s="932"/>
      <c r="H20" s="932"/>
      <c r="I20" s="932"/>
      <c r="J20" s="932"/>
      <c r="K20" s="932"/>
      <c r="L20" s="932"/>
      <c r="M20" s="932"/>
      <c r="N20" s="932"/>
      <c r="O20" s="932"/>
      <c r="P20" s="932"/>
      <c r="Q20" s="932"/>
      <c r="R20" s="932"/>
      <c r="S20" s="932"/>
      <c r="T20" s="932"/>
      <c r="U20" s="934"/>
      <c r="V20" s="93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20"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4"/>
  <sheetViews>
    <sheetView zoomScale="70" zoomScaleNormal="70" workbookViewId="0"/>
  </sheetViews>
  <sheetFormatPr defaultRowHeight="14.4"/>
  <cols>
    <col min="1" max="1" width="8.77734375" style="397"/>
    <col min="2" max="2" width="69.21875" style="385" customWidth="1"/>
    <col min="3" max="3" width="20.77734375" customWidth="1"/>
    <col min="4" max="4" width="21.88671875" customWidth="1"/>
    <col min="5" max="5" width="16.5546875" customWidth="1"/>
    <col min="6" max="6" width="17.6640625" customWidth="1"/>
    <col min="7" max="7" width="17.21875" customWidth="1"/>
    <col min="8" max="8" width="22" customWidth="1"/>
  </cols>
  <sheetData>
    <row r="1" spans="1:8">
      <c r="A1" s="12" t="s">
        <v>109</v>
      </c>
      <c r="B1" s="291" t="str">
        <f>Info!C2</f>
        <v>სს " პაშა ბანკი საქართველო"</v>
      </c>
      <c r="C1" s="11"/>
      <c r="D1" s="1"/>
      <c r="E1" s="1"/>
      <c r="F1" s="1"/>
      <c r="G1" s="1"/>
    </row>
    <row r="2" spans="1:8">
      <c r="A2" s="12" t="s">
        <v>110</v>
      </c>
      <c r="B2" s="322">
        <f>'1. key ratios'!B2</f>
        <v>45016</v>
      </c>
      <c r="C2" s="11"/>
      <c r="D2" s="1"/>
      <c r="E2" s="1"/>
      <c r="F2" s="1"/>
      <c r="G2" s="1"/>
    </row>
    <row r="3" spans="1:8">
      <c r="A3" s="12"/>
      <c r="B3" s="11"/>
      <c r="C3" s="11"/>
      <c r="D3" s="1"/>
      <c r="E3" s="1"/>
      <c r="F3" s="1"/>
      <c r="G3" s="1"/>
    </row>
    <row r="4" spans="1:8" ht="21" customHeight="1">
      <c r="A4" s="756" t="s">
        <v>26</v>
      </c>
      <c r="B4" s="757" t="s">
        <v>730</v>
      </c>
      <c r="C4" s="759" t="s">
        <v>115</v>
      </c>
      <c r="D4" s="759"/>
      <c r="E4" s="759"/>
      <c r="F4" s="759" t="s">
        <v>116</v>
      </c>
      <c r="G4" s="759"/>
      <c r="H4" s="760"/>
    </row>
    <row r="5" spans="1:8" ht="21" customHeight="1">
      <c r="A5" s="756"/>
      <c r="B5" s="758"/>
      <c r="C5" s="372" t="s">
        <v>27</v>
      </c>
      <c r="D5" s="372" t="s">
        <v>89</v>
      </c>
      <c r="E5" s="372" t="s">
        <v>67</v>
      </c>
      <c r="F5" s="372" t="s">
        <v>27</v>
      </c>
      <c r="G5" s="372" t="s">
        <v>89</v>
      </c>
      <c r="H5" s="372" t="s">
        <v>67</v>
      </c>
    </row>
    <row r="6" spans="1:8" ht="26.55" customHeight="1">
      <c r="A6" s="756"/>
      <c r="B6" s="373" t="s">
        <v>96</v>
      </c>
      <c r="C6" s="761"/>
      <c r="D6" s="762"/>
      <c r="E6" s="762"/>
      <c r="F6" s="762"/>
      <c r="G6" s="762"/>
      <c r="H6" s="763"/>
    </row>
    <row r="7" spans="1:8" ht="22.95" customHeight="1">
      <c r="A7" s="388">
        <v>1</v>
      </c>
      <c r="B7" s="374" t="s">
        <v>844</v>
      </c>
      <c r="C7" s="574">
        <f>SUM(C8:C10)</f>
        <v>32067454.296300001</v>
      </c>
      <c r="D7" s="574">
        <f>SUM(D8:D10)</f>
        <v>92633172.173600003</v>
      </c>
      <c r="E7" s="575">
        <f>C7+D7</f>
        <v>124700626.46990001</v>
      </c>
      <c r="F7" s="574">
        <f>SUM(F8:F10)</f>
        <v>18318931.534000002</v>
      </c>
      <c r="G7" s="574">
        <f>SUM(G8:G10)</f>
        <v>79553293.307199985</v>
      </c>
      <c r="H7" s="575">
        <f>F7+G7</f>
        <v>97872224.841199994</v>
      </c>
    </row>
    <row r="8" spans="1:8">
      <c r="A8" s="388">
        <v>1.1000000000000001</v>
      </c>
      <c r="B8" s="375" t="s">
        <v>97</v>
      </c>
      <c r="C8" s="574">
        <v>1539124.3</v>
      </c>
      <c r="D8" s="574">
        <v>3735876.0312000001</v>
      </c>
      <c r="E8" s="575">
        <f t="shared" ref="E8:E36" si="0">C8+D8</f>
        <v>5275000.3311999999</v>
      </c>
      <c r="F8" s="574">
        <v>874467.14</v>
      </c>
      <c r="G8" s="574">
        <v>4733651.8344999999</v>
      </c>
      <c r="H8" s="575">
        <f t="shared" ref="H8:H36" si="1">F8+G8</f>
        <v>5608118.9744999995</v>
      </c>
    </row>
    <row r="9" spans="1:8">
      <c r="A9" s="388">
        <v>1.2</v>
      </c>
      <c r="B9" s="375" t="s">
        <v>98</v>
      </c>
      <c r="C9" s="574">
        <v>467350.52</v>
      </c>
      <c r="D9" s="574">
        <v>45466796.759200007</v>
      </c>
      <c r="E9" s="575">
        <f t="shared" si="0"/>
        <v>45934147.27920001</v>
      </c>
      <c r="F9" s="574">
        <v>308781.96000000002</v>
      </c>
      <c r="G9" s="574">
        <v>35180439.786899999</v>
      </c>
      <c r="H9" s="575">
        <f t="shared" si="1"/>
        <v>35489221.7469</v>
      </c>
    </row>
    <row r="10" spans="1:8">
      <c r="A10" s="388">
        <v>1.3</v>
      </c>
      <c r="B10" s="375" t="s">
        <v>99</v>
      </c>
      <c r="C10" s="574">
        <v>30060979.476300001</v>
      </c>
      <c r="D10" s="574">
        <v>43430499.383199997</v>
      </c>
      <c r="E10" s="575">
        <f t="shared" si="0"/>
        <v>73491478.859499991</v>
      </c>
      <c r="F10" s="574">
        <v>17135682.434</v>
      </c>
      <c r="G10" s="574">
        <v>39639201.685799994</v>
      </c>
      <c r="H10" s="575">
        <f t="shared" si="1"/>
        <v>56774884.119799994</v>
      </c>
    </row>
    <row r="11" spans="1:8">
      <c r="A11" s="388">
        <v>2</v>
      </c>
      <c r="B11" s="376" t="s">
        <v>731</v>
      </c>
      <c r="C11" s="574">
        <v>1526125.55</v>
      </c>
      <c r="D11" s="574">
        <v>0</v>
      </c>
      <c r="E11" s="575">
        <f t="shared" si="0"/>
        <v>1526125.55</v>
      </c>
      <c r="F11" s="574">
        <v>2546562.15</v>
      </c>
      <c r="G11" s="574">
        <v>0</v>
      </c>
      <c r="H11" s="575">
        <f t="shared" si="1"/>
        <v>2546562.15</v>
      </c>
    </row>
    <row r="12" spans="1:8">
      <c r="A12" s="388">
        <v>2.1</v>
      </c>
      <c r="B12" s="377" t="s">
        <v>732</v>
      </c>
      <c r="C12" s="574">
        <v>1526125.55</v>
      </c>
      <c r="D12" s="574"/>
      <c r="E12" s="575">
        <f t="shared" si="0"/>
        <v>1526125.55</v>
      </c>
      <c r="F12" s="574">
        <v>2546562.15</v>
      </c>
      <c r="G12" s="574"/>
      <c r="H12" s="575">
        <f t="shared" si="1"/>
        <v>2546562.15</v>
      </c>
    </row>
    <row r="13" spans="1:8" ht="26.55" customHeight="1">
      <c r="A13" s="388">
        <v>3</v>
      </c>
      <c r="B13" s="580" t="s">
        <v>733</v>
      </c>
      <c r="C13" s="574"/>
      <c r="D13" s="574"/>
      <c r="E13" s="575">
        <f t="shared" si="0"/>
        <v>0</v>
      </c>
      <c r="F13" s="574"/>
      <c r="G13" s="574"/>
      <c r="H13" s="575">
        <f t="shared" si="1"/>
        <v>0</v>
      </c>
    </row>
    <row r="14" spans="1:8" ht="26.55" customHeight="1">
      <c r="A14" s="388">
        <v>4</v>
      </c>
      <c r="B14" s="581" t="s">
        <v>734</v>
      </c>
      <c r="C14" s="574"/>
      <c r="D14" s="574"/>
      <c r="E14" s="575">
        <f t="shared" si="0"/>
        <v>0</v>
      </c>
      <c r="F14" s="574"/>
      <c r="G14" s="574"/>
      <c r="H14" s="575">
        <f t="shared" si="1"/>
        <v>0</v>
      </c>
    </row>
    <row r="15" spans="1:8" ht="24.45" customHeight="1">
      <c r="A15" s="388">
        <v>5</v>
      </c>
      <c r="B15" s="581" t="s">
        <v>735</v>
      </c>
      <c r="C15" s="576">
        <f>SUM(C16:C18)</f>
        <v>0</v>
      </c>
      <c r="D15" s="576">
        <f>SUM(D16:D18)</f>
        <v>0</v>
      </c>
      <c r="E15" s="577">
        <f t="shared" si="0"/>
        <v>0</v>
      </c>
      <c r="F15" s="576">
        <f>SUM(F16:F18)</f>
        <v>0</v>
      </c>
      <c r="G15" s="576">
        <f>SUM(G16:G18)</f>
        <v>0</v>
      </c>
      <c r="H15" s="577">
        <f t="shared" si="1"/>
        <v>0</v>
      </c>
    </row>
    <row r="16" spans="1:8">
      <c r="A16" s="388">
        <v>5.0999999999999996</v>
      </c>
      <c r="B16" s="582" t="s">
        <v>736</v>
      </c>
      <c r="C16" s="574"/>
      <c r="D16" s="574"/>
      <c r="E16" s="575">
        <f t="shared" si="0"/>
        <v>0</v>
      </c>
      <c r="F16" s="574"/>
      <c r="G16" s="574"/>
      <c r="H16" s="575">
        <f t="shared" si="1"/>
        <v>0</v>
      </c>
    </row>
    <row r="17" spans="1:8">
      <c r="A17" s="388">
        <v>5.2</v>
      </c>
      <c r="B17" s="582" t="s">
        <v>570</v>
      </c>
      <c r="C17" s="574"/>
      <c r="D17" s="574"/>
      <c r="E17" s="575">
        <f t="shared" si="0"/>
        <v>0</v>
      </c>
      <c r="F17" s="574"/>
      <c r="G17" s="574"/>
      <c r="H17" s="575">
        <f t="shared" si="1"/>
        <v>0</v>
      </c>
    </row>
    <row r="18" spans="1:8">
      <c r="A18" s="388">
        <v>5.3</v>
      </c>
      <c r="B18" s="582" t="s">
        <v>737</v>
      </c>
      <c r="C18" s="574"/>
      <c r="D18" s="574"/>
      <c r="E18" s="575">
        <f t="shared" si="0"/>
        <v>0</v>
      </c>
      <c r="F18" s="574"/>
      <c r="G18" s="574"/>
      <c r="H18" s="575">
        <f t="shared" si="1"/>
        <v>0</v>
      </c>
    </row>
    <row r="19" spans="1:8">
      <c r="A19" s="388">
        <v>6</v>
      </c>
      <c r="B19" s="580" t="s">
        <v>738</v>
      </c>
      <c r="C19" s="574">
        <f>SUM(C20:C21)</f>
        <v>176536441.1056</v>
      </c>
      <c r="D19" s="574">
        <f>SUM(D20:D21)</f>
        <v>202738449.95169997</v>
      </c>
      <c r="E19" s="575">
        <f t="shared" si="0"/>
        <v>379274891.05729997</v>
      </c>
      <c r="F19" s="574">
        <f>SUM(F20:F21)</f>
        <v>142844577.03919998</v>
      </c>
      <c r="G19" s="574">
        <f>SUM(G20:G21)</f>
        <v>219902762.69679999</v>
      </c>
      <c r="H19" s="575">
        <f t="shared" si="1"/>
        <v>362747339.73599994</v>
      </c>
    </row>
    <row r="20" spans="1:8">
      <c r="A20" s="388">
        <v>6.1</v>
      </c>
      <c r="B20" s="582" t="s">
        <v>570</v>
      </c>
      <c r="C20" s="594">
        <v>51018062.598000005</v>
      </c>
      <c r="D20" s="594">
        <v>7164045.8306</v>
      </c>
      <c r="E20" s="575">
        <f t="shared" si="0"/>
        <v>58182108.428600006</v>
      </c>
      <c r="F20" s="574">
        <v>28806781.696600001</v>
      </c>
      <c r="G20" s="574">
        <v>16813776.8145</v>
      </c>
      <c r="H20" s="575">
        <f t="shared" si="1"/>
        <v>45620558.511100002</v>
      </c>
    </row>
    <row r="21" spans="1:8">
      <c r="A21" s="388">
        <v>6.2</v>
      </c>
      <c r="B21" s="582" t="s">
        <v>737</v>
      </c>
      <c r="C21" s="594">
        <v>125518378.50759999</v>
      </c>
      <c r="D21" s="594">
        <v>195574404.12109998</v>
      </c>
      <c r="E21" s="575">
        <f t="shared" si="0"/>
        <v>321092782.62869996</v>
      </c>
      <c r="F21" s="574">
        <v>114037795.34259999</v>
      </c>
      <c r="G21" s="574">
        <v>203088985.88229999</v>
      </c>
      <c r="H21" s="575">
        <f t="shared" si="1"/>
        <v>317126781.22490001</v>
      </c>
    </row>
    <row r="22" spans="1:8">
      <c r="A22" s="388">
        <v>7</v>
      </c>
      <c r="B22" s="583" t="s">
        <v>739</v>
      </c>
      <c r="C22" s="574"/>
      <c r="D22" s="574"/>
      <c r="E22" s="575">
        <f t="shared" si="0"/>
        <v>0</v>
      </c>
      <c r="F22" s="574"/>
      <c r="G22" s="574"/>
      <c r="H22" s="575">
        <f t="shared" si="1"/>
        <v>0</v>
      </c>
    </row>
    <row r="23" spans="1:8">
      <c r="A23" s="388">
        <v>8</v>
      </c>
      <c r="B23" s="583" t="s">
        <v>740</v>
      </c>
      <c r="C23" s="574">
        <v>3516866.86</v>
      </c>
      <c r="D23" s="574"/>
      <c r="E23" s="575">
        <f t="shared" si="0"/>
        <v>3516866.86</v>
      </c>
      <c r="F23" s="574">
        <v>371930</v>
      </c>
      <c r="G23" s="574">
        <v>0</v>
      </c>
      <c r="H23" s="575">
        <f t="shared" si="1"/>
        <v>371930</v>
      </c>
    </row>
    <row r="24" spans="1:8">
      <c r="A24" s="388">
        <v>9</v>
      </c>
      <c r="B24" s="581" t="s">
        <v>741</v>
      </c>
      <c r="C24" s="574">
        <f>SUM(C25:C26)</f>
        <v>5531986.7199999997</v>
      </c>
      <c r="D24" s="574">
        <f>SUM(D25:D26)</f>
        <v>0</v>
      </c>
      <c r="E24" s="575">
        <f t="shared" si="0"/>
        <v>5531986.7199999997</v>
      </c>
      <c r="F24" s="574">
        <f>SUM(F25:F26)</f>
        <v>8293214.0899999999</v>
      </c>
      <c r="G24" s="574">
        <f>SUM(G25:G26)</f>
        <v>0</v>
      </c>
      <c r="H24" s="575">
        <f t="shared" si="1"/>
        <v>8293214.0899999999</v>
      </c>
    </row>
    <row r="25" spans="1:8">
      <c r="A25" s="388">
        <v>9.1</v>
      </c>
      <c r="B25" s="584" t="s">
        <v>742</v>
      </c>
      <c r="C25" s="574">
        <v>5531986.7199999997</v>
      </c>
      <c r="D25" s="574"/>
      <c r="E25" s="575">
        <f t="shared" si="0"/>
        <v>5531986.7199999997</v>
      </c>
      <c r="F25" s="574">
        <v>8293214.0899999999</v>
      </c>
      <c r="G25" s="574">
        <v>0</v>
      </c>
      <c r="H25" s="575">
        <f t="shared" si="1"/>
        <v>8293214.0899999999</v>
      </c>
    </row>
    <row r="26" spans="1:8">
      <c r="A26" s="388">
        <v>9.1999999999999993</v>
      </c>
      <c r="B26" s="584" t="s">
        <v>743</v>
      </c>
      <c r="C26" s="574"/>
      <c r="D26" s="574"/>
      <c r="E26" s="575">
        <f t="shared" si="0"/>
        <v>0</v>
      </c>
      <c r="F26" s="574"/>
      <c r="G26" s="574"/>
      <c r="H26" s="575">
        <f t="shared" si="1"/>
        <v>0</v>
      </c>
    </row>
    <row r="27" spans="1:8">
      <c r="A27" s="388">
        <v>10</v>
      </c>
      <c r="B27" s="581" t="s">
        <v>37</v>
      </c>
      <c r="C27" s="574">
        <f>SUM(C28:C29)</f>
        <v>5428708.8499999996</v>
      </c>
      <c r="D27" s="574">
        <f>SUM(D28:D29)</f>
        <v>0</v>
      </c>
      <c r="E27" s="575">
        <f t="shared" si="0"/>
        <v>5428708.8499999996</v>
      </c>
      <c r="F27" s="574">
        <f>SUM(F28:F29)</f>
        <v>5162240.7</v>
      </c>
      <c r="G27" s="574">
        <f>SUM(G28:G29)</f>
        <v>0</v>
      </c>
      <c r="H27" s="575">
        <f t="shared" si="1"/>
        <v>5162240.7</v>
      </c>
    </row>
    <row r="28" spans="1:8">
      <c r="A28" s="388">
        <v>10.1</v>
      </c>
      <c r="B28" s="584" t="s">
        <v>744</v>
      </c>
      <c r="C28" s="574"/>
      <c r="D28" s="574"/>
      <c r="E28" s="575">
        <f t="shared" si="0"/>
        <v>0</v>
      </c>
      <c r="F28" s="574"/>
      <c r="G28" s="574"/>
      <c r="H28" s="575">
        <f t="shared" si="1"/>
        <v>0</v>
      </c>
    </row>
    <row r="29" spans="1:8">
      <c r="A29" s="388">
        <v>10.199999999999999</v>
      </c>
      <c r="B29" s="584" t="s">
        <v>745</v>
      </c>
      <c r="C29" s="574">
        <v>5428708.8499999996</v>
      </c>
      <c r="D29" s="574"/>
      <c r="E29" s="575">
        <f t="shared" si="0"/>
        <v>5428708.8499999996</v>
      </c>
      <c r="F29" s="574">
        <v>5162240.7</v>
      </c>
      <c r="G29" s="574">
        <v>0</v>
      </c>
      <c r="H29" s="575">
        <f t="shared" si="1"/>
        <v>5162240.7</v>
      </c>
    </row>
    <row r="30" spans="1:8">
      <c r="A30" s="388">
        <v>11</v>
      </c>
      <c r="B30" s="581" t="s">
        <v>746</v>
      </c>
      <c r="C30" s="574">
        <f>SUM(C31:C32)</f>
        <v>0</v>
      </c>
      <c r="D30" s="574">
        <f>SUM(D31:D32)</f>
        <v>0</v>
      </c>
      <c r="E30" s="575">
        <f t="shared" si="0"/>
        <v>0</v>
      </c>
      <c r="F30" s="574">
        <f>SUM(F31:F32)</f>
        <v>0</v>
      </c>
      <c r="G30" s="574">
        <f>SUM(G31:G32)</f>
        <v>0</v>
      </c>
      <c r="H30" s="575">
        <f t="shared" si="1"/>
        <v>0</v>
      </c>
    </row>
    <row r="31" spans="1:8">
      <c r="A31" s="388">
        <v>11.1</v>
      </c>
      <c r="B31" s="584" t="s">
        <v>747</v>
      </c>
      <c r="C31" s="574"/>
      <c r="D31" s="574"/>
      <c r="E31" s="575">
        <f t="shared" si="0"/>
        <v>0</v>
      </c>
      <c r="F31" s="574"/>
      <c r="G31" s="574"/>
      <c r="H31" s="575">
        <f t="shared" si="1"/>
        <v>0</v>
      </c>
    </row>
    <row r="32" spans="1:8">
      <c r="A32" s="388">
        <v>11.2</v>
      </c>
      <c r="B32" s="584" t="s">
        <v>748</v>
      </c>
      <c r="C32" s="574"/>
      <c r="D32" s="574"/>
      <c r="E32" s="575">
        <f t="shared" si="0"/>
        <v>0</v>
      </c>
      <c r="F32" s="574"/>
      <c r="G32" s="574"/>
      <c r="H32" s="575">
        <f t="shared" si="1"/>
        <v>0</v>
      </c>
    </row>
    <row r="33" spans="1:8">
      <c r="A33" s="388">
        <v>13</v>
      </c>
      <c r="B33" s="581" t="s">
        <v>100</v>
      </c>
      <c r="C33" s="574">
        <v>2401338.5406000004</v>
      </c>
      <c r="D33" s="574">
        <v>170114.05410000001</v>
      </c>
      <c r="E33" s="575">
        <f t="shared" si="0"/>
        <v>2571452.5947000002</v>
      </c>
      <c r="F33" s="574">
        <v>1641811.3099999998</v>
      </c>
      <c r="G33" s="574">
        <v>20169.258120000002</v>
      </c>
      <c r="H33" s="575">
        <f t="shared" si="1"/>
        <v>1661980.5681199997</v>
      </c>
    </row>
    <row r="34" spans="1:8">
      <c r="A34" s="388">
        <v>13.1</v>
      </c>
      <c r="B34" s="585" t="s">
        <v>749</v>
      </c>
      <c r="C34" s="574"/>
      <c r="D34" s="574"/>
      <c r="E34" s="575">
        <f t="shared" si="0"/>
        <v>0</v>
      </c>
      <c r="F34" s="574"/>
      <c r="G34" s="574"/>
      <c r="H34" s="575">
        <f t="shared" si="1"/>
        <v>0</v>
      </c>
    </row>
    <row r="35" spans="1:8">
      <c r="A35" s="388">
        <v>13.2</v>
      </c>
      <c r="B35" s="585" t="s">
        <v>750</v>
      </c>
      <c r="C35" s="574"/>
      <c r="D35" s="574"/>
      <c r="E35" s="575">
        <f t="shared" si="0"/>
        <v>0</v>
      </c>
      <c r="F35" s="574"/>
      <c r="G35" s="574"/>
      <c r="H35" s="575">
        <f t="shared" si="1"/>
        <v>0</v>
      </c>
    </row>
    <row r="36" spans="1:8">
      <c r="A36" s="388">
        <v>14</v>
      </c>
      <c r="B36" s="586" t="s">
        <v>751</v>
      </c>
      <c r="C36" s="574">
        <f>SUM(C7,C11,C13,C14,C15,C19,C22,C23,C24,C27,C30,C33)</f>
        <v>227008921.92250001</v>
      </c>
      <c r="D36" s="574">
        <f>SUM(D7,D11,D13,D14,D15,D19,D22,D23,D24,D27,D30,D33)</f>
        <v>295541736.17939997</v>
      </c>
      <c r="E36" s="575">
        <f t="shared" si="0"/>
        <v>522550658.10189998</v>
      </c>
      <c r="F36" s="574">
        <f>SUM(F7,F11,F13,F14,F15,F19,F22,F23,F24,F27,F30,F33)</f>
        <v>179179266.82319996</v>
      </c>
      <c r="G36" s="574">
        <f>SUM(G7,G11,G13,G14,G15,G19,G22,G23,G24,G27,G30,G33)</f>
        <v>299476225.26211995</v>
      </c>
      <c r="H36" s="575">
        <f t="shared" si="1"/>
        <v>478655492.08531988</v>
      </c>
    </row>
    <row r="37" spans="1:8" ht="22.5" customHeight="1">
      <c r="A37" s="388"/>
      <c r="B37" s="587" t="s">
        <v>105</v>
      </c>
      <c r="C37" s="750"/>
      <c r="D37" s="751"/>
      <c r="E37" s="751"/>
      <c r="F37" s="751"/>
      <c r="G37" s="751"/>
      <c r="H37" s="752"/>
    </row>
    <row r="38" spans="1:8">
      <c r="A38" s="388">
        <v>15</v>
      </c>
      <c r="B38" s="583" t="s">
        <v>752</v>
      </c>
      <c r="C38" s="578">
        <v>3442155.54</v>
      </c>
      <c r="D38" s="578">
        <v>0</v>
      </c>
      <c r="E38" s="579">
        <f>C38+D38</f>
        <v>3442155.54</v>
      </c>
      <c r="F38" s="578">
        <v>2827203.98</v>
      </c>
      <c r="G38" s="578">
        <v>0</v>
      </c>
      <c r="H38" s="579">
        <f>F38+G38</f>
        <v>2827203.98</v>
      </c>
    </row>
    <row r="39" spans="1:8">
      <c r="A39" s="388">
        <v>15.1</v>
      </c>
      <c r="B39" s="588" t="s">
        <v>732</v>
      </c>
      <c r="C39" s="594">
        <v>3442155.54</v>
      </c>
      <c r="D39" s="594"/>
      <c r="E39" s="579">
        <f t="shared" ref="E39:E53" si="2">C39+D39</f>
        <v>3442155.54</v>
      </c>
      <c r="F39" s="578">
        <v>2827203.98</v>
      </c>
      <c r="G39" s="578"/>
      <c r="H39" s="579">
        <f t="shared" ref="H39:H53" si="3">F39+G39</f>
        <v>2827203.98</v>
      </c>
    </row>
    <row r="40" spans="1:8" ht="24" customHeight="1">
      <c r="A40" s="388">
        <v>16</v>
      </c>
      <c r="B40" s="583" t="s">
        <v>753</v>
      </c>
      <c r="C40" s="578"/>
      <c r="D40" s="578"/>
      <c r="E40" s="579">
        <f t="shared" si="2"/>
        <v>0</v>
      </c>
      <c r="F40" s="578">
        <v>0</v>
      </c>
      <c r="G40" s="578">
        <v>0</v>
      </c>
      <c r="H40" s="579">
        <f t="shared" si="3"/>
        <v>0</v>
      </c>
    </row>
    <row r="41" spans="1:8">
      <c r="A41" s="388">
        <v>17</v>
      </c>
      <c r="B41" s="583" t="s">
        <v>754</v>
      </c>
      <c r="C41" s="578">
        <f>SUM(C42:C45)</f>
        <v>110084511.86999999</v>
      </c>
      <c r="D41" s="578">
        <f>SUM(D42:D45)</f>
        <v>273470520.76419997</v>
      </c>
      <c r="E41" s="579">
        <f t="shared" si="2"/>
        <v>383555032.63419998</v>
      </c>
      <c r="F41" s="578">
        <f>SUM(F42:F45)</f>
        <v>70869447.739999995</v>
      </c>
      <c r="G41" s="578">
        <f>SUM(G42:G45)</f>
        <v>266438024.60550004</v>
      </c>
      <c r="H41" s="579">
        <f t="shared" si="3"/>
        <v>337307472.34550005</v>
      </c>
    </row>
    <row r="42" spans="1:8">
      <c r="A42" s="388">
        <v>17.100000000000001</v>
      </c>
      <c r="B42" s="589" t="s">
        <v>755</v>
      </c>
      <c r="C42" s="578">
        <v>110084511.86999999</v>
      </c>
      <c r="D42" s="578">
        <v>249629781.96339998</v>
      </c>
      <c r="E42" s="579">
        <f t="shared" si="2"/>
        <v>359714293.83339995</v>
      </c>
      <c r="F42" s="578">
        <v>50786828.559999995</v>
      </c>
      <c r="G42" s="578">
        <v>245202840.46110004</v>
      </c>
      <c r="H42" s="579">
        <f t="shared" si="3"/>
        <v>295989669.02110004</v>
      </c>
    </row>
    <row r="43" spans="1:8">
      <c r="A43" s="388">
        <v>17.2</v>
      </c>
      <c r="B43" s="590" t="s">
        <v>101</v>
      </c>
      <c r="C43" s="578">
        <v>0</v>
      </c>
      <c r="D43" s="578">
        <v>20732649.090599999</v>
      </c>
      <c r="E43" s="579">
        <f t="shared" si="2"/>
        <v>20732649.090599999</v>
      </c>
      <c r="F43" s="578">
        <v>20082619.18</v>
      </c>
      <c r="G43" s="578">
        <v>15633136.406300001</v>
      </c>
      <c r="H43" s="579">
        <f t="shared" si="3"/>
        <v>35715755.586300001</v>
      </c>
    </row>
    <row r="44" spans="1:8">
      <c r="A44" s="388">
        <v>17.3</v>
      </c>
      <c r="B44" s="589" t="s">
        <v>756</v>
      </c>
      <c r="C44" s="578"/>
      <c r="D44" s="578"/>
      <c r="E44" s="579">
        <f t="shared" si="2"/>
        <v>0</v>
      </c>
      <c r="F44" s="578"/>
      <c r="G44" s="578"/>
      <c r="H44" s="579">
        <f t="shared" si="3"/>
        <v>0</v>
      </c>
    </row>
    <row r="45" spans="1:8">
      <c r="A45" s="388">
        <v>17.399999999999999</v>
      </c>
      <c r="B45" s="589" t="s">
        <v>757</v>
      </c>
      <c r="C45" s="578">
        <v>0</v>
      </c>
      <c r="D45" s="578">
        <v>3108089.7102000001</v>
      </c>
      <c r="E45" s="579">
        <f t="shared" si="2"/>
        <v>3108089.7102000001</v>
      </c>
      <c r="F45" s="578"/>
      <c r="G45" s="578">
        <v>5602047.7380999997</v>
      </c>
      <c r="H45" s="579">
        <f t="shared" si="3"/>
        <v>5602047.7380999997</v>
      </c>
    </row>
    <row r="46" spans="1:8">
      <c r="A46" s="388">
        <v>18</v>
      </c>
      <c r="B46" s="581" t="s">
        <v>758</v>
      </c>
      <c r="C46" s="578">
        <v>625490.45510000002</v>
      </c>
      <c r="D46" s="578">
        <v>5850.2928000000002</v>
      </c>
      <c r="E46" s="579">
        <f t="shared" si="2"/>
        <v>631340.74790000007</v>
      </c>
      <c r="F46" s="578">
        <v>252329.37779999999</v>
      </c>
      <c r="G46" s="578">
        <v>192898.4327</v>
      </c>
      <c r="H46" s="579">
        <f t="shared" si="3"/>
        <v>445227.81050000002</v>
      </c>
    </row>
    <row r="47" spans="1:8">
      <c r="A47" s="388">
        <v>19</v>
      </c>
      <c r="B47" s="581" t="s">
        <v>759</v>
      </c>
      <c r="C47" s="578">
        <f>SUM(C48:C49)</f>
        <v>0</v>
      </c>
      <c r="D47" s="578">
        <f>SUM(D48:D49)</f>
        <v>0</v>
      </c>
      <c r="E47" s="579">
        <f t="shared" si="2"/>
        <v>0</v>
      </c>
      <c r="F47" s="578">
        <f>SUM(F48:F49)</f>
        <v>0</v>
      </c>
      <c r="G47" s="578">
        <f>SUM(G48:G49)</f>
        <v>0</v>
      </c>
      <c r="H47" s="579">
        <f t="shared" si="3"/>
        <v>0</v>
      </c>
    </row>
    <row r="48" spans="1:8">
      <c r="A48" s="388">
        <v>19.100000000000001</v>
      </c>
      <c r="B48" s="591" t="s">
        <v>760</v>
      </c>
      <c r="C48" s="578"/>
      <c r="D48" s="578"/>
      <c r="E48" s="579">
        <f t="shared" si="2"/>
        <v>0</v>
      </c>
      <c r="F48" s="578"/>
      <c r="G48" s="578"/>
      <c r="H48" s="579">
        <f t="shared" si="3"/>
        <v>0</v>
      </c>
    </row>
    <row r="49" spans="1:8">
      <c r="A49" s="388">
        <v>19.2</v>
      </c>
      <c r="B49" s="591" t="s">
        <v>761</v>
      </c>
      <c r="C49" s="578"/>
      <c r="D49" s="578"/>
      <c r="E49" s="579">
        <f t="shared" si="2"/>
        <v>0</v>
      </c>
      <c r="F49" s="578"/>
      <c r="G49" s="578"/>
      <c r="H49" s="579">
        <f t="shared" si="3"/>
        <v>0</v>
      </c>
    </row>
    <row r="50" spans="1:8">
      <c r="A50" s="388">
        <v>20</v>
      </c>
      <c r="B50" s="586" t="s">
        <v>102</v>
      </c>
      <c r="C50" s="578">
        <v>0</v>
      </c>
      <c r="D50" s="578">
        <v>25461173.840599999</v>
      </c>
      <c r="E50" s="579">
        <f t="shared" si="2"/>
        <v>25461173.840599999</v>
      </c>
      <c r="F50" s="578"/>
      <c r="G50" s="578">
        <v>30646982.43</v>
      </c>
      <c r="H50" s="579">
        <f t="shared" si="3"/>
        <v>30646982.43</v>
      </c>
    </row>
    <row r="51" spans="1:8">
      <c r="A51" s="388">
        <v>21</v>
      </c>
      <c r="B51" s="592" t="s">
        <v>90</v>
      </c>
      <c r="C51" s="578">
        <v>4845632.49</v>
      </c>
      <c r="D51" s="578">
        <v>1465166.1784999997</v>
      </c>
      <c r="E51" s="579">
        <f t="shared" si="2"/>
        <v>6310798.6684999997</v>
      </c>
      <c r="F51" s="578">
        <v>2704464.2</v>
      </c>
      <c r="G51" s="578">
        <v>582013.59369999997</v>
      </c>
      <c r="H51" s="579">
        <f t="shared" si="3"/>
        <v>3286477.7937000003</v>
      </c>
    </row>
    <row r="52" spans="1:8">
      <c r="A52" s="388">
        <v>21.1</v>
      </c>
      <c r="B52" s="590" t="s">
        <v>762</v>
      </c>
      <c r="C52" s="578"/>
      <c r="D52" s="578"/>
      <c r="E52" s="579">
        <f t="shared" si="2"/>
        <v>0</v>
      </c>
      <c r="F52" s="578"/>
      <c r="G52" s="578"/>
      <c r="H52" s="579">
        <f t="shared" si="3"/>
        <v>0</v>
      </c>
    </row>
    <row r="53" spans="1:8">
      <c r="A53" s="388">
        <v>22</v>
      </c>
      <c r="B53" s="586" t="s">
        <v>763</v>
      </c>
      <c r="C53" s="578">
        <f>SUM(C38,C40,C41,C46,C47,C50,C51)</f>
        <v>118997790.35509999</v>
      </c>
      <c r="D53" s="578">
        <f>SUM(D38,D40,D41,D46,D47,D50,D51)</f>
        <v>300402711.07609999</v>
      </c>
      <c r="E53" s="579">
        <f t="shared" si="2"/>
        <v>419400501.43119997</v>
      </c>
      <c r="F53" s="578">
        <f>SUM(F38,F40,F41,F46,F47,F50,F51)</f>
        <v>76653445.297800004</v>
      </c>
      <c r="G53" s="578">
        <f>SUM(G38,G40,G41,G46,G47,G50,G51)</f>
        <v>297859919.06190002</v>
      </c>
      <c r="H53" s="579">
        <f t="shared" si="3"/>
        <v>374513364.35970002</v>
      </c>
    </row>
    <row r="54" spans="1:8" ht="24" customHeight="1">
      <c r="A54" s="388"/>
      <c r="B54" s="587" t="s">
        <v>764</v>
      </c>
      <c r="C54" s="753"/>
      <c r="D54" s="754"/>
      <c r="E54" s="754"/>
      <c r="F54" s="754"/>
      <c r="G54" s="754"/>
      <c r="H54" s="755"/>
    </row>
    <row r="55" spans="1:8">
      <c r="A55" s="388">
        <v>23</v>
      </c>
      <c r="B55" s="586" t="s">
        <v>106</v>
      </c>
      <c r="C55" s="578">
        <v>129000000</v>
      </c>
      <c r="D55" s="578"/>
      <c r="E55" s="579">
        <f>C55+D55</f>
        <v>129000000</v>
      </c>
      <c r="F55" s="578">
        <v>129000000</v>
      </c>
      <c r="G55" s="578"/>
      <c r="H55" s="579">
        <f>F55+G55</f>
        <v>129000000</v>
      </c>
    </row>
    <row r="56" spans="1:8">
      <c r="A56" s="388">
        <v>24</v>
      </c>
      <c r="B56" s="586" t="s">
        <v>765</v>
      </c>
      <c r="C56" s="578"/>
      <c r="D56" s="578"/>
      <c r="E56" s="579">
        <f t="shared" ref="E56:E69" si="4">C56+D56</f>
        <v>0</v>
      </c>
      <c r="F56" s="578"/>
      <c r="G56" s="578"/>
      <c r="H56" s="579">
        <f t="shared" ref="H56:H69" si="5">F56+G56</f>
        <v>0</v>
      </c>
    </row>
    <row r="57" spans="1:8">
      <c r="A57" s="388">
        <v>25</v>
      </c>
      <c r="B57" s="586" t="s">
        <v>103</v>
      </c>
      <c r="C57" s="578"/>
      <c r="D57" s="578"/>
      <c r="E57" s="579">
        <f t="shared" si="4"/>
        <v>0</v>
      </c>
      <c r="F57" s="578"/>
      <c r="G57" s="578"/>
      <c r="H57" s="579">
        <f t="shared" si="5"/>
        <v>0</v>
      </c>
    </row>
    <row r="58" spans="1:8">
      <c r="A58" s="388">
        <v>26</v>
      </c>
      <c r="B58" s="581" t="s">
        <v>766</v>
      </c>
      <c r="C58" s="578"/>
      <c r="D58" s="578"/>
      <c r="E58" s="579">
        <f t="shared" si="4"/>
        <v>0</v>
      </c>
      <c r="F58" s="578"/>
      <c r="G58" s="578"/>
      <c r="H58" s="579">
        <f t="shared" si="5"/>
        <v>0</v>
      </c>
    </row>
    <row r="59" spans="1:8">
      <c r="A59" s="388">
        <v>27</v>
      </c>
      <c r="B59" s="581" t="s">
        <v>767</v>
      </c>
      <c r="C59" s="578">
        <v>1154910.5</v>
      </c>
      <c r="D59" s="578">
        <f>SUM(D60:D61)</f>
        <v>0</v>
      </c>
      <c r="E59" s="579">
        <f t="shared" si="4"/>
        <v>1154910.5</v>
      </c>
      <c r="F59" s="578">
        <v>1154910.5</v>
      </c>
      <c r="G59" s="578"/>
      <c r="H59" s="579">
        <f t="shared" si="5"/>
        <v>1154910.5</v>
      </c>
    </row>
    <row r="60" spans="1:8">
      <c r="A60" s="388">
        <v>27.1</v>
      </c>
      <c r="B60" s="591" t="s">
        <v>768</v>
      </c>
      <c r="C60" s="578">
        <v>1154910.5</v>
      </c>
      <c r="D60" s="578"/>
      <c r="E60" s="579">
        <f t="shared" si="4"/>
        <v>1154910.5</v>
      </c>
      <c r="F60" s="578">
        <v>1154910.5</v>
      </c>
      <c r="G60" s="578"/>
      <c r="H60" s="579">
        <f t="shared" si="5"/>
        <v>1154910.5</v>
      </c>
    </row>
    <row r="61" spans="1:8">
      <c r="A61" s="388">
        <v>27.2</v>
      </c>
      <c r="B61" s="589" t="s">
        <v>769</v>
      </c>
      <c r="C61" s="578"/>
      <c r="D61" s="578"/>
      <c r="E61" s="579">
        <f t="shared" si="4"/>
        <v>0</v>
      </c>
      <c r="F61" s="578"/>
      <c r="G61" s="578"/>
      <c r="H61" s="579">
        <f t="shared" si="5"/>
        <v>0</v>
      </c>
    </row>
    <row r="62" spans="1:8">
      <c r="A62" s="388">
        <v>28</v>
      </c>
      <c r="B62" s="592" t="s">
        <v>770</v>
      </c>
      <c r="C62" s="578"/>
      <c r="D62" s="578"/>
      <c r="E62" s="579">
        <f t="shared" si="4"/>
        <v>0</v>
      </c>
      <c r="F62" s="578"/>
      <c r="G62" s="578"/>
      <c r="H62" s="579">
        <f t="shared" si="5"/>
        <v>0</v>
      </c>
    </row>
    <row r="63" spans="1:8">
      <c r="A63" s="388">
        <v>29</v>
      </c>
      <c r="B63" s="581" t="s">
        <v>771</v>
      </c>
      <c r="C63" s="578">
        <v>0</v>
      </c>
      <c r="D63" s="578">
        <f>SUM(D64:D66)</f>
        <v>0</v>
      </c>
      <c r="E63" s="579">
        <f t="shared" si="4"/>
        <v>0</v>
      </c>
      <c r="F63" s="578"/>
      <c r="G63" s="578"/>
      <c r="H63" s="579">
        <f t="shared" si="5"/>
        <v>0</v>
      </c>
    </row>
    <row r="64" spans="1:8">
      <c r="A64" s="388">
        <v>29.1</v>
      </c>
      <c r="B64" s="582" t="s">
        <v>772</v>
      </c>
      <c r="C64" s="578"/>
      <c r="D64" s="578"/>
      <c r="E64" s="579">
        <f t="shared" si="4"/>
        <v>0</v>
      </c>
      <c r="F64" s="578"/>
      <c r="G64" s="578"/>
      <c r="H64" s="579">
        <f t="shared" si="5"/>
        <v>0</v>
      </c>
    </row>
    <row r="65" spans="1:8" ht="25.05" customHeight="1">
      <c r="A65" s="388">
        <v>29.2</v>
      </c>
      <c r="B65" s="591" t="s">
        <v>773</v>
      </c>
      <c r="C65" s="578"/>
      <c r="D65" s="578"/>
      <c r="E65" s="579">
        <f t="shared" si="4"/>
        <v>0</v>
      </c>
      <c r="F65" s="578"/>
      <c r="G65" s="578"/>
      <c r="H65" s="579">
        <f t="shared" si="5"/>
        <v>0</v>
      </c>
    </row>
    <row r="66" spans="1:8" ht="22.5" customHeight="1">
      <c r="A66" s="388">
        <v>29.3</v>
      </c>
      <c r="B66" s="584" t="s">
        <v>774</v>
      </c>
      <c r="C66" s="578"/>
      <c r="D66" s="578"/>
      <c r="E66" s="579">
        <f t="shared" si="4"/>
        <v>0</v>
      </c>
      <c r="F66" s="578"/>
      <c r="G66" s="578"/>
      <c r="H66" s="579">
        <f t="shared" si="5"/>
        <v>0</v>
      </c>
    </row>
    <row r="67" spans="1:8">
      <c r="A67" s="388">
        <v>30</v>
      </c>
      <c r="B67" s="581" t="s">
        <v>104</v>
      </c>
      <c r="C67" s="578">
        <v>-27004753.82</v>
      </c>
      <c r="D67" s="578"/>
      <c r="E67" s="579">
        <f t="shared" si="4"/>
        <v>-27004753.82</v>
      </c>
      <c r="F67" s="578">
        <v>-26012782.791882839</v>
      </c>
      <c r="G67" s="578"/>
      <c r="H67" s="579">
        <f t="shared" si="5"/>
        <v>-26012782.791882839</v>
      </c>
    </row>
    <row r="68" spans="1:8">
      <c r="A68" s="388">
        <v>31</v>
      </c>
      <c r="B68" s="593" t="s">
        <v>775</v>
      </c>
      <c r="C68" s="594">
        <f>SUM(C55,C56,C57,C58,C59,C62,C63,C67)</f>
        <v>103150156.68000001</v>
      </c>
      <c r="D68" s="594">
        <f>SUM(D55,D56,D57,D58,D59,D62,D63,D67)</f>
        <v>0</v>
      </c>
      <c r="E68" s="579">
        <f t="shared" si="4"/>
        <v>103150156.68000001</v>
      </c>
      <c r="F68" s="594">
        <f>SUM(F55,F56,F57,F58,F59,F62,F63,F67)</f>
        <v>104142127.70811716</v>
      </c>
      <c r="G68" s="594">
        <f>SUM(G55,G56,G57,G58,G59,G62,G63,G67)</f>
        <v>0</v>
      </c>
      <c r="H68" s="579">
        <f t="shared" si="5"/>
        <v>104142127.70811716</v>
      </c>
    </row>
    <row r="69" spans="1:8">
      <c r="A69" s="388">
        <v>32</v>
      </c>
      <c r="B69" s="581" t="s">
        <v>776</v>
      </c>
      <c r="C69" s="578">
        <f>SUM(C53,C68)</f>
        <v>222147947.03509998</v>
      </c>
      <c r="D69" s="578">
        <f>SUM(D53,D68)</f>
        <v>300402711.07609999</v>
      </c>
      <c r="E69" s="579">
        <f t="shared" si="4"/>
        <v>522550658.11119998</v>
      </c>
      <c r="F69" s="578">
        <f>SUM(F53,F68)</f>
        <v>180795573.00591716</v>
      </c>
      <c r="G69" s="578">
        <f>SUM(G53,G68)</f>
        <v>297859919.06190002</v>
      </c>
      <c r="H69" s="579">
        <f t="shared" si="5"/>
        <v>478655492.06781721</v>
      </c>
    </row>
    <row r="70" spans="1:8">
      <c r="H70" s="595"/>
    </row>
    <row r="74" spans="1:8">
      <c r="E74" s="595"/>
    </row>
  </sheetData>
  <mergeCells count="7">
    <mergeCell ref="C37:H37"/>
    <mergeCell ref="C54:H54"/>
    <mergeCell ref="A4:A6"/>
    <mergeCell ref="B4:B5"/>
    <mergeCell ref="C4:E4"/>
    <mergeCell ref="F4:H4"/>
    <mergeCell ref="C6:H6"/>
  </mergeCells>
  <pageMargins left="0.7" right="0.7" top="0.75" bottom="0.75" header="0.3" footer="0.3"/>
  <pageSetup paperSize="9" scale="45" orientation="portrait" r:id="rId1"/>
  <headerFooter>
    <oddFooter>&amp;C_x000D_&amp;1#&amp;"Calibri"&amp;10&amp;K000000 C1 - FOR INTERNAL USE ONLY</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activeCell="A54" sqref="A54:C54"/>
    </sheetView>
  </sheetViews>
  <sheetFormatPr defaultColWidth="43.5546875" defaultRowHeight="12"/>
  <cols>
    <col min="1" max="1" width="8" style="150" customWidth="1"/>
    <col min="2" max="2" width="66.21875" style="151" customWidth="1"/>
    <col min="3" max="3" width="131.44140625" style="152" customWidth="1"/>
    <col min="4" max="5" width="10.21875" style="143" customWidth="1"/>
    <col min="6" max="6" width="67.6640625" style="143" customWidth="1"/>
    <col min="7" max="16384" width="43.5546875" style="143"/>
  </cols>
  <sheetData>
    <row r="1" spans="1:3" ht="13.2" thickTop="1" thickBot="1">
      <c r="A1" s="867" t="s">
        <v>188</v>
      </c>
      <c r="B1" s="868"/>
      <c r="C1" s="869"/>
    </row>
    <row r="2" spans="1:3" ht="26.25" customHeight="1">
      <c r="A2" s="361"/>
      <c r="B2" s="870" t="s">
        <v>189</v>
      </c>
      <c r="C2" s="870"/>
    </row>
    <row r="3" spans="1:3" s="148" customFormat="1" ht="11.25" customHeight="1">
      <c r="A3" s="147"/>
      <c r="B3" s="870" t="s">
        <v>264</v>
      </c>
      <c r="C3" s="870"/>
    </row>
    <row r="4" spans="1:3" ht="12" customHeight="1" thickBot="1">
      <c r="A4" s="871" t="s">
        <v>268</v>
      </c>
      <c r="B4" s="872"/>
      <c r="C4" s="873"/>
    </row>
    <row r="5" spans="1:3" ht="12.6" thickTop="1">
      <c r="A5" s="144"/>
      <c r="B5" s="874" t="s">
        <v>190</v>
      </c>
      <c r="C5" s="875"/>
    </row>
    <row r="6" spans="1:3">
      <c r="A6" s="361"/>
      <c r="B6" s="876" t="s">
        <v>265</v>
      </c>
      <c r="C6" s="877"/>
    </row>
    <row r="7" spans="1:3">
      <c r="A7" s="361"/>
      <c r="B7" s="876" t="s">
        <v>191</v>
      </c>
      <c r="C7" s="877"/>
    </row>
    <row r="8" spans="1:3">
      <c r="A8" s="361"/>
      <c r="B8" s="876" t="s">
        <v>266</v>
      </c>
      <c r="C8" s="877"/>
    </row>
    <row r="9" spans="1:3">
      <c r="A9" s="361"/>
      <c r="B9" s="882" t="s">
        <v>267</v>
      </c>
      <c r="C9" s="883"/>
    </row>
    <row r="10" spans="1:3">
      <c r="A10" s="361"/>
      <c r="B10" s="878" t="s">
        <v>192</v>
      </c>
      <c r="C10" s="879" t="s">
        <v>192</v>
      </c>
    </row>
    <row r="11" spans="1:3">
      <c r="A11" s="361"/>
      <c r="B11" s="878" t="s">
        <v>193</v>
      </c>
      <c r="C11" s="879" t="s">
        <v>193</v>
      </c>
    </row>
    <row r="12" spans="1:3">
      <c r="A12" s="361"/>
      <c r="B12" s="878" t="s">
        <v>194</v>
      </c>
      <c r="C12" s="879" t="s">
        <v>194</v>
      </c>
    </row>
    <row r="13" spans="1:3">
      <c r="A13" s="361"/>
      <c r="B13" s="878" t="s">
        <v>195</v>
      </c>
      <c r="C13" s="879" t="s">
        <v>195</v>
      </c>
    </row>
    <row r="14" spans="1:3">
      <c r="A14" s="361"/>
      <c r="B14" s="878" t="s">
        <v>196</v>
      </c>
      <c r="C14" s="879" t="s">
        <v>196</v>
      </c>
    </row>
    <row r="15" spans="1:3" ht="21.75" customHeight="1">
      <c r="A15" s="361"/>
      <c r="B15" s="878" t="s">
        <v>197</v>
      </c>
      <c r="C15" s="879" t="s">
        <v>197</v>
      </c>
    </row>
    <row r="16" spans="1:3">
      <c r="A16" s="361"/>
      <c r="B16" s="878" t="s">
        <v>198</v>
      </c>
      <c r="C16" s="879" t="s">
        <v>199</v>
      </c>
    </row>
    <row r="17" spans="1:6">
      <c r="A17" s="361"/>
      <c r="B17" s="878" t="s">
        <v>200</v>
      </c>
      <c r="C17" s="879" t="s">
        <v>201</v>
      </c>
    </row>
    <row r="18" spans="1:6">
      <c r="A18" s="361"/>
      <c r="B18" s="878" t="s">
        <v>202</v>
      </c>
      <c r="C18" s="879" t="s">
        <v>203</v>
      </c>
    </row>
    <row r="19" spans="1:6">
      <c r="A19" s="361"/>
      <c r="B19" s="878" t="s">
        <v>204</v>
      </c>
      <c r="C19" s="879" t="s">
        <v>204</v>
      </c>
    </row>
    <row r="20" spans="1:6">
      <c r="A20" s="361"/>
      <c r="B20" s="880" t="s">
        <v>960</v>
      </c>
      <c r="C20" s="881" t="s">
        <v>205</v>
      </c>
    </row>
    <row r="21" spans="1:6">
      <c r="A21" s="361"/>
      <c r="B21" s="878" t="s">
        <v>949</v>
      </c>
      <c r="C21" s="879" t="s">
        <v>206</v>
      </c>
    </row>
    <row r="22" spans="1:6" ht="23.25" customHeight="1">
      <c r="A22" s="361"/>
      <c r="B22" s="878" t="s">
        <v>207</v>
      </c>
      <c r="C22" s="879" t="s">
        <v>208</v>
      </c>
      <c r="F22" s="558"/>
    </row>
    <row r="23" spans="1:6">
      <c r="A23" s="361"/>
      <c r="B23" s="878" t="s">
        <v>209</v>
      </c>
      <c r="C23" s="879" t="s">
        <v>209</v>
      </c>
    </row>
    <row r="24" spans="1:6">
      <c r="A24" s="361"/>
      <c r="B24" s="878" t="s">
        <v>210</v>
      </c>
      <c r="C24" s="879" t="s">
        <v>211</v>
      </c>
    </row>
    <row r="25" spans="1:6" ht="12.6" thickBot="1">
      <c r="A25" s="145"/>
      <c r="B25" s="889" t="s">
        <v>212</v>
      </c>
      <c r="C25" s="890"/>
    </row>
    <row r="26" spans="1:6" ht="13.2" thickTop="1" thickBot="1">
      <c r="A26" s="871" t="s">
        <v>845</v>
      </c>
      <c r="B26" s="872"/>
      <c r="C26" s="873"/>
    </row>
    <row r="27" spans="1:6" ht="13.2" thickTop="1" thickBot="1">
      <c r="A27" s="146"/>
      <c r="B27" s="891" t="s">
        <v>846</v>
      </c>
      <c r="C27" s="892"/>
    </row>
    <row r="28" spans="1:6" ht="13.2" thickTop="1" thickBot="1">
      <c r="A28" s="871" t="s">
        <v>269</v>
      </c>
      <c r="B28" s="872"/>
      <c r="C28" s="873"/>
    </row>
    <row r="29" spans="1:6" ht="12.6" thickTop="1">
      <c r="A29" s="144"/>
      <c r="B29" s="893" t="s">
        <v>849</v>
      </c>
      <c r="C29" s="894" t="s">
        <v>213</v>
      </c>
    </row>
    <row r="30" spans="1:6">
      <c r="A30" s="361"/>
      <c r="B30" s="884" t="s">
        <v>217</v>
      </c>
      <c r="C30" s="885" t="s">
        <v>214</v>
      </c>
    </row>
    <row r="31" spans="1:6">
      <c r="A31" s="361"/>
      <c r="B31" s="884" t="s">
        <v>847</v>
      </c>
      <c r="C31" s="885" t="s">
        <v>215</v>
      </c>
    </row>
    <row r="32" spans="1:6">
      <c r="A32" s="361"/>
      <c r="B32" s="884" t="s">
        <v>848</v>
      </c>
      <c r="C32" s="885" t="s">
        <v>216</v>
      </c>
    </row>
    <row r="33" spans="1:3">
      <c r="A33" s="361"/>
      <c r="B33" s="884" t="s">
        <v>220</v>
      </c>
      <c r="C33" s="885" t="s">
        <v>221</v>
      </c>
    </row>
    <row r="34" spans="1:3">
      <c r="A34" s="361"/>
      <c r="B34" s="884" t="s">
        <v>850</v>
      </c>
      <c r="C34" s="885" t="s">
        <v>218</v>
      </c>
    </row>
    <row r="35" spans="1:3">
      <c r="A35" s="361"/>
      <c r="B35" s="884" t="s">
        <v>851</v>
      </c>
      <c r="C35" s="885" t="s">
        <v>219</v>
      </c>
    </row>
    <row r="36" spans="1:3">
      <c r="A36" s="361"/>
      <c r="B36" s="886" t="s">
        <v>852</v>
      </c>
      <c r="C36" s="887"/>
    </row>
    <row r="37" spans="1:3" ht="24.75" customHeight="1">
      <c r="A37" s="361"/>
      <c r="B37" s="884" t="s">
        <v>853</v>
      </c>
      <c r="C37" s="885" t="s">
        <v>222</v>
      </c>
    </row>
    <row r="38" spans="1:3" ht="23.25" customHeight="1">
      <c r="A38" s="361"/>
      <c r="B38" s="884" t="s">
        <v>854</v>
      </c>
      <c r="C38" s="885" t="s">
        <v>223</v>
      </c>
    </row>
    <row r="39" spans="1:3" ht="23.25" customHeight="1">
      <c r="A39" s="399"/>
      <c r="B39" s="886" t="s">
        <v>855</v>
      </c>
      <c r="C39" s="888"/>
    </row>
    <row r="40" spans="1:3" ht="12" customHeight="1">
      <c r="A40" s="361"/>
      <c r="B40" s="884" t="s">
        <v>856</v>
      </c>
      <c r="C40" s="885"/>
    </row>
    <row r="41" spans="1:3" ht="12.6" thickBot="1">
      <c r="A41" s="871" t="s">
        <v>270</v>
      </c>
      <c r="B41" s="872"/>
      <c r="C41" s="873"/>
    </row>
    <row r="42" spans="1:3" ht="12.6" thickTop="1">
      <c r="A42" s="144"/>
      <c r="B42" s="874" t="s">
        <v>300</v>
      </c>
      <c r="C42" s="875" t="s">
        <v>224</v>
      </c>
    </row>
    <row r="43" spans="1:3">
      <c r="A43" s="361"/>
      <c r="B43" s="876" t="s">
        <v>299</v>
      </c>
      <c r="C43" s="877"/>
    </row>
    <row r="44" spans="1:3" ht="23.25" customHeight="1" thickBot="1">
      <c r="A44" s="145"/>
      <c r="B44" s="895" t="s">
        <v>225</v>
      </c>
      <c r="C44" s="896" t="s">
        <v>226</v>
      </c>
    </row>
    <row r="45" spans="1:3" ht="11.25" customHeight="1" thickTop="1" thickBot="1">
      <c r="A45" s="871" t="s">
        <v>271</v>
      </c>
      <c r="B45" s="872"/>
      <c r="C45" s="873"/>
    </row>
    <row r="46" spans="1:3" ht="26.25" customHeight="1" thickTop="1">
      <c r="A46" s="361"/>
      <c r="B46" s="876" t="s">
        <v>272</v>
      </c>
      <c r="C46" s="877"/>
    </row>
    <row r="47" spans="1:3" ht="12.6" thickBot="1">
      <c r="A47" s="871" t="s">
        <v>273</v>
      </c>
      <c r="B47" s="872"/>
      <c r="C47" s="873"/>
    </row>
    <row r="48" spans="1:3" ht="12.6" thickTop="1">
      <c r="A48" s="144"/>
      <c r="B48" s="874" t="s">
        <v>227</v>
      </c>
      <c r="C48" s="875" t="s">
        <v>227</v>
      </c>
    </row>
    <row r="49" spans="1:3" ht="11.25" customHeight="1">
      <c r="A49" s="361"/>
      <c r="B49" s="876" t="s">
        <v>228</v>
      </c>
      <c r="C49" s="877" t="s">
        <v>228</v>
      </c>
    </row>
    <row r="50" spans="1:3">
      <c r="A50" s="361"/>
      <c r="B50" s="876" t="s">
        <v>229</v>
      </c>
      <c r="C50" s="877" t="s">
        <v>229</v>
      </c>
    </row>
    <row r="51" spans="1:3" ht="11.25" customHeight="1">
      <c r="A51" s="361"/>
      <c r="B51" s="876" t="s">
        <v>858</v>
      </c>
      <c r="C51" s="877" t="s">
        <v>230</v>
      </c>
    </row>
    <row r="52" spans="1:3" ht="33.6" customHeight="1">
      <c r="A52" s="361"/>
      <c r="B52" s="876" t="s">
        <v>231</v>
      </c>
      <c r="C52" s="877" t="s">
        <v>231</v>
      </c>
    </row>
    <row r="53" spans="1:3" ht="11.25" customHeight="1">
      <c r="A53" s="361"/>
      <c r="B53" s="876" t="s">
        <v>320</v>
      </c>
      <c r="C53" s="877" t="s">
        <v>232</v>
      </c>
    </row>
    <row r="54" spans="1:3" ht="11.25" customHeight="1" thickBot="1">
      <c r="A54" s="871" t="s">
        <v>274</v>
      </c>
      <c r="B54" s="872"/>
      <c r="C54" s="873"/>
    </row>
    <row r="55" spans="1:3" ht="12.6" thickTop="1">
      <c r="A55" s="144"/>
      <c r="B55" s="874" t="s">
        <v>227</v>
      </c>
      <c r="C55" s="875" t="s">
        <v>227</v>
      </c>
    </row>
    <row r="56" spans="1:3">
      <c r="A56" s="361"/>
      <c r="B56" s="876" t="s">
        <v>233</v>
      </c>
      <c r="C56" s="877" t="s">
        <v>233</v>
      </c>
    </row>
    <row r="57" spans="1:3">
      <c r="A57" s="361"/>
      <c r="B57" s="876" t="s">
        <v>277</v>
      </c>
      <c r="C57" s="877" t="s">
        <v>234</v>
      </c>
    </row>
    <row r="58" spans="1:3">
      <c r="A58" s="361"/>
      <c r="B58" s="876" t="s">
        <v>235</v>
      </c>
      <c r="C58" s="877" t="s">
        <v>235</v>
      </c>
    </row>
    <row r="59" spans="1:3">
      <c r="A59" s="361"/>
      <c r="B59" s="876" t="s">
        <v>236</v>
      </c>
      <c r="C59" s="877" t="s">
        <v>236</v>
      </c>
    </row>
    <row r="60" spans="1:3">
      <c r="A60" s="361"/>
      <c r="B60" s="876" t="s">
        <v>237</v>
      </c>
      <c r="C60" s="877" t="s">
        <v>237</v>
      </c>
    </row>
    <row r="61" spans="1:3">
      <c r="A61" s="361"/>
      <c r="B61" s="876" t="s">
        <v>278</v>
      </c>
      <c r="C61" s="877" t="s">
        <v>238</v>
      </c>
    </row>
    <row r="62" spans="1:3">
      <c r="A62" s="361"/>
      <c r="B62" s="876" t="s">
        <v>239</v>
      </c>
      <c r="C62" s="877" t="s">
        <v>239</v>
      </c>
    </row>
    <row r="63" spans="1:3" ht="12.6" thickBot="1">
      <c r="A63" s="145"/>
      <c r="B63" s="895" t="s">
        <v>240</v>
      </c>
      <c r="C63" s="896" t="s">
        <v>240</v>
      </c>
    </row>
    <row r="64" spans="1:3" ht="11.25" customHeight="1" thickTop="1">
      <c r="A64" s="899" t="s">
        <v>275</v>
      </c>
      <c r="B64" s="900"/>
      <c r="C64" s="901"/>
    </row>
    <row r="65" spans="1:3" ht="12.6" thickBot="1">
      <c r="A65" s="145"/>
      <c r="B65" s="895" t="s">
        <v>241</v>
      </c>
      <c r="C65" s="896" t="s">
        <v>241</v>
      </c>
    </row>
    <row r="66" spans="1:3" ht="11.25" customHeight="1" thickTop="1" thickBot="1">
      <c r="A66" s="871" t="s">
        <v>276</v>
      </c>
      <c r="B66" s="872"/>
      <c r="C66" s="873"/>
    </row>
    <row r="67" spans="1:3" ht="12.6" thickTop="1">
      <c r="A67" s="144"/>
      <c r="B67" s="874" t="s">
        <v>242</v>
      </c>
      <c r="C67" s="875" t="s">
        <v>242</v>
      </c>
    </row>
    <row r="68" spans="1:3">
      <c r="A68" s="361"/>
      <c r="B68" s="876" t="s">
        <v>860</v>
      </c>
      <c r="C68" s="877" t="s">
        <v>243</v>
      </c>
    </row>
    <row r="69" spans="1:3">
      <c r="A69" s="361"/>
      <c r="B69" s="876" t="s">
        <v>244</v>
      </c>
      <c r="C69" s="877" t="s">
        <v>244</v>
      </c>
    </row>
    <row r="70" spans="1:3" ht="55.05" customHeight="1">
      <c r="A70" s="361"/>
      <c r="B70" s="897" t="s">
        <v>689</v>
      </c>
      <c r="C70" s="898" t="s">
        <v>245</v>
      </c>
    </row>
    <row r="71" spans="1:3" ht="33.75" customHeight="1">
      <c r="A71" s="361"/>
      <c r="B71" s="897" t="s">
        <v>279</v>
      </c>
      <c r="C71" s="898" t="s">
        <v>246</v>
      </c>
    </row>
    <row r="72" spans="1:3" ht="15.75" customHeight="1">
      <c r="A72" s="361"/>
      <c r="B72" s="897" t="s">
        <v>861</v>
      </c>
      <c r="C72" s="898" t="s">
        <v>247</v>
      </c>
    </row>
    <row r="73" spans="1:3">
      <c r="A73" s="361"/>
      <c r="B73" s="876" t="s">
        <v>248</v>
      </c>
      <c r="C73" s="877" t="s">
        <v>248</v>
      </c>
    </row>
    <row r="74" spans="1:3" ht="12.6" thickBot="1">
      <c r="A74" s="145"/>
      <c r="B74" s="895" t="s">
        <v>249</v>
      </c>
      <c r="C74" s="896" t="s">
        <v>249</v>
      </c>
    </row>
    <row r="75" spans="1:3" ht="12.6" thickTop="1">
      <c r="A75" s="899" t="s">
        <v>303</v>
      </c>
      <c r="B75" s="900"/>
      <c r="C75" s="901"/>
    </row>
    <row r="76" spans="1:3">
      <c r="A76" s="361"/>
      <c r="B76" s="876" t="s">
        <v>241</v>
      </c>
      <c r="C76" s="877"/>
    </row>
    <row r="77" spans="1:3">
      <c r="A77" s="361"/>
      <c r="B77" s="876" t="s">
        <v>301</v>
      </c>
      <c r="C77" s="877"/>
    </row>
    <row r="78" spans="1:3">
      <c r="A78" s="361"/>
      <c r="B78" s="876" t="s">
        <v>302</v>
      </c>
      <c r="C78" s="877"/>
    </row>
    <row r="79" spans="1:3">
      <c r="A79" s="899" t="s">
        <v>304</v>
      </c>
      <c r="B79" s="900"/>
      <c r="C79" s="901"/>
    </row>
    <row r="80" spans="1:3">
      <c r="A80" s="361"/>
      <c r="B80" s="876" t="s">
        <v>241</v>
      </c>
      <c r="C80" s="877"/>
    </row>
    <row r="81" spans="1:3">
      <c r="A81" s="361"/>
      <c r="B81" s="876" t="s">
        <v>305</v>
      </c>
      <c r="C81" s="877"/>
    </row>
    <row r="82" spans="1:3" ht="79.5" customHeight="1">
      <c r="A82" s="361"/>
      <c r="B82" s="876" t="s">
        <v>319</v>
      </c>
      <c r="C82" s="877"/>
    </row>
    <row r="83" spans="1:3" ht="53.25" customHeight="1">
      <c r="A83" s="361"/>
      <c r="B83" s="876" t="s">
        <v>318</v>
      </c>
      <c r="C83" s="877"/>
    </row>
    <row r="84" spans="1:3">
      <c r="A84" s="361"/>
      <c r="B84" s="876" t="s">
        <v>306</v>
      </c>
      <c r="C84" s="877"/>
    </row>
    <row r="85" spans="1:3">
      <c r="A85" s="361"/>
      <c r="B85" s="876" t="s">
        <v>307</v>
      </c>
      <c r="C85" s="877"/>
    </row>
    <row r="86" spans="1:3">
      <c r="A86" s="361"/>
      <c r="B86" s="876" t="s">
        <v>308</v>
      </c>
      <c r="C86" s="877"/>
    </row>
    <row r="87" spans="1:3">
      <c r="A87" s="899" t="s">
        <v>309</v>
      </c>
      <c r="B87" s="900"/>
      <c r="C87" s="901"/>
    </row>
    <row r="88" spans="1:3">
      <c r="A88" s="361"/>
      <c r="B88" s="876" t="s">
        <v>241</v>
      </c>
      <c r="C88" s="877"/>
    </row>
    <row r="89" spans="1:3">
      <c r="A89" s="361"/>
      <c r="B89" s="876" t="s">
        <v>311</v>
      </c>
      <c r="C89" s="877"/>
    </row>
    <row r="90" spans="1:3" ht="12" customHeight="1">
      <c r="A90" s="361"/>
      <c r="B90" s="876" t="s">
        <v>312</v>
      </c>
      <c r="C90" s="877"/>
    </row>
    <row r="91" spans="1:3">
      <c r="A91" s="361"/>
      <c r="B91" s="876" t="s">
        <v>313</v>
      </c>
      <c r="C91" s="877"/>
    </row>
    <row r="92" spans="1:3" ht="24.75" customHeight="1">
      <c r="A92" s="361"/>
      <c r="B92" s="902" t="s">
        <v>349</v>
      </c>
      <c r="C92" s="903"/>
    </row>
    <row r="93" spans="1:3" ht="24" customHeight="1">
      <c r="A93" s="361"/>
      <c r="B93" s="902" t="s">
        <v>350</v>
      </c>
      <c r="C93" s="903"/>
    </row>
    <row r="94" spans="1:3" ht="13.5" customHeight="1">
      <c r="A94" s="361"/>
      <c r="B94" s="904" t="s">
        <v>314</v>
      </c>
      <c r="C94" s="905"/>
    </row>
    <row r="95" spans="1:3" ht="11.25" customHeight="1" thickBot="1">
      <c r="A95" s="906" t="s">
        <v>345</v>
      </c>
      <c r="B95" s="907"/>
      <c r="C95" s="908"/>
    </row>
    <row r="96" spans="1:3" ht="13.2" thickTop="1" thickBot="1">
      <c r="A96" s="915" t="s">
        <v>250</v>
      </c>
      <c r="B96" s="915"/>
      <c r="C96" s="915"/>
    </row>
    <row r="97" spans="1:3">
      <c r="A97" s="216">
        <v>2</v>
      </c>
      <c r="B97" s="349" t="s">
        <v>325</v>
      </c>
      <c r="C97" s="349" t="s">
        <v>346</v>
      </c>
    </row>
    <row r="98" spans="1:3">
      <c r="A98" s="149">
        <v>3</v>
      </c>
      <c r="B98" s="350" t="s">
        <v>326</v>
      </c>
      <c r="C98" s="351" t="s">
        <v>347</v>
      </c>
    </row>
    <row r="99" spans="1:3">
      <c r="A99" s="149">
        <v>4</v>
      </c>
      <c r="B99" s="350" t="s">
        <v>327</v>
      </c>
      <c r="C99" s="351" t="s">
        <v>351</v>
      </c>
    </row>
    <row r="100" spans="1:3" ht="11.25" customHeight="1">
      <c r="A100" s="149">
        <v>5</v>
      </c>
      <c r="B100" s="350" t="s">
        <v>328</v>
      </c>
      <c r="C100" s="351" t="s">
        <v>348</v>
      </c>
    </row>
    <row r="101" spans="1:3" ht="12" customHeight="1">
      <c r="A101" s="149">
        <v>6</v>
      </c>
      <c r="B101" s="350" t="s">
        <v>343</v>
      </c>
      <c r="C101" s="351" t="s">
        <v>329</v>
      </c>
    </row>
    <row r="102" spans="1:3" ht="12" customHeight="1">
      <c r="A102" s="149">
        <v>7</v>
      </c>
      <c r="B102" s="350" t="s">
        <v>330</v>
      </c>
      <c r="C102" s="351" t="s">
        <v>344</v>
      </c>
    </row>
    <row r="103" spans="1:3">
      <c r="A103" s="149">
        <v>8</v>
      </c>
      <c r="B103" s="350" t="s">
        <v>335</v>
      </c>
      <c r="C103" s="351" t="s">
        <v>355</v>
      </c>
    </row>
    <row r="104" spans="1:3" ht="11.25" customHeight="1">
      <c r="A104" s="899" t="s">
        <v>315</v>
      </c>
      <c r="B104" s="900"/>
      <c r="C104" s="901"/>
    </row>
    <row r="105" spans="1:3" ht="12" customHeight="1">
      <c r="A105" s="361"/>
      <c r="B105" s="876" t="s">
        <v>241</v>
      </c>
      <c r="C105" s="877"/>
    </row>
    <row r="106" spans="1:3">
      <c r="A106" s="899" t="s">
        <v>490</v>
      </c>
      <c r="B106" s="900"/>
      <c r="C106" s="901"/>
    </row>
    <row r="107" spans="1:3" ht="12" customHeight="1">
      <c r="A107" s="361"/>
      <c r="B107" s="876" t="s">
        <v>492</v>
      </c>
      <c r="C107" s="877"/>
    </row>
    <row r="108" spans="1:3">
      <c r="A108" s="361"/>
      <c r="B108" s="876" t="s">
        <v>493</v>
      </c>
      <c r="C108" s="877"/>
    </row>
    <row r="109" spans="1:3">
      <c r="A109" s="361"/>
      <c r="B109" s="876" t="s">
        <v>491</v>
      </c>
      <c r="C109" s="877"/>
    </row>
    <row r="110" spans="1:3">
      <c r="A110" s="909" t="s">
        <v>725</v>
      </c>
      <c r="B110" s="909"/>
      <c r="C110" s="909"/>
    </row>
    <row r="111" spans="1:3">
      <c r="A111" s="910" t="s">
        <v>188</v>
      </c>
      <c r="B111" s="910"/>
      <c r="C111" s="910"/>
    </row>
    <row r="112" spans="1:3">
      <c r="A112" s="523">
        <v>1</v>
      </c>
      <c r="B112" s="911" t="s">
        <v>608</v>
      </c>
      <c r="C112" s="912"/>
    </row>
    <row r="113" spans="1:3">
      <c r="A113" s="523">
        <v>2</v>
      </c>
      <c r="B113" s="913" t="s">
        <v>609</v>
      </c>
      <c r="C113" s="914"/>
    </row>
    <row r="114" spans="1:3">
      <c r="A114" s="523">
        <v>3</v>
      </c>
      <c r="B114" s="911" t="s">
        <v>935</v>
      </c>
      <c r="C114" s="912"/>
    </row>
    <row r="115" spans="1:3">
      <c r="A115" s="523">
        <v>4</v>
      </c>
      <c r="B115" s="911" t="s">
        <v>934</v>
      </c>
      <c r="C115" s="912"/>
    </row>
    <row r="116" spans="1:3">
      <c r="A116" s="523">
        <v>5</v>
      </c>
      <c r="B116" s="527" t="s">
        <v>933</v>
      </c>
      <c r="C116" s="526"/>
    </row>
    <row r="117" spans="1:3">
      <c r="A117" s="523">
        <v>6</v>
      </c>
      <c r="B117" s="911" t="s">
        <v>947</v>
      </c>
      <c r="C117" s="912"/>
    </row>
    <row r="118" spans="1:3" ht="48.45" customHeight="1">
      <c r="A118" s="523">
        <v>7</v>
      </c>
      <c r="B118" s="911" t="s">
        <v>948</v>
      </c>
      <c r="C118" s="912"/>
    </row>
    <row r="119" spans="1:3">
      <c r="A119" s="500">
        <v>8</v>
      </c>
      <c r="B119" s="495" t="s">
        <v>635</v>
      </c>
      <c r="C119" s="520" t="s">
        <v>932</v>
      </c>
    </row>
    <row r="120" spans="1:3" ht="24">
      <c r="A120" s="523">
        <v>9.01</v>
      </c>
      <c r="B120" s="495" t="s">
        <v>519</v>
      </c>
      <c r="C120" s="496" t="s">
        <v>684</v>
      </c>
    </row>
    <row r="121" spans="1:3" ht="36">
      <c r="A121" s="523">
        <v>9.02</v>
      </c>
      <c r="B121" s="495" t="s">
        <v>520</v>
      </c>
      <c r="C121" s="496" t="s">
        <v>687</v>
      </c>
    </row>
    <row r="122" spans="1:3">
      <c r="A122" s="523">
        <v>9.0299999999999994</v>
      </c>
      <c r="B122" s="496" t="s">
        <v>869</v>
      </c>
      <c r="C122" s="496" t="s">
        <v>610</v>
      </c>
    </row>
    <row r="123" spans="1:3">
      <c r="A123" s="523">
        <v>9.0399999999999991</v>
      </c>
      <c r="B123" s="495" t="s">
        <v>521</v>
      </c>
      <c r="C123" s="496" t="s">
        <v>611</v>
      </c>
    </row>
    <row r="124" spans="1:3">
      <c r="A124" s="523">
        <v>9.0500000000000007</v>
      </c>
      <c r="B124" s="495" t="s">
        <v>522</v>
      </c>
      <c r="C124" s="496" t="s">
        <v>612</v>
      </c>
    </row>
    <row r="125" spans="1:3" ht="24">
      <c r="A125" s="523">
        <v>9.06</v>
      </c>
      <c r="B125" s="495" t="s">
        <v>523</v>
      </c>
      <c r="C125" s="496" t="s">
        <v>613</v>
      </c>
    </row>
    <row r="126" spans="1:3">
      <c r="A126" s="523">
        <v>9.07</v>
      </c>
      <c r="B126" s="525" t="s">
        <v>524</v>
      </c>
      <c r="C126" s="496" t="s">
        <v>614</v>
      </c>
    </row>
    <row r="127" spans="1:3" ht="24">
      <c r="A127" s="523">
        <v>9.08</v>
      </c>
      <c r="B127" s="495" t="s">
        <v>525</v>
      </c>
      <c r="C127" s="496" t="s">
        <v>615</v>
      </c>
    </row>
    <row r="128" spans="1:3" ht="24">
      <c r="A128" s="523">
        <v>9.09</v>
      </c>
      <c r="B128" s="495" t="s">
        <v>526</v>
      </c>
      <c r="C128" s="496" t="s">
        <v>616</v>
      </c>
    </row>
    <row r="129" spans="1:3">
      <c r="A129" s="524">
        <v>9.1</v>
      </c>
      <c r="B129" s="495" t="s">
        <v>527</v>
      </c>
      <c r="C129" s="496" t="s">
        <v>617</v>
      </c>
    </row>
    <row r="130" spans="1:3">
      <c r="A130" s="523">
        <v>9.11</v>
      </c>
      <c r="B130" s="495" t="s">
        <v>528</v>
      </c>
      <c r="C130" s="496" t="s">
        <v>618</v>
      </c>
    </row>
    <row r="131" spans="1:3">
      <c r="A131" s="523">
        <v>9.1199999999999992</v>
      </c>
      <c r="B131" s="495" t="s">
        <v>529</v>
      </c>
      <c r="C131" s="496" t="s">
        <v>619</v>
      </c>
    </row>
    <row r="132" spans="1:3">
      <c r="A132" s="523">
        <v>9.1300000000000008</v>
      </c>
      <c r="B132" s="495" t="s">
        <v>530</v>
      </c>
      <c r="C132" s="496" t="s">
        <v>620</v>
      </c>
    </row>
    <row r="133" spans="1:3">
      <c r="A133" s="523">
        <v>9.14</v>
      </c>
      <c r="B133" s="495" t="s">
        <v>531</v>
      </c>
      <c r="C133" s="496" t="s">
        <v>621</v>
      </c>
    </row>
    <row r="134" spans="1:3">
      <c r="A134" s="523">
        <v>9.15</v>
      </c>
      <c r="B134" s="495" t="s">
        <v>532</v>
      </c>
      <c r="C134" s="496" t="s">
        <v>622</v>
      </c>
    </row>
    <row r="135" spans="1:3">
      <c r="A135" s="523">
        <v>9.16</v>
      </c>
      <c r="B135" s="495" t="s">
        <v>533</v>
      </c>
      <c r="C135" s="496" t="s">
        <v>623</v>
      </c>
    </row>
    <row r="136" spans="1:3">
      <c r="A136" s="523">
        <v>9.17</v>
      </c>
      <c r="B136" s="496" t="s">
        <v>534</v>
      </c>
      <c r="C136" s="496" t="s">
        <v>624</v>
      </c>
    </row>
    <row r="137" spans="1:3" ht="24">
      <c r="A137" s="523">
        <v>9.18</v>
      </c>
      <c r="B137" s="495" t="s">
        <v>535</v>
      </c>
      <c r="C137" s="496" t="s">
        <v>625</v>
      </c>
    </row>
    <row r="138" spans="1:3">
      <c r="A138" s="523">
        <v>9.19</v>
      </c>
      <c r="B138" s="495" t="s">
        <v>536</v>
      </c>
      <c r="C138" s="496" t="s">
        <v>626</v>
      </c>
    </row>
    <row r="139" spans="1:3">
      <c r="A139" s="524">
        <v>9.1999999999999993</v>
      </c>
      <c r="B139" s="495" t="s">
        <v>537</v>
      </c>
      <c r="C139" s="496" t="s">
        <v>627</v>
      </c>
    </row>
    <row r="140" spans="1:3">
      <c r="A140" s="523">
        <v>9.2100000000000009</v>
      </c>
      <c r="B140" s="495" t="s">
        <v>538</v>
      </c>
      <c r="C140" s="496" t="s">
        <v>628</v>
      </c>
    </row>
    <row r="141" spans="1:3">
      <c r="A141" s="523">
        <v>9.2200000000000006</v>
      </c>
      <c r="B141" s="495" t="s">
        <v>539</v>
      </c>
      <c r="C141" s="496" t="s">
        <v>629</v>
      </c>
    </row>
    <row r="142" spans="1:3" ht="24">
      <c r="A142" s="523">
        <v>9.23</v>
      </c>
      <c r="B142" s="495" t="s">
        <v>540</v>
      </c>
      <c r="C142" s="496" t="s">
        <v>630</v>
      </c>
    </row>
    <row r="143" spans="1:3" ht="24">
      <c r="A143" s="523">
        <v>9.24</v>
      </c>
      <c r="B143" s="495" t="s">
        <v>541</v>
      </c>
      <c r="C143" s="496" t="s">
        <v>631</v>
      </c>
    </row>
    <row r="144" spans="1:3">
      <c r="A144" s="523">
        <v>9.2500000000000107</v>
      </c>
      <c r="B144" s="495" t="s">
        <v>542</v>
      </c>
      <c r="C144" s="496" t="s">
        <v>632</v>
      </c>
    </row>
    <row r="145" spans="1:3" ht="24">
      <c r="A145" s="523">
        <v>9.2600000000000193</v>
      </c>
      <c r="B145" s="495" t="s">
        <v>633</v>
      </c>
      <c r="C145" s="522" t="s">
        <v>634</v>
      </c>
    </row>
    <row r="146" spans="1:3" s="362" customFormat="1" ht="24">
      <c r="A146" s="523">
        <v>9.2700000000000298</v>
      </c>
      <c r="B146" s="495" t="s">
        <v>100</v>
      </c>
      <c r="C146" s="522" t="s">
        <v>685</v>
      </c>
    </row>
    <row r="147" spans="1:3" s="362" customFormat="1">
      <c r="A147" s="501"/>
      <c r="B147" s="917" t="s">
        <v>636</v>
      </c>
      <c r="C147" s="918"/>
    </row>
    <row r="148" spans="1:3" s="362" customFormat="1">
      <c r="A148" s="500">
        <v>1</v>
      </c>
      <c r="B148" s="919" t="s">
        <v>931</v>
      </c>
      <c r="C148" s="920"/>
    </row>
    <row r="149" spans="1:3" s="362" customFormat="1">
      <c r="A149" s="500">
        <v>2</v>
      </c>
      <c r="B149" s="919" t="s">
        <v>686</v>
      </c>
      <c r="C149" s="920"/>
    </row>
    <row r="150" spans="1:3" s="362" customFormat="1">
      <c r="A150" s="500">
        <v>3</v>
      </c>
      <c r="B150" s="919" t="s">
        <v>683</v>
      </c>
      <c r="C150" s="920"/>
    </row>
    <row r="151" spans="1:3" s="362" customFormat="1">
      <c r="A151" s="501"/>
      <c r="B151" s="917" t="s">
        <v>637</v>
      </c>
      <c r="C151" s="918"/>
    </row>
    <row r="152" spans="1:3" s="362" customFormat="1">
      <c r="A152" s="500">
        <v>1</v>
      </c>
      <c r="B152" s="922" t="s">
        <v>930</v>
      </c>
      <c r="C152" s="925"/>
    </row>
    <row r="153" spans="1:3" s="362" customFormat="1">
      <c r="A153" s="500">
        <v>2</v>
      </c>
      <c r="B153" s="495" t="s">
        <v>867</v>
      </c>
      <c r="C153" s="520" t="s">
        <v>952</v>
      </c>
    </row>
    <row r="154" spans="1:3" ht="24">
      <c r="A154" s="500">
        <v>3</v>
      </c>
      <c r="B154" s="495" t="s">
        <v>866</v>
      </c>
      <c r="C154" s="520" t="s">
        <v>929</v>
      </c>
    </row>
    <row r="155" spans="1:3">
      <c r="A155" s="500">
        <v>4</v>
      </c>
      <c r="B155" s="495" t="s">
        <v>512</v>
      </c>
      <c r="C155" s="495" t="s">
        <v>953</v>
      </c>
    </row>
    <row r="156" spans="1:3" ht="25.05" customHeight="1">
      <c r="A156" s="501"/>
      <c r="B156" s="917" t="s">
        <v>638</v>
      </c>
      <c r="C156" s="918"/>
    </row>
    <row r="157" spans="1:3" ht="36">
      <c r="A157" s="500"/>
      <c r="B157" s="495" t="s">
        <v>918</v>
      </c>
      <c r="C157" s="502" t="s">
        <v>954</v>
      </c>
    </row>
    <row r="158" spans="1:3">
      <c r="A158" s="501"/>
      <c r="B158" s="917" t="s">
        <v>639</v>
      </c>
      <c r="C158" s="918"/>
    </row>
    <row r="159" spans="1:3" ht="39" customHeight="1">
      <c r="A159" s="501"/>
      <c r="B159" s="919" t="s">
        <v>928</v>
      </c>
      <c r="C159" s="920"/>
    </row>
    <row r="160" spans="1:3">
      <c r="A160" s="501" t="s">
        <v>640</v>
      </c>
      <c r="B160" s="521" t="s">
        <v>550</v>
      </c>
      <c r="C160" s="513" t="s">
        <v>641</v>
      </c>
    </row>
    <row r="161" spans="1:3">
      <c r="A161" s="501" t="s">
        <v>370</v>
      </c>
      <c r="B161" s="518" t="s">
        <v>551</v>
      </c>
      <c r="C161" s="520" t="s">
        <v>927</v>
      </c>
    </row>
    <row r="162" spans="1:3" ht="24">
      <c r="A162" s="501" t="s">
        <v>377</v>
      </c>
      <c r="B162" s="513" t="s">
        <v>552</v>
      </c>
      <c r="C162" s="520" t="s">
        <v>642</v>
      </c>
    </row>
    <row r="163" spans="1:3">
      <c r="A163" s="501" t="s">
        <v>643</v>
      </c>
      <c r="B163" s="518" t="s">
        <v>553</v>
      </c>
      <c r="C163" s="519" t="s">
        <v>644</v>
      </c>
    </row>
    <row r="164" spans="1:3" ht="24">
      <c r="A164" s="501" t="s">
        <v>645</v>
      </c>
      <c r="B164" s="518" t="s">
        <v>882</v>
      </c>
      <c r="C164" s="512" t="s">
        <v>926</v>
      </c>
    </row>
    <row r="165" spans="1:3" ht="24">
      <c r="A165" s="501" t="s">
        <v>378</v>
      </c>
      <c r="B165" s="518" t="s">
        <v>554</v>
      </c>
      <c r="C165" s="512" t="s">
        <v>647</v>
      </c>
    </row>
    <row r="166" spans="1:3" ht="24">
      <c r="A166" s="501" t="s">
        <v>646</v>
      </c>
      <c r="B166" s="516" t="s">
        <v>557</v>
      </c>
      <c r="C166" s="517" t="s">
        <v>654</v>
      </c>
    </row>
    <row r="167" spans="1:3" ht="24">
      <c r="A167" s="501" t="s">
        <v>648</v>
      </c>
      <c r="B167" s="516" t="s">
        <v>555</v>
      </c>
      <c r="C167" s="512" t="s">
        <v>650</v>
      </c>
    </row>
    <row r="168" spans="1:3" ht="26.55" customHeight="1">
      <c r="A168" s="501" t="s">
        <v>649</v>
      </c>
      <c r="B168" s="516" t="s">
        <v>556</v>
      </c>
      <c r="C168" s="517" t="s">
        <v>652</v>
      </c>
    </row>
    <row r="169" spans="1:3">
      <c r="A169" s="501" t="s">
        <v>651</v>
      </c>
      <c r="B169" s="496" t="s">
        <v>558</v>
      </c>
      <c r="C169" s="517" t="s">
        <v>656</v>
      </c>
    </row>
    <row r="170" spans="1:3" ht="24">
      <c r="A170" s="501" t="s">
        <v>653</v>
      </c>
      <c r="B170" s="516" t="s">
        <v>559</v>
      </c>
      <c r="C170" s="515" t="s">
        <v>657</v>
      </c>
    </row>
    <row r="171" spans="1:3">
      <c r="A171" s="501" t="s">
        <v>655</v>
      </c>
      <c r="B171" s="514" t="s">
        <v>560</v>
      </c>
      <c r="C171" s="513" t="s">
        <v>658</v>
      </c>
    </row>
    <row r="172" spans="1:3" ht="24">
      <c r="A172" s="501"/>
      <c r="B172" s="512" t="s">
        <v>925</v>
      </c>
      <c r="C172" s="496" t="s">
        <v>659</v>
      </c>
    </row>
    <row r="173" spans="1:3" ht="24">
      <c r="A173" s="501"/>
      <c r="B173" s="512" t="s">
        <v>924</v>
      </c>
      <c r="C173" s="496" t="s">
        <v>660</v>
      </c>
    </row>
    <row r="174" spans="1:3" ht="24">
      <c r="A174" s="501"/>
      <c r="B174" s="512" t="s">
        <v>923</v>
      </c>
      <c r="C174" s="496" t="s">
        <v>661</v>
      </c>
    </row>
    <row r="175" spans="1:3">
      <c r="A175" s="501"/>
      <c r="B175" s="917" t="s">
        <v>662</v>
      </c>
      <c r="C175" s="918"/>
    </row>
    <row r="176" spans="1:3">
      <c r="A176" s="501"/>
      <c r="B176" s="919" t="s">
        <v>922</v>
      </c>
      <c r="C176" s="920"/>
    </row>
    <row r="177" spans="1:3">
      <c r="A177" s="500">
        <v>1</v>
      </c>
      <c r="B177" s="496" t="s">
        <v>564</v>
      </c>
      <c r="C177" s="496" t="s">
        <v>564</v>
      </c>
    </row>
    <row r="178" spans="1:3" ht="24">
      <c r="A178" s="500">
        <v>2</v>
      </c>
      <c r="B178" s="496" t="s">
        <v>663</v>
      </c>
      <c r="C178" s="496" t="s">
        <v>664</v>
      </c>
    </row>
    <row r="179" spans="1:3">
      <c r="A179" s="500">
        <v>3</v>
      </c>
      <c r="B179" s="496" t="s">
        <v>566</v>
      </c>
      <c r="C179" s="496" t="s">
        <v>665</v>
      </c>
    </row>
    <row r="180" spans="1:3" ht="24">
      <c r="A180" s="500">
        <v>4</v>
      </c>
      <c r="B180" s="496" t="s">
        <v>567</v>
      </c>
      <c r="C180" s="496" t="s">
        <v>666</v>
      </c>
    </row>
    <row r="181" spans="1:3" ht="24">
      <c r="A181" s="500">
        <v>5</v>
      </c>
      <c r="B181" s="496" t="s">
        <v>568</v>
      </c>
      <c r="C181" s="496" t="s">
        <v>688</v>
      </c>
    </row>
    <row r="182" spans="1:3" ht="48">
      <c r="A182" s="500">
        <v>6</v>
      </c>
      <c r="B182" s="496" t="s">
        <v>569</v>
      </c>
      <c r="C182" s="496" t="s">
        <v>667</v>
      </c>
    </row>
    <row r="183" spans="1:3">
      <c r="A183" s="501"/>
      <c r="B183" s="917" t="s">
        <v>668</v>
      </c>
      <c r="C183" s="918"/>
    </row>
    <row r="184" spans="1:3">
      <c r="A184" s="501"/>
      <c r="B184" s="921" t="s">
        <v>921</v>
      </c>
      <c r="C184" s="922"/>
    </row>
    <row r="185" spans="1:3" ht="24">
      <c r="A185" s="501">
        <v>1.1000000000000001</v>
      </c>
      <c r="B185" s="511" t="s">
        <v>574</v>
      </c>
      <c r="C185" s="496" t="s">
        <v>669</v>
      </c>
    </row>
    <row r="186" spans="1:3" ht="49.95" customHeight="1">
      <c r="A186" s="501" t="s">
        <v>158</v>
      </c>
      <c r="B186" s="497" t="s">
        <v>575</v>
      </c>
      <c r="C186" s="496" t="s">
        <v>670</v>
      </c>
    </row>
    <row r="187" spans="1:3">
      <c r="A187" s="501" t="s">
        <v>576</v>
      </c>
      <c r="B187" s="510" t="s">
        <v>577</v>
      </c>
      <c r="C187" s="923" t="s">
        <v>920</v>
      </c>
    </row>
    <row r="188" spans="1:3">
      <c r="A188" s="501" t="s">
        <v>578</v>
      </c>
      <c r="B188" s="510" t="s">
        <v>579</v>
      </c>
      <c r="C188" s="923"/>
    </row>
    <row r="189" spans="1:3">
      <c r="A189" s="501" t="s">
        <v>580</v>
      </c>
      <c r="B189" s="510" t="s">
        <v>581</v>
      </c>
      <c r="C189" s="923"/>
    </row>
    <row r="190" spans="1:3">
      <c r="A190" s="501" t="s">
        <v>582</v>
      </c>
      <c r="B190" s="510" t="s">
        <v>583</v>
      </c>
      <c r="C190" s="923"/>
    </row>
    <row r="191" spans="1:3" ht="25.5" customHeight="1">
      <c r="A191" s="501">
        <v>1.2</v>
      </c>
      <c r="B191" s="509" t="s">
        <v>896</v>
      </c>
      <c r="C191" s="495" t="s">
        <v>955</v>
      </c>
    </row>
    <row r="192" spans="1:3" ht="24">
      <c r="A192" s="501" t="s">
        <v>585</v>
      </c>
      <c r="B192" s="504" t="s">
        <v>586</v>
      </c>
      <c r="C192" s="507" t="s">
        <v>671</v>
      </c>
    </row>
    <row r="193" spans="1:4" ht="24">
      <c r="A193" s="501" t="s">
        <v>587</v>
      </c>
      <c r="B193" s="508" t="s">
        <v>588</v>
      </c>
      <c r="C193" s="507" t="s">
        <v>672</v>
      </c>
    </row>
    <row r="194" spans="1:4" ht="25.95" customHeight="1">
      <c r="A194" s="501" t="s">
        <v>589</v>
      </c>
      <c r="B194" s="506" t="s">
        <v>590</v>
      </c>
      <c r="C194" s="495" t="s">
        <v>673</v>
      </c>
    </row>
    <row r="195" spans="1:4" ht="24">
      <c r="A195" s="501" t="s">
        <v>591</v>
      </c>
      <c r="B195" s="505" t="s">
        <v>592</v>
      </c>
      <c r="C195" s="495" t="s">
        <v>674</v>
      </c>
      <c r="D195" s="363"/>
    </row>
    <row r="196" spans="1:4" ht="12.6">
      <c r="A196" s="501">
        <v>1.4</v>
      </c>
      <c r="B196" s="504" t="s">
        <v>681</v>
      </c>
      <c r="C196" s="503" t="s">
        <v>675</v>
      </c>
      <c r="D196" s="364"/>
    </row>
    <row r="197" spans="1:4" ht="12.6">
      <c r="A197" s="501">
        <v>1.5</v>
      </c>
      <c r="B197" s="504" t="s">
        <v>682</v>
      </c>
      <c r="C197" s="503" t="s">
        <v>675</v>
      </c>
      <c r="D197" s="365"/>
    </row>
    <row r="198" spans="1:4" ht="12.6">
      <c r="A198" s="501"/>
      <c r="B198" s="909" t="s">
        <v>676</v>
      </c>
      <c r="C198" s="909"/>
      <c r="D198" s="365"/>
    </row>
    <row r="199" spans="1:4" ht="12.6">
      <c r="A199" s="501"/>
      <c r="B199" s="921" t="s">
        <v>919</v>
      </c>
      <c r="C199" s="921"/>
      <c r="D199" s="365"/>
    </row>
    <row r="200" spans="1:4" ht="12.6">
      <c r="A200" s="500"/>
      <c r="B200" s="495" t="s">
        <v>918</v>
      </c>
      <c r="C200" s="502" t="s">
        <v>952</v>
      </c>
      <c r="D200" s="365"/>
    </row>
    <row r="201" spans="1:4" ht="12.6">
      <c r="A201" s="501"/>
      <c r="B201" s="909" t="s">
        <v>677</v>
      </c>
      <c r="C201" s="909"/>
      <c r="D201" s="366"/>
    </row>
    <row r="202" spans="1:4" ht="12.6">
      <c r="A202" s="500"/>
      <c r="B202" s="921" t="s">
        <v>917</v>
      </c>
      <c r="C202" s="921"/>
      <c r="D202" s="367"/>
    </row>
    <row r="203" spans="1:4" ht="12.6">
      <c r="B203" s="909" t="s">
        <v>715</v>
      </c>
      <c r="C203" s="909"/>
      <c r="D203" s="368"/>
    </row>
    <row r="204" spans="1:4" ht="24">
      <c r="A204" s="497">
        <v>1</v>
      </c>
      <c r="B204" s="495" t="s">
        <v>691</v>
      </c>
      <c r="C204" s="495" t="s">
        <v>703</v>
      </c>
      <c r="D204" s="367"/>
    </row>
    <row r="205" spans="1:4" ht="18" customHeight="1">
      <c r="A205" s="497">
        <v>2</v>
      </c>
      <c r="B205" s="495" t="s">
        <v>692</v>
      </c>
      <c r="C205" s="495" t="s">
        <v>704</v>
      </c>
      <c r="D205" s="368"/>
    </row>
    <row r="206" spans="1:4" ht="24">
      <c r="A206" s="497">
        <v>3</v>
      </c>
      <c r="B206" s="495" t="s">
        <v>693</v>
      </c>
      <c r="C206" s="495" t="s">
        <v>705</v>
      </c>
      <c r="D206" s="369"/>
    </row>
    <row r="207" spans="1:4" ht="12.6">
      <c r="A207" s="497">
        <v>4</v>
      </c>
      <c r="B207" s="495" t="s">
        <v>694</v>
      </c>
      <c r="C207" s="495" t="s">
        <v>706</v>
      </c>
      <c r="D207" s="369"/>
    </row>
    <row r="208" spans="1:4" ht="24">
      <c r="A208" s="497">
        <v>5</v>
      </c>
      <c r="B208" s="495" t="s">
        <v>695</v>
      </c>
      <c r="C208" s="495" t="s">
        <v>707</v>
      </c>
    </row>
    <row r="209" spans="1:3" ht="24.45" customHeight="1">
      <c r="A209" s="497">
        <v>6</v>
      </c>
      <c r="B209" s="495" t="s">
        <v>696</v>
      </c>
      <c r="C209" s="495" t="s">
        <v>708</v>
      </c>
    </row>
    <row r="210" spans="1:3" ht="24">
      <c r="A210" s="497">
        <v>7</v>
      </c>
      <c r="B210" s="495" t="s">
        <v>697</v>
      </c>
      <c r="C210" s="495" t="s">
        <v>709</v>
      </c>
    </row>
    <row r="211" spans="1:3">
      <c r="A211" s="497">
        <v>7.1</v>
      </c>
      <c r="B211" s="499" t="s">
        <v>698</v>
      </c>
      <c r="C211" s="495" t="s">
        <v>710</v>
      </c>
    </row>
    <row r="212" spans="1:3">
      <c r="A212" s="497">
        <v>7.2</v>
      </c>
      <c r="B212" s="499" t="s">
        <v>699</v>
      </c>
      <c r="C212" s="495" t="s">
        <v>711</v>
      </c>
    </row>
    <row r="213" spans="1:3">
      <c r="A213" s="497">
        <v>7.3</v>
      </c>
      <c r="B213" s="498" t="s">
        <v>700</v>
      </c>
      <c r="C213" s="495" t="s">
        <v>712</v>
      </c>
    </row>
    <row r="214" spans="1:3" ht="39.450000000000003" customHeight="1">
      <c r="A214" s="497">
        <v>8</v>
      </c>
      <c r="B214" s="495" t="s">
        <v>701</v>
      </c>
      <c r="C214" s="495" t="s">
        <v>713</v>
      </c>
    </row>
    <row r="215" spans="1:3">
      <c r="A215" s="497">
        <v>9</v>
      </c>
      <c r="B215" s="495" t="s">
        <v>702</v>
      </c>
      <c r="C215" s="495" t="s">
        <v>714</v>
      </c>
    </row>
    <row r="216" spans="1:3">
      <c r="A216" s="535">
        <v>10.1</v>
      </c>
      <c r="B216" s="536" t="s">
        <v>722</v>
      </c>
      <c r="C216" s="528" t="s">
        <v>723</v>
      </c>
    </row>
    <row r="217" spans="1:3">
      <c r="A217" s="924"/>
      <c r="B217" s="537" t="s">
        <v>909</v>
      </c>
      <c r="C217" s="495" t="s">
        <v>916</v>
      </c>
    </row>
    <row r="218" spans="1:3">
      <c r="A218" s="924"/>
      <c r="B218" s="496" t="s">
        <v>573</v>
      </c>
      <c r="C218" s="495" t="s">
        <v>915</v>
      </c>
    </row>
    <row r="219" spans="1:3">
      <c r="A219" s="924"/>
      <c r="B219" s="496" t="s">
        <v>908</v>
      </c>
      <c r="C219" s="495" t="s">
        <v>956</v>
      </c>
    </row>
    <row r="220" spans="1:3">
      <c r="A220" s="924"/>
      <c r="B220" s="496" t="s">
        <v>716</v>
      </c>
      <c r="C220" s="495" t="s">
        <v>914</v>
      </c>
    </row>
    <row r="221" spans="1:3" ht="24">
      <c r="A221" s="924"/>
      <c r="B221" s="496" t="s">
        <v>720</v>
      </c>
      <c r="C221" s="496" t="s">
        <v>913</v>
      </c>
    </row>
    <row r="222" spans="1:3" ht="36">
      <c r="A222" s="924"/>
      <c r="B222" s="496" t="s">
        <v>719</v>
      </c>
      <c r="C222" s="495" t="s">
        <v>912</v>
      </c>
    </row>
    <row r="223" spans="1:3">
      <c r="A223" s="924"/>
      <c r="B223" s="496" t="s">
        <v>957</v>
      </c>
      <c r="C223" s="495" t="s">
        <v>911</v>
      </c>
    </row>
    <row r="224" spans="1:3" ht="24">
      <c r="A224" s="924"/>
      <c r="B224" s="496" t="s">
        <v>958</v>
      </c>
      <c r="C224" s="495" t="s">
        <v>910</v>
      </c>
    </row>
    <row r="225" spans="1:3" ht="12.6">
      <c r="A225" s="529"/>
      <c r="B225" s="530"/>
      <c r="C225" s="531"/>
    </row>
    <row r="226" spans="1:3" ht="12.6">
      <c r="A226" s="529"/>
      <c r="B226" s="531"/>
      <c r="C226" s="531"/>
    </row>
    <row r="227" spans="1:3" ht="12.6">
      <c r="A227" s="529"/>
      <c r="B227" s="531"/>
      <c r="C227" s="531"/>
    </row>
    <row r="228" spans="1:3" ht="12.6">
      <c r="A228" s="529"/>
      <c r="B228" s="532"/>
      <c r="C228" s="531"/>
    </row>
    <row r="229" spans="1:3">
      <c r="A229" s="916"/>
      <c r="B229" s="533"/>
      <c r="C229" s="531"/>
    </row>
    <row r="230" spans="1:3">
      <c r="A230" s="916"/>
      <c r="B230" s="533"/>
      <c r="C230" s="531"/>
    </row>
    <row r="231" spans="1:3">
      <c r="A231" s="916"/>
      <c r="B231" s="533"/>
      <c r="C231" s="531"/>
    </row>
    <row r="232" spans="1:3">
      <c r="A232" s="916"/>
      <c r="B232" s="533"/>
      <c r="C232" s="534"/>
    </row>
    <row r="233" spans="1:3" ht="40.5" customHeight="1">
      <c r="A233" s="916"/>
      <c r="B233" s="533"/>
      <c r="C233" s="531"/>
    </row>
    <row r="234" spans="1:3" ht="24" customHeight="1">
      <c r="A234" s="916"/>
      <c r="B234" s="533"/>
      <c r="C234" s="531"/>
    </row>
    <row r="235" spans="1:3">
      <c r="A235" s="916"/>
      <c r="B235" s="533"/>
      <c r="C235" s="531"/>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scale="12" orientation="landscape" horizontalDpi="1200" verticalDpi="1200"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70" zoomScaleNormal="70" workbookViewId="0"/>
  </sheetViews>
  <sheetFormatPr defaultRowHeight="14.4"/>
  <cols>
    <col min="2" max="2" width="66.6640625" customWidth="1"/>
    <col min="3" max="8" width="17.77734375" style="630" customWidth="1"/>
  </cols>
  <sheetData>
    <row r="1" spans="1:8">
      <c r="A1" s="12" t="s">
        <v>109</v>
      </c>
      <c r="B1" s="291" t="str">
        <f>Info!C2</f>
        <v>სს " პაშა ბანკი საქართველო"</v>
      </c>
      <c r="C1" s="291"/>
      <c r="D1" s="628"/>
      <c r="E1" s="628"/>
      <c r="F1" s="628"/>
      <c r="G1" s="628"/>
    </row>
    <row r="2" spans="1:8">
      <c r="A2" s="12" t="s">
        <v>110</v>
      </c>
      <c r="B2" s="322">
        <f>'1. key ratios'!B2</f>
        <v>45016</v>
      </c>
      <c r="C2" s="291"/>
      <c r="D2" s="628"/>
      <c r="E2" s="628"/>
      <c r="F2" s="628"/>
      <c r="G2" s="628"/>
    </row>
    <row r="3" spans="1:8" ht="15" thickBot="1">
      <c r="A3" s="12"/>
      <c r="B3" s="11"/>
      <c r="C3" s="291"/>
      <c r="D3" s="628"/>
      <c r="E3" s="628"/>
      <c r="F3" s="628"/>
      <c r="G3" s="628"/>
    </row>
    <row r="4" spans="1:8">
      <c r="A4" s="768" t="s">
        <v>26</v>
      </c>
      <c r="B4" s="764" t="s">
        <v>167</v>
      </c>
      <c r="C4" s="766" t="s">
        <v>115</v>
      </c>
      <c r="D4" s="766"/>
      <c r="E4" s="766"/>
      <c r="F4" s="766" t="s">
        <v>116</v>
      </c>
      <c r="G4" s="766"/>
      <c r="H4" s="767"/>
    </row>
    <row r="5" spans="1:8" ht="15.45" customHeight="1">
      <c r="A5" s="769"/>
      <c r="B5" s="765"/>
      <c r="C5" s="629" t="s">
        <v>27</v>
      </c>
      <c r="D5" s="629" t="s">
        <v>89</v>
      </c>
      <c r="E5" s="629" t="s">
        <v>67</v>
      </c>
      <c r="F5" s="629" t="s">
        <v>27</v>
      </c>
      <c r="G5" s="629" t="s">
        <v>89</v>
      </c>
      <c r="H5" s="632" t="s">
        <v>67</v>
      </c>
    </row>
    <row r="6" spans="1:8">
      <c r="A6" s="622">
        <v>1</v>
      </c>
      <c r="B6" s="615" t="s">
        <v>777</v>
      </c>
      <c r="C6" s="594">
        <f>SUM(C7:C12)</f>
        <v>8285627.2356440052</v>
      </c>
      <c r="D6" s="594">
        <f>SUM(D7:D12)</f>
        <v>4881614.4475127561</v>
      </c>
      <c r="E6" s="623">
        <f>C6+D6</f>
        <v>13167241.683156762</v>
      </c>
      <c r="F6" s="594">
        <f>SUM(F7:F12)</f>
        <v>5685040.4149801135</v>
      </c>
      <c r="G6" s="594">
        <f>SUM(G7:G12)</f>
        <v>3813222.65</v>
      </c>
      <c r="H6" s="633">
        <f>F6+G6</f>
        <v>9498263.0649801139</v>
      </c>
    </row>
    <row r="7" spans="1:8">
      <c r="A7" s="622">
        <v>1.1000000000000001</v>
      </c>
      <c r="B7" s="591" t="s">
        <v>731</v>
      </c>
      <c r="C7" s="594"/>
      <c r="D7" s="594"/>
      <c r="E7" s="623">
        <f t="shared" ref="E7:E45" si="0">C7+D7</f>
        <v>0</v>
      </c>
      <c r="F7" s="594"/>
      <c r="G7" s="594"/>
      <c r="H7" s="633">
        <f t="shared" ref="H7:H45" si="1">F7+G7</f>
        <v>0</v>
      </c>
    </row>
    <row r="8" spans="1:8" ht="20.399999999999999">
      <c r="A8" s="622">
        <v>1.2</v>
      </c>
      <c r="B8" s="591" t="s">
        <v>778</v>
      </c>
      <c r="C8" s="594"/>
      <c r="D8" s="594"/>
      <c r="E8" s="623">
        <f t="shared" si="0"/>
        <v>0</v>
      </c>
      <c r="F8" s="594"/>
      <c r="G8" s="594"/>
      <c r="H8" s="633">
        <f t="shared" si="1"/>
        <v>0</v>
      </c>
    </row>
    <row r="9" spans="1:8" ht="21.45" customHeight="1">
      <c r="A9" s="622">
        <v>1.3</v>
      </c>
      <c r="B9" s="591" t="s">
        <v>779</v>
      </c>
      <c r="C9" s="594"/>
      <c r="D9" s="594"/>
      <c r="E9" s="623">
        <f t="shared" si="0"/>
        <v>0</v>
      </c>
      <c r="F9" s="594"/>
      <c r="G9" s="594"/>
      <c r="H9" s="633">
        <f t="shared" si="1"/>
        <v>0</v>
      </c>
    </row>
    <row r="10" spans="1:8" ht="20.399999999999999">
      <c r="A10" s="622">
        <v>1.4</v>
      </c>
      <c r="B10" s="591" t="s">
        <v>735</v>
      </c>
      <c r="C10" s="594"/>
      <c r="D10" s="594"/>
      <c r="E10" s="623">
        <f t="shared" si="0"/>
        <v>0</v>
      </c>
      <c r="F10" s="594"/>
      <c r="G10" s="594"/>
      <c r="H10" s="633">
        <f t="shared" si="1"/>
        <v>0</v>
      </c>
    </row>
    <row r="11" spans="1:8">
      <c r="A11" s="622">
        <v>1.5</v>
      </c>
      <c r="B11" s="591" t="s">
        <v>738</v>
      </c>
      <c r="C11" s="594">
        <v>8285627.2356440052</v>
      </c>
      <c r="D11" s="594">
        <v>4881614.4475127561</v>
      </c>
      <c r="E11" s="623">
        <f t="shared" si="0"/>
        <v>13167241.683156762</v>
      </c>
      <c r="F11" s="594">
        <v>5685040.4149801135</v>
      </c>
      <c r="G11" s="594">
        <v>3813222.65</v>
      </c>
      <c r="H11" s="633">
        <f t="shared" si="1"/>
        <v>9498263.0649801139</v>
      </c>
    </row>
    <row r="12" spans="1:8">
      <c r="A12" s="622">
        <v>1.6</v>
      </c>
      <c r="B12" s="591" t="s">
        <v>100</v>
      </c>
      <c r="C12" s="594"/>
      <c r="D12" s="594"/>
      <c r="E12" s="623">
        <f t="shared" si="0"/>
        <v>0</v>
      </c>
      <c r="F12" s="594"/>
      <c r="G12" s="594"/>
      <c r="H12" s="633">
        <f t="shared" si="1"/>
        <v>0</v>
      </c>
    </row>
    <row r="13" spans="1:8">
      <c r="A13" s="622">
        <v>2</v>
      </c>
      <c r="B13" s="615" t="s">
        <v>780</v>
      </c>
      <c r="C13" s="594">
        <f>SUM(C14:C17)</f>
        <v>-2896539.6799999997</v>
      </c>
      <c r="D13" s="594">
        <f>SUM(D14:D17)</f>
        <v>-1998484.96</v>
      </c>
      <c r="E13" s="623">
        <f t="shared" si="0"/>
        <v>-4895024.6399999997</v>
      </c>
      <c r="F13" s="594">
        <f>SUM(F14:F17)</f>
        <v>-1789512.29</v>
      </c>
      <c r="G13" s="594">
        <f>SUM(G14:G17)</f>
        <v>-2190533.3300000005</v>
      </c>
      <c r="H13" s="633">
        <f t="shared" si="1"/>
        <v>-3980045.6200000006</v>
      </c>
    </row>
    <row r="14" spans="1:8">
      <c r="A14" s="622">
        <v>2.1</v>
      </c>
      <c r="B14" s="591" t="s">
        <v>781</v>
      </c>
      <c r="C14" s="594"/>
      <c r="D14" s="594"/>
      <c r="E14" s="623">
        <f t="shared" si="0"/>
        <v>0</v>
      </c>
      <c r="F14" s="594"/>
      <c r="G14" s="594"/>
      <c r="H14" s="633">
        <f t="shared" si="1"/>
        <v>0</v>
      </c>
    </row>
    <row r="15" spans="1:8" ht="24.45" customHeight="1">
      <c r="A15" s="622">
        <v>2.2000000000000002</v>
      </c>
      <c r="B15" s="591" t="s">
        <v>782</v>
      </c>
      <c r="C15" s="594"/>
      <c r="D15" s="594"/>
      <c r="E15" s="623">
        <f t="shared" si="0"/>
        <v>0</v>
      </c>
      <c r="F15" s="594"/>
      <c r="G15" s="594"/>
      <c r="H15" s="633">
        <f t="shared" si="1"/>
        <v>0</v>
      </c>
    </row>
    <row r="16" spans="1:8" ht="20.55" customHeight="1">
      <c r="A16" s="622">
        <v>2.2999999999999998</v>
      </c>
      <c r="B16" s="591" t="s">
        <v>783</v>
      </c>
      <c r="C16" s="594">
        <v>-2896539.6799999997</v>
      </c>
      <c r="D16" s="594">
        <v>-1998484.96</v>
      </c>
      <c r="E16" s="623">
        <f t="shared" si="0"/>
        <v>-4895024.6399999997</v>
      </c>
      <c r="F16" s="594">
        <v>-1789512.29</v>
      </c>
      <c r="G16" s="594">
        <v>-2190533.3300000005</v>
      </c>
      <c r="H16" s="633">
        <f t="shared" si="1"/>
        <v>-3980045.6200000006</v>
      </c>
    </row>
    <row r="17" spans="1:8">
      <c r="A17" s="622">
        <v>2.4</v>
      </c>
      <c r="B17" s="591" t="s">
        <v>784</v>
      </c>
      <c r="C17" s="594"/>
      <c r="D17" s="594"/>
      <c r="E17" s="623">
        <f t="shared" si="0"/>
        <v>0</v>
      </c>
      <c r="F17" s="594"/>
      <c r="G17" s="594"/>
      <c r="H17" s="633">
        <f t="shared" si="1"/>
        <v>0</v>
      </c>
    </row>
    <row r="18" spans="1:8">
      <c r="A18" s="622">
        <v>3</v>
      </c>
      <c r="B18" s="615" t="s">
        <v>785</v>
      </c>
      <c r="C18" s="594"/>
      <c r="D18" s="594"/>
      <c r="E18" s="623">
        <f t="shared" si="0"/>
        <v>0</v>
      </c>
      <c r="F18" s="594"/>
      <c r="G18" s="594"/>
      <c r="H18" s="633">
        <f t="shared" si="1"/>
        <v>0</v>
      </c>
    </row>
    <row r="19" spans="1:8">
      <c r="A19" s="622">
        <v>4</v>
      </c>
      <c r="B19" s="615" t="s">
        <v>786</v>
      </c>
      <c r="C19" s="594">
        <v>256359.34999999995</v>
      </c>
      <c r="D19" s="594">
        <v>284384.10205599997</v>
      </c>
      <c r="E19" s="623">
        <f t="shared" si="0"/>
        <v>540743.45205599989</v>
      </c>
      <c r="F19" s="594">
        <v>114492.00999999992</v>
      </c>
      <c r="G19" s="594">
        <v>197815.2442880001</v>
      </c>
      <c r="H19" s="633">
        <f t="shared" si="1"/>
        <v>312307.25428800005</v>
      </c>
    </row>
    <row r="20" spans="1:8">
      <c r="A20" s="622">
        <v>5</v>
      </c>
      <c r="B20" s="615" t="s">
        <v>787</v>
      </c>
      <c r="C20" s="594">
        <v>-26053.1</v>
      </c>
      <c r="D20" s="594">
        <v>-388513.75999999995</v>
      </c>
      <c r="E20" s="623">
        <f t="shared" si="0"/>
        <v>-414566.85999999993</v>
      </c>
      <c r="F20" s="594">
        <v>-13864.33</v>
      </c>
      <c r="G20" s="594">
        <v>-265111.17</v>
      </c>
      <c r="H20" s="633">
        <f t="shared" si="1"/>
        <v>-278975.5</v>
      </c>
    </row>
    <row r="21" spans="1:8" ht="38.549999999999997" customHeight="1">
      <c r="A21" s="622">
        <v>6</v>
      </c>
      <c r="B21" s="615" t="s">
        <v>788</v>
      </c>
      <c r="C21" s="594"/>
      <c r="D21" s="594"/>
      <c r="E21" s="623">
        <f t="shared" si="0"/>
        <v>0</v>
      </c>
      <c r="F21" s="594"/>
      <c r="G21" s="594"/>
      <c r="H21" s="633">
        <f t="shared" si="1"/>
        <v>0</v>
      </c>
    </row>
    <row r="22" spans="1:8" ht="27.45" customHeight="1">
      <c r="A22" s="622">
        <v>7</v>
      </c>
      <c r="B22" s="615" t="s">
        <v>789</v>
      </c>
      <c r="C22" s="594"/>
      <c r="D22" s="594"/>
      <c r="E22" s="623">
        <f t="shared" si="0"/>
        <v>0</v>
      </c>
      <c r="F22" s="594"/>
      <c r="G22" s="594"/>
      <c r="H22" s="633">
        <f t="shared" si="1"/>
        <v>0</v>
      </c>
    </row>
    <row r="23" spans="1:8" ht="37.049999999999997" customHeight="1">
      <c r="A23" s="622">
        <v>8</v>
      </c>
      <c r="B23" s="616" t="s">
        <v>790</v>
      </c>
      <c r="C23" s="594"/>
      <c r="D23" s="594"/>
      <c r="E23" s="623">
        <f t="shared" si="0"/>
        <v>0</v>
      </c>
      <c r="F23" s="594"/>
      <c r="G23" s="594"/>
      <c r="H23" s="633">
        <f t="shared" si="1"/>
        <v>0</v>
      </c>
    </row>
    <row r="24" spans="1:8" ht="34.5" customHeight="1">
      <c r="A24" s="622">
        <v>9</v>
      </c>
      <c r="B24" s="616" t="s">
        <v>791</v>
      </c>
      <c r="C24" s="594"/>
      <c r="D24" s="594"/>
      <c r="E24" s="623">
        <f t="shared" si="0"/>
        <v>0</v>
      </c>
      <c r="F24" s="594"/>
      <c r="G24" s="594"/>
      <c r="H24" s="633">
        <f t="shared" si="1"/>
        <v>0</v>
      </c>
    </row>
    <row r="25" spans="1:8">
      <c r="A25" s="622">
        <v>10</v>
      </c>
      <c r="B25" s="615" t="s">
        <v>792</v>
      </c>
      <c r="C25" s="594">
        <v>1966477.1199999982</v>
      </c>
      <c r="D25" s="594">
        <v>1795828.87</v>
      </c>
      <c r="E25" s="623">
        <f t="shared" si="0"/>
        <v>3762305.9899999984</v>
      </c>
      <c r="F25" s="594">
        <v>1323534.7400000002</v>
      </c>
      <c r="G25" s="594">
        <v>0</v>
      </c>
      <c r="H25" s="633">
        <f t="shared" si="1"/>
        <v>1323534.7400000002</v>
      </c>
    </row>
    <row r="26" spans="1:8" ht="27" customHeight="1">
      <c r="A26" s="622">
        <v>11</v>
      </c>
      <c r="B26" s="617" t="s">
        <v>793</v>
      </c>
      <c r="C26" s="594"/>
      <c r="D26" s="594"/>
      <c r="E26" s="623">
        <f t="shared" si="0"/>
        <v>0</v>
      </c>
      <c r="F26" s="594"/>
      <c r="G26" s="594"/>
      <c r="H26" s="633">
        <f t="shared" si="1"/>
        <v>0</v>
      </c>
    </row>
    <row r="27" spans="1:8">
      <c r="A27" s="622">
        <v>12</v>
      </c>
      <c r="B27" s="615" t="s">
        <v>794</v>
      </c>
      <c r="C27" s="594">
        <v>469369.79</v>
      </c>
      <c r="D27" s="594"/>
      <c r="E27" s="623">
        <f t="shared" si="0"/>
        <v>469369.79</v>
      </c>
      <c r="F27" s="594">
        <v>-1359.7</v>
      </c>
      <c r="G27" s="594"/>
      <c r="H27" s="633">
        <f t="shared" si="1"/>
        <v>-1359.7</v>
      </c>
    </row>
    <row r="28" spans="1:8">
      <c r="A28" s="622">
        <v>13</v>
      </c>
      <c r="B28" s="615" t="s">
        <v>795</v>
      </c>
      <c r="C28" s="594">
        <v>-1643153.76</v>
      </c>
      <c r="D28" s="594">
        <v>-4738.1899999999996</v>
      </c>
      <c r="E28" s="623">
        <f t="shared" si="0"/>
        <v>-1647891.95</v>
      </c>
      <c r="F28" s="594">
        <v>-1220599.49</v>
      </c>
      <c r="G28" s="594">
        <v>-3924.69</v>
      </c>
      <c r="H28" s="633">
        <f t="shared" si="1"/>
        <v>-1224524.18</v>
      </c>
    </row>
    <row r="29" spans="1:8">
      <c r="A29" s="622">
        <v>14</v>
      </c>
      <c r="B29" s="615" t="s">
        <v>796</v>
      </c>
      <c r="C29" s="594">
        <f>SUM(C30:C31)</f>
        <v>-6593893.5999999996</v>
      </c>
      <c r="D29" s="594">
        <f>SUM(D30:D31)</f>
        <v>0</v>
      </c>
      <c r="E29" s="623">
        <f t="shared" si="0"/>
        <v>-6593893.5999999996</v>
      </c>
      <c r="F29" s="594">
        <f>SUM(F30:F31)</f>
        <v>-4587298.57</v>
      </c>
      <c r="G29" s="594">
        <f>SUM(G30:G31)</f>
        <v>0</v>
      </c>
      <c r="H29" s="633">
        <f t="shared" si="1"/>
        <v>-4587298.57</v>
      </c>
    </row>
    <row r="30" spans="1:8">
      <c r="A30" s="622">
        <v>14.1</v>
      </c>
      <c r="B30" s="584" t="s">
        <v>797</v>
      </c>
      <c r="C30" s="594">
        <v>-5706540.8799999999</v>
      </c>
      <c r="D30" s="594"/>
      <c r="E30" s="623">
        <f t="shared" si="0"/>
        <v>-5706540.8799999999</v>
      </c>
      <c r="F30" s="594">
        <v>-3646144.21</v>
      </c>
      <c r="G30" s="594"/>
      <c r="H30" s="633">
        <f t="shared" si="1"/>
        <v>-3646144.21</v>
      </c>
    </row>
    <row r="31" spans="1:8">
      <c r="A31" s="622">
        <v>14.2</v>
      </c>
      <c r="B31" s="584" t="s">
        <v>798</v>
      </c>
      <c r="C31" s="594">
        <v>-887352.72000000009</v>
      </c>
      <c r="D31" s="594"/>
      <c r="E31" s="623">
        <f t="shared" si="0"/>
        <v>-887352.72000000009</v>
      </c>
      <c r="F31" s="594">
        <v>-941154.35999999987</v>
      </c>
      <c r="G31" s="594"/>
      <c r="H31" s="633">
        <f t="shared" si="1"/>
        <v>-941154.35999999987</v>
      </c>
    </row>
    <row r="32" spans="1:8">
      <c r="A32" s="622">
        <v>15</v>
      </c>
      <c r="B32" s="618" t="s">
        <v>799</v>
      </c>
      <c r="C32" s="594">
        <v>-1263700.93</v>
      </c>
      <c r="D32" s="594"/>
      <c r="E32" s="623">
        <f t="shared" si="0"/>
        <v>-1263700.93</v>
      </c>
      <c r="F32" s="594">
        <v>-1370242.12</v>
      </c>
      <c r="G32" s="594"/>
      <c r="H32" s="633">
        <f t="shared" si="1"/>
        <v>-1370242.12</v>
      </c>
    </row>
    <row r="33" spans="1:8" ht="22.5" customHeight="1">
      <c r="A33" s="622">
        <v>16</v>
      </c>
      <c r="B33" s="581" t="s">
        <v>800</v>
      </c>
      <c r="C33" s="594"/>
      <c r="D33" s="594"/>
      <c r="E33" s="623">
        <f t="shared" si="0"/>
        <v>0</v>
      </c>
      <c r="F33" s="594"/>
      <c r="G33" s="594"/>
      <c r="H33" s="633">
        <f t="shared" si="1"/>
        <v>0</v>
      </c>
    </row>
    <row r="34" spans="1:8">
      <c r="A34" s="622">
        <v>17</v>
      </c>
      <c r="B34" s="615" t="s">
        <v>801</v>
      </c>
      <c r="C34" s="594">
        <f>SUM(C35:C36)</f>
        <v>-2063857.2060990613</v>
      </c>
      <c r="D34" s="594">
        <f>SUM(D35:D36)</f>
        <v>647317.62772675708</v>
      </c>
      <c r="E34" s="623">
        <f t="shared" si="0"/>
        <v>-1416539.5783723043</v>
      </c>
      <c r="F34" s="594">
        <f>SUM(F35:F36)</f>
        <v>-254712.65344224914</v>
      </c>
      <c r="G34" s="594">
        <f>SUM(G35:G36)</f>
        <v>-236537.57770871805</v>
      </c>
      <c r="H34" s="633">
        <f t="shared" si="1"/>
        <v>-491250.23115096719</v>
      </c>
    </row>
    <row r="35" spans="1:8">
      <c r="A35" s="622">
        <v>17.100000000000001</v>
      </c>
      <c r="B35" s="584" t="s">
        <v>802</v>
      </c>
      <c r="C35" s="594">
        <v>-2161.9671610000078</v>
      </c>
      <c r="D35" s="594">
        <v>46489.063175230003</v>
      </c>
      <c r="E35" s="623">
        <f t="shared" si="0"/>
        <v>44327.096014229995</v>
      </c>
      <c r="F35" s="594">
        <v>-46829.352982999997</v>
      </c>
      <c r="G35" s="594">
        <v>38656.746322979998</v>
      </c>
      <c r="H35" s="633">
        <f t="shared" si="1"/>
        <v>-8172.6066600199993</v>
      </c>
    </row>
    <row r="36" spans="1:8">
      <c r="A36" s="622">
        <v>17.2</v>
      </c>
      <c r="B36" s="584" t="s">
        <v>803</v>
      </c>
      <c r="C36" s="594">
        <v>-2061695.2389380613</v>
      </c>
      <c r="D36" s="594">
        <v>600828.56455152703</v>
      </c>
      <c r="E36" s="623">
        <f t="shared" si="0"/>
        <v>-1460866.6743865344</v>
      </c>
      <c r="F36" s="594">
        <v>-207883.30045924915</v>
      </c>
      <c r="G36" s="594">
        <v>-275194.32403169805</v>
      </c>
      <c r="H36" s="633">
        <f t="shared" si="1"/>
        <v>-483077.62449094723</v>
      </c>
    </row>
    <row r="37" spans="1:8" ht="41.55" customHeight="1">
      <c r="A37" s="622">
        <v>18</v>
      </c>
      <c r="B37" s="619" t="s">
        <v>804</v>
      </c>
      <c r="C37" s="594">
        <f>SUM(C38:C39)</f>
        <v>0</v>
      </c>
      <c r="D37" s="594">
        <f>SUM(D38:D39)</f>
        <v>-1371960.4200000004</v>
      </c>
      <c r="E37" s="623">
        <f t="shared" si="0"/>
        <v>-1371960.4200000004</v>
      </c>
      <c r="F37" s="594">
        <f>SUM(F38:F39)</f>
        <v>311587.20000000019</v>
      </c>
      <c r="G37" s="594">
        <f>SUM(G38:G39)</f>
        <v>-446660</v>
      </c>
      <c r="H37" s="633">
        <f t="shared" si="1"/>
        <v>-135072.79999999981</v>
      </c>
    </row>
    <row r="38" spans="1:8" ht="20.399999999999999">
      <c r="A38" s="622">
        <v>18.100000000000001</v>
      </c>
      <c r="B38" s="591" t="s">
        <v>805</v>
      </c>
      <c r="C38" s="594"/>
      <c r="D38" s="594">
        <v>-1371960.4200000004</v>
      </c>
      <c r="E38" s="623">
        <f t="shared" si="0"/>
        <v>-1371960.4200000004</v>
      </c>
      <c r="F38" s="594">
        <v>311587.20000000019</v>
      </c>
      <c r="G38" s="594">
        <v>-446660</v>
      </c>
      <c r="H38" s="633">
        <f t="shared" si="1"/>
        <v>-135072.79999999981</v>
      </c>
    </row>
    <row r="39" spans="1:8">
      <c r="A39" s="622">
        <v>18.2</v>
      </c>
      <c r="B39" s="591" t="s">
        <v>806</v>
      </c>
      <c r="C39" s="594"/>
      <c r="D39" s="594"/>
      <c r="E39" s="623">
        <f t="shared" si="0"/>
        <v>0</v>
      </c>
      <c r="F39" s="594"/>
      <c r="G39" s="594"/>
      <c r="H39" s="633">
        <f t="shared" si="1"/>
        <v>0</v>
      </c>
    </row>
    <row r="40" spans="1:8" ht="24.45" customHeight="1">
      <c r="A40" s="622">
        <v>19</v>
      </c>
      <c r="B40" s="619" t="s">
        <v>807</v>
      </c>
      <c r="C40" s="594"/>
      <c r="D40" s="594"/>
      <c r="E40" s="623">
        <f t="shared" si="0"/>
        <v>0</v>
      </c>
      <c r="F40" s="594"/>
      <c r="G40" s="594"/>
      <c r="H40" s="633">
        <f t="shared" si="1"/>
        <v>0</v>
      </c>
    </row>
    <row r="41" spans="1:8" ht="25.05" customHeight="1">
      <c r="A41" s="622">
        <v>20</v>
      </c>
      <c r="B41" s="619" t="s">
        <v>808</v>
      </c>
      <c r="C41" s="594"/>
      <c r="D41" s="594"/>
      <c r="E41" s="623">
        <f t="shared" si="0"/>
        <v>0</v>
      </c>
      <c r="F41" s="594"/>
      <c r="G41" s="594"/>
      <c r="H41" s="633">
        <f t="shared" si="1"/>
        <v>0</v>
      </c>
    </row>
    <row r="42" spans="1:8" ht="33" customHeight="1">
      <c r="A42" s="622">
        <v>21</v>
      </c>
      <c r="B42" s="620" t="s">
        <v>809</v>
      </c>
      <c r="C42" s="594"/>
      <c r="D42" s="594"/>
      <c r="E42" s="623">
        <f t="shared" si="0"/>
        <v>0</v>
      </c>
      <c r="F42" s="594"/>
      <c r="G42" s="594"/>
      <c r="H42" s="633">
        <f t="shared" si="1"/>
        <v>0</v>
      </c>
    </row>
    <row r="43" spans="1:8">
      <c r="A43" s="622">
        <v>22</v>
      </c>
      <c r="B43" s="621" t="s">
        <v>810</v>
      </c>
      <c r="C43" s="594">
        <f>SUM(C6,C13,C18,C19,C20,C21,C22,C23,C24,C25,C26,C27,C28,C29,C32,C33,C34,C37,C40,C41,C42)</f>
        <v>-3509364.7804550566</v>
      </c>
      <c r="D43" s="594">
        <f>SUM(D6,D13,D18,D19,D20,D21,D22,D23,D24,D25,D26,D27,D28,D29,D32,D33,D34,D37,D40,D41,D42)</f>
        <v>3845447.7172955121</v>
      </c>
      <c r="E43" s="623">
        <f t="shared" si="0"/>
        <v>336082.93684045551</v>
      </c>
      <c r="F43" s="594">
        <f>SUM(F6,F13,F18,F19,F20,F21,F22,F23,F24,F25,F26,F27,F28,F29,F32,F33,F34,F37,F40,F41,F42)</f>
        <v>-1802934.7884621364</v>
      </c>
      <c r="G43" s="594">
        <f>SUM(G6,G13,G18,G19,G20,G21,G22,G23,G24,G25,G26,G27,G28,G29,G32,G33,G34,G37,G40,G41,G42)</f>
        <v>868271.12657928141</v>
      </c>
      <c r="H43" s="633">
        <f t="shared" si="1"/>
        <v>-934663.661882855</v>
      </c>
    </row>
    <row r="44" spans="1:8">
      <c r="A44" s="622">
        <v>23</v>
      </c>
      <c r="B44" s="621" t="s">
        <v>811</v>
      </c>
      <c r="C44" s="594"/>
      <c r="D44" s="594"/>
      <c r="E44" s="623">
        <f t="shared" si="0"/>
        <v>0</v>
      </c>
      <c r="F44" s="594"/>
      <c r="G44" s="594"/>
      <c r="H44" s="633">
        <f t="shared" si="1"/>
        <v>0</v>
      </c>
    </row>
    <row r="45" spans="1:8" ht="15" thickBot="1">
      <c r="A45" s="624">
        <v>24</v>
      </c>
      <c r="B45" s="625" t="s">
        <v>812</v>
      </c>
      <c r="C45" s="626">
        <f>C43-C44</f>
        <v>-3509364.7804550566</v>
      </c>
      <c r="D45" s="626">
        <f>D43-D44</f>
        <v>3845447.7172955121</v>
      </c>
      <c r="E45" s="627">
        <f t="shared" si="0"/>
        <v>336082.93684045551</v>
      </c>
      <c r="F45" s="626">
        <f>F43-F44</f>
        <v>-1802934.7884621364</v>
      </c>
      <c r="G45" s="626">
        <f>G43-G44</f>
        <v>868271.12657928141</v>
      </c>
      <c r="H45" s="631">
        <f t="shared" si="1"/>
        <v>-934663.661882855</v>
      </c>
    </row>
  </sheetData>
  <mergeCells count="4">
    <mergeCell ref="B4:B5"/>
    <mergeCell ref="C4:E4"/>
    <mergeCell ref="F4:H4"/>
    <mergeCell ref="A4:A5"/>
  </mergeCells>
  <pageMargins left="0.7" right="0.7" top="0.75" bottom="0.75" header="0.3" footer="0.3"/>
  <pageSetup scale="4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70" zoomScaleNormal="70" workbookViewId="0"/>
  </sheetViews>
  <sheetFormatPr defaultRowHeight="14.4"/>
  <cols>
    <col min="1" max="1" width="8.77734375" style="397"/>
    <col min="2" max="2" width="87.6640625" bestFit="1" customWidth="1"/>
    <col min="3" max="8" width="12.77734375" customWidth="1"/>
  </cols>
  <sheetData>
    <row r="1" spans="1:8">
      <c r="A1" s="12" t="s">
        <v>109</v>
      </c>
      <c r="B1" s="291" t="str">
        <f>Info!C2</f>
        <v>სს " პაშა ბანკი საქართველო"</v>
      </c>
      <c r="C1" s="11"/>
      <c r="D1" s="1"/>
      <c r="E1" s="1"/>
      <c r="F1" s="1"/>
      <c r="G1" s="1"/>
    </row>
    <row r="2" spans="1:8">
      <c r="A2" s="12" t="s">
        <v>110</v>
      </c>
      <c r="B2" s="322">
        <f>'1. key ratios'!B2</f>
        <v>45016</v>
      </c>
      <c r="C2" s="11"/>
      <c r="D2" s="1"/>
      <c r="E2" s="1"/>
      <c r="F2" s="1"/>
      <c r="G2" s="1"/>
    </row>
    <row r="3" spans="1:8">
      <c r="A3" s="12"/>
      <c r="B3" s="11"/>
      <c r="C3" s="11"/>
      <c r="D3" s="1"/>
      <c r="E3" s="1"/>
      <c r="F3" s="1"/>
      <c r="G3" s="1"/>
    </row>
    <row r="4" spans="1:8">
      <c r="A4" s="756" t="s">
        <v>26</v>
      </c>
      <c r="B4" s="770" t="s">
        <v>152</v>
      </c>
      <c r="C4" s="771" t="s">
        <v>115</v>
      </c>
      <c r="D4" s="771"/>
      <c r="E4" s="771"/>
      <c r="F4" s="771" t="s">
        <v>116</v>
      </c>
      <c r="G4" s="771"/>
      <c r="H4" s="772"/>
    </row>
    <row r="5" spans="1:8">
      <c r="A5" s="756"/>
      <c r="B5" s="770"/>
      <c r="C5" s="386" t="s">
        <v>27</v>
      </c>
      <c r="D5" s="386" t="s">
        <v>89</v>
      </c>
      <c r="E5" s="386" t="s">
        <v>67</v>
      </c>
      <c r="F5" s="386" t="s">
        <v>27</v>
      </c>
      <c r="G5" s="386" t="s">
        <v>89</v>
      </c>
      <c r="H5" s="387" t="s">
        <v>67</v>
      </c>
    </row>
    <row r="6" spans="1:8">
      <c r="A6" s="388">
        <v>1</v>
      </c>
      <c r="B6" s="389" t="s">
        <v>813</v>
      </c>
      <c r="C6" s="634"/>
      <c r="D6" s="634"/>
      <c r="E6" s="635">
        <f t="shared" ref="E6:E43" si="0">C6+D6</f>
        <v>0</v>
      </c>
      <c r="F6" s="634"/>
      <c r="G6" s="634"/>
      <c r="H6" s="636">
        <f t="shared" ref="H6:H43" si="1">F6+G6</f>
        <v>0</v>
      </c>
    </row>
    <row r="7" spans="1:8">
      <c r="A7" s="388">
        <v>2</v>
      </c>
      <c r="B7" s="390" t="s">
        <v>178</v>
      </c>
      <c r="C7" s="634"/>
      <c r="D7" s="634"/>
      <c r="E7" s="635">
        <f t="shared" si="0"/>
        <v>0</v>
      </c>
      <c r="F7" s="634"/>
      <c r="G7" s="634"/>
      <c r="H7" s="636">
        <f t="shared" si="1"/>
        <v>0</v>
      </c>
    </row>
    <row r="8" spans="1:8">
      <c r="A8" s="388">
        <v>3</v>
      </c>
      <c r="B8" s="390" t="s">
        <v>180</v>
      </c>
      <c r="C8" s="634">
        <f>C9+C10</f>
        <v>18977292.962099999</v>
      </c>
      <c r="D8" s="634">
        <f>D9+D10</f>
        <v>297171893.60570002</v>
      </c>
      <c r="E8" s="635">
        <f t="shared" si="0"/>
        <v>316149186.56780005</v>
      </c>
      <c r="F8" s="634">
        <f>F9+F10</f>
        <v>30719683.625299998</v>
      </c>
      <c r="G8" s="634">
        <f>G9+G10</f>
        <v>324690088.86259997</v>
      </c>
      <c r="H8" s="636">
        <f t="shared" si="1"/>
        <v>355409772.48789996</v>
      </c>
    </row>
    <row r="9" spans="1:8">
      <c r="A9" s="388">
        <v>3.1</v>
      </c>
      <c r="B9" s="391" t="s">
        <v>814</v>
      </c>
      <c r="C9" s="634">
        <v>2306162.6820999999</v>
      </c>
      <c r="D9" s="634">
        <v>286681842.61309999</v>
      </c>
      <c r="E9" s="635">
        <f t="shared" si="0"/>
        <v>288988005.29519999</v>
      </c>
      <c r="F9" s="634">
        <v>27917842.655299999</v>
      </c>
      <c r="G9" s="634">
        <v>309358829.27219999</v>
      </c>
      <c r="H9" s="636">
        <f t="shared" si="1"/>
        <v>337276671.92750001</v>
      </c>
    </row>
    <row r="10" spans="1:8">
      <c r="A10" s="388">
        <v>3.2</v>
      </c>
      <c r="B10" s="391" t="s">
        <v>815</v>
      </c>
      <c r="C10" s="634">
        <v>16671130.279999999</v>
      </c>
      <c r="D10" s="634">
        <v>10490050.9926</v>
      </c>
      <c r="E10" s="635">
        <f t="shared" si="0"/>
        <v>27161181.272599999</v>
      </c>
      <c r="F10" s="634">
        <v>2801840.97</v>
      </c>
      <c r="G10" s="634">
        <v>15331259.590399999</v>
      </c>
      <c r="H10" s="636">
        <f t="shared" si="1"/>
        <v>18133100.560399998</v>
      </c>
    </row>
    <row r="11" spans="1:8">
      <c r="A11" s="388">
        <v>4</v>
      </c>
      <c r="B11" s="390" t="s">
        <v>179</v>
      </c>
      <c r="C11" s="634">
        <f>C12+C13</f>
        <v>0</v>
      </c>
      <c r="D11" s="634">
        <f>D12+D13</f>
        <v>0</v>
      </c>
      <c r="E11" s="635">
        <f t="shared" si="0"/>
        <v>0</v>
      </c>
      <c r="F11" s="634">
        <f>F12+F13</f>
        <v>0</v>
      </c>
      <c r="G11" s="634">
        <f>G12+G13</f>
        <v>0</v>
      </c>
      <c r="H11" s="636">
        <f t="shared" si="1"/>
        <v>0</v>
      </c>
    </row>
    <row r="12" spans="1:8">
      <c r="A12" s="388">
        <v>4.0999999999999996</v>
      </c>
      <c r="B12" s="391" t="s">
        <v>816</v>
      </c>
      <c r="C12" s="634">
        <v>0</v>
      </c>
      <c r="D12" s="634">
        <v>0</v>
      </c>
      <c r="E12" s="635">
        <f t="shared" si="0"/>
        <v>0</v>
      </c>
      <c r="F12" s="634">
        <v>0</v>
      </c>
      <c r="G12" s="634">
        <v>0</v>
      </c>
      <c r="H12" s="636">
        <f t="shared" si="1"/>
        <v>0</v>
      </c>
    </row>
    <row r="13" spans="1:8">
      <c r="A13" s="388">
        <v>4.2</v>
      </c>
      <c r="B13" s="391" t="s">
        <v>817</v>
      </c>
      <c r="C13" s="634">
        <v>0</v>
      </c>
      <c r="D13" s="634">
        <v>0</v>
      </c>
      <c r="E13" s="635">
        <f t="shared" si="0"/>
        <v>0</v>
      </c>
      <c r="F13" s="634">
        <v>0</v>
      </c>
      <c r="G13" s="634">
        <v>0</v>
      </c>
      <c r="H13" s="636">
        <f t="shared" si="1"/>
        <v>0</v>
      </c>
    </row>
    <row r="14" spans="1:8">
      <c r="A14" s="388">
        <v>5</v>
      </c>
      <c r="B14" s="392" t="s">
        <v>818</v>
      </c>
      <c r="C14" s="634">
        <f>C15+C16+C17+C23+C24+C25+C26</f>
        <v>72091592.059799954</v>
      </c>
      <c r="D14" s="634">
        <f>D15+D16+D17+D23+D24+D25+D26</f>
        <v>364899799.90269995</v>
      </c>
      <c r="E14" s="635">
        <f t="shared" si="0"/>
        <v>436991391.96249992</v>
      </c>
      <c r="F14" s="634">
        <f>F15+F16+F17+F23+F24+F25+F26</f>
        <v>98660638.900599867</v>
      </c>
      <c r="G14" s="634">
        <f>G15+G16+G17+G23+G24+G25+G26</f>
        <v>1129198693.1294</v>
      </c>
      <c r="H14" s="636">
        <f t="shared" si="1"/>
        <v>1227859332.03</v>
      </c>
    </row>
    <row r="15" spans="1:8">
      <c r="A15" s="388">
        <v>5.0999999999999996</v>
      </c>
      <c r="B15" s="393" t="s">
        <v>819</v>
      </c>
      <c r="C15" s="634">
        <v>1558069.25</v>
      </c>
      <c r="D15" s="634">
        <v>4073493.3182999999</v>
      </c>
      <c r="E15" s="635">
        <f t="shared" si="0"/>
        <v>5631562.5682999995</v>
      </c>
      <c r="F15" s="634">
        <v>2236204.9300000002</v>
      </c>
      <c r="G15" s="634">
        <v>6190622.7794000003</v>
      </c>
      <c r="H15" s="636">
        <f t="shared" si="1"/>
        <v>8426827.7094000001</v>
      </c>
    </row>
    <row r="16" spans="1:8">
      <c r="A16" s="388">
        <v>5.2</v>
      </c>
      <c r="B16" s="393" t="s">
        <v>820</v>
      </c>
      <c r="C16" s="634"/>
      <c r="D16" s="634"/>
      <c r="E16" s="635">
        <f t="shared" si="0"/>
        <v>0</v>
      </c>
      <c r="F16" s="634"/>
      <c r="G16" s="634"/>
      <c r="H16" s="636">
        <f t="shared" si="1"/>
        <v>0</v>
      </c>
    </row>
    <row r="17" spans="1:8">
      <c r="A17" s="388">
        <v>5.3</v>
      </c>
      <c r="B17" s="393" t="s">
        <v>821</v>
      </c>
      <c r="C17" s="634">
        <f>C18+C19+C20+C21+C22</f>
        <v>33800000.000100002</v>
      </c>
      <c r="D17" s="634">
        <f>D18+D19+D20+D21+D22</f>
        <v>289710533.15899998</v>
      </c>
      <c r="E17" s="635">
        <f t="shared" si="0"/>
        <v>323510533.1591</v>
      </c>
      <c r="F17" s="634">
        <f>F18+F19+F20+F21+F22</f>
        <v>37655876.449900001</v>
      </c>
      <c r="G17" s="634">
        <f>G18+G19+G20+G21+G22</f>
        <v>988746422.65849996</v>
      </c>
      <c r="H17" s="636">
        <f t="shared" si="1"/>
        <v>1026402299.1084</v>
      </c>
    </row>
    <row r="18" spans="1:8">
      <c r="A18" s="388" t="s">
        <v>181</v>
      </c>
      <c r="B18" s="394" t="s">
        <v>822</v>
      </c>
      <c r="C18" s="634">
        <v>1</v>
      </c>
      <c r="D18" s="634">
        <v>32558153.936700001</v>
      </c>
      <c r="E18" s="635">
        <f t="shared" si="0"/>
        <v>32558154.936700001</v>
      </c>
      <c r="F18" s="634">
        <v>0</v>
      </c>
      <c r="G18" s="634">
        <v>45992290.165399998</v>
      </c>
      <c r="H18" s="636">
        <f t="shared" si="1"/>
        <v>45992290.165399998</v>
      </c>
    </row>
    <row r="19" spans="1:8">
      <c r="A19" s="388" t="s">
        <v>182</v>
      </c>
      <c r="B19" s="395" t="s">
        <v>823</v>
      </c>
      <c r="C19" s="634">
        <v>0</v>
      </c>
      <c r="D19" s="634">
        <v>182168472.56209999</v>
      </c>
      <c r="E19" s="635">
        <f t="shared" si="0"/>
        <v>182168472.56209999</v>
      </c>
      <c r="F19" s="634">
        <v>3855876.45</v>
      </c>
      <c r="G19" s="634">
        <v>855302927.43139994</v>
      </c>
      <c r="H19" s="636">
        <f t="shared" si="1"/>
        <v>859158803.88139999</v>
      </c>
    </row>
    <row r="20" spans="1:8">
      <c r="A20" s="388" t="s">
        <v>183</v>
      </c>
      <c r="B20" s="395" t="s">
        <v>824</v>
      </c>
      <c r="C20" s="634"/>
      <c r="D20" s="634"/>
      <c r="E20" s="635">
        <f t="shared" si="0"/>
        <v>0</v>
      </c>
      <c r="F20" s="634">
        <v>0</v>
      </c>
      <c r="G20" s="634">
        <v>3497336.01</v>
      </c>
      <c r="H20" s="636">
        <f t="shared" si="1"/>
        <v>3497336.01</v>
      </c>
    </row>
    <row r="21" spans="1:8">
      <c r="A21" s="388" t="s">
        <v>184</v>
      </c>
      <c r="B21" s="395" t="s">
        <v>825</v>
      </c>
      <c r="C21" s="634">
        <v>0</v>
      </c>
      <c r="D21" s="634">
        <v>61445958.111699998</v>
      </c>
      <c r="E21" s="635">
        <f t="shared" si="0"/>
        <v>61445958.111699998</v>
      </c>
      <c r="F21" s="634">
        <v>0</v>
      </c>
      <c r="G21" s="634">
        <v>44835311.371299997</v>
      </c>
      <c r="H21" s="636">
        <f t="shared" si="1"/>
        <v>44835311.371299997</v>
      </c>
    </row>
    <row r="22" spans="1:8">
      <c r="A22" s="388" t="s">
        <v>185</v>
      </c>
      <c r="B22" s="395" t="s">
        <v>542</v>
      </c>
      <c r="C22" s="634">
        <v>33799999.000100002</v>
      </c>
      <c r="D22" s="634">
        <v>13537948.5485</v>
      </c>
      <c r="E22" s="635">
        <f t="shared" si="0"/>
        <v>47337947.548600003</v>
      </c>
      <c r="F22" s="634">
        <v>33799999.999899998</v>
      </c>
      <c r="G22" s="634">
        <v>39118557.680399999</v>
      </c>
      <c r="H22" s="636">
        <f t="shared" si="1"/>
        <v>72918557.680299997</v>
      </c>
    </row>
    <row r="23" spans="1:8">
      <c r="A23" s="388">
        <v>5.4</v>
      </c>
      <c r="B23" s="393" t="s">
        <v>826</v>
      </c>
      <c r="C23" s="634">
        <v>0</v>
      </c>
      <c r="D23" s="634">
        <v>39634487.882799998</v>
      </c>
      <c r="E23" s="635">
        <f t="shared" si="0"/>
        <v>39634487.882799998</v>
      </c>
      <c r="F23" s="634">
        <v>6308546.0199999996</v>
      </c>
      <c r="G23" s="634">
        <v>115653773.2594</v>
      </c>
      <c r="H23" s="636">
        <f t="shared" si="1"/>
        <v>121962319.27939999</v>
      </c>
    </row>
    <row r="24" spans="1:8">
      <c r="A24" s="388">
        <v>5.5</v>
      </c>
      <c r="B24" s="393" t="s">
        <v>827</v>
      </c>
      <c r="C24" s="634">
        <v>0</v>
      </c>
      <c r="D24" s="634">
        <v>76.811999999999998</v>
      </c>
      <c r="E24" s="635">
        <f t="shared" si="0"/>
        <v>76.811999999999998</v>
      </c>
      <c r="F24" s="634">
        <v>0.05</v>
      </c>
      <c r="G24" s="634">
        <v>49.621400000000001</v>
      </c>
      <c r="H24" s="636">
        <f t="shared" si="1"/>
        <v>49.671399999999998</v>
      </c>
    </row>
    <row r="25" spans="1:8">
      <c r="A25" s="388">
        <v>5.6</v>
      </c>
      <c r="B25" s="393" t="s">
        <v>828</v>
      </c>
      <c r="C25" s="634">
        <v>0</v>
      </c>
      <c r="D25" s="634">
        <v>2.5604</v>
      </c>
      <c r="E25" s="635">
        <f t="shared" si="0"/>
        <v>2.5604</v>
      </c>
      <c r="F25" s="634"/>
      <c r="G25" s="634"/>
      <c r="H25" s="636">
        <f t="shared" si="1"/>
        <v>0</v>
      </c>
    </row>
    <row r="26" spans="1:8">
      <c r="A26" s="388">
        <v>5.7</v>
      </c>
      <c r="B26" s="393" t="s">
        <v>542</v>
      </c>
      <c r="C26" s="634">
        <v>36733522.809699953</v>
      </c>
      <c r="D26" s="634">
        <v>31481206.170200001</v>
      </c>
      <c r="E26" s="635">
        <f t="shared" si="0"/>
        <v>68214728.979899958</v>
      </c>
      <c r="F26" s="634">
        <v>52460011.450699873</v>
      </c>
      <c r="G26" s="634">
        <v>18607824.810699999</v>
      </c>
      <c r="H26" s="636">
        <f t="shared" si="1"/>
        <v>71067836.261399865</v>
      </c>
    </row>
    <row r="27" spans="1:8">
      <c r="A27" s="388">
        <v>6</v>
      </c>
      <c r="B27" s="392" t="s">
        <v>829</v>
      </c>
      <c r="C27" s="634">
        <v>52578664.369999997</v>
      </c>
      <c r="D27" s="634">
        <v>5272540.4779000003</v>
      </c>
      <c r="E27" s="635">
        <f t="shared" si="0"/>
        <v>57851204.847899996</v>
      </c>
      <c r="F27" s="634">
        <v>27380088.989999998</v>
      </c>
      <c r="G27" s="634">
        <v>6359976.9911000002</v>
      </c>
      <c r="H27" s="636">
        <f t="shared" si="1"/>
        <v>33740065.9811</v>
      </c>
    </row>
    <row r="28" spans="1:8">
      <c r="A28" s="388">
        <v>7</v>
      </c>
      <c r="B28" s="392" t="s">
        <v>830</v>
      </c>
      <c r="C28" s="634">
        <v>40198585.840000004</v>
      </c>
      <c r="D28" s="634">
        <v>19613652.661600001</v>
      </c>
      <c r="E28" s="635">
        <f t="shared" si="0"/>
        <v>59812238.501600005</v>
      </c>
      <c r="F28" s="634">
        <v>11320169.109999999</v>
      </c>
      <c r="G28" s="634">
        <v>13273178.1351</v>
      </c>
      <c r="H28" s="636">
        <f t="shared" si="1"/>
        <v>24593347.245099999</v>
      </c>
    </row>
    <row r="29" spans="1:8">
      <c r="A29" s="388">
        <v>8</v>
      </c>
      <c r="B29" s="392" t="s">
        <v>831</v>
      </c>
      <c r="C29" s="634">
        <v>0</v>
      </c>
      <c r="D29" s="634">
        <v>0</v>
      </c>
      <c r="E29" s="635">
        <f t="shared" si="0"/>
        <v>0</v>
      </c>
      <c r="F29" s="634">
        <v>0</v>
      </c>
      <c r="G29" s="634">
        <v>0</v>
      </c>
      <c r="H29" s="636">
        <f t="shared" si="1"/>
        <v>0</v>
      </c>
    </row>
    <row r="30" spans="1:8">
      <c r="A30" s="388">
        <v>9</v>
      </c>
      <c r="B30" s="390" t="s">
        <v>186</v>
      </c>
      <c r="C30" s="634">
        <f>C31+C32+C33+C34+C35+C36+C37</f>
        <v>75453165</v>
      </c>
      <c r="D30" s="634">
        <f>D31+D32+D33+D34+D35+D36+D37</f>
        <v>256406444.28079998</v>
      </c>
      <c r="E30" s="635">
        <f t="shared" si="0"/>
        <v>331859609.28079998</v>
      </c>
      <c r="F30" s="634">
        <f>F31+F32+F33+F34+F35+F36+F37</f>
        <v>28548605.829999998</v>
      </c>
      <c r="G30" s="634">
        <f>G31+G32+G33+G34+G35+G36+G37</f>
        <v>132994240.06820001</v>
      </c>
      <c r="H30" s="636">
        <f t="shared" si="1"/>
        <v>161542845.89820001</v>
      </c>
    </row>
    <row r="31" spans="1:8" ht="27.6">
      <c r="A31" s="388">
        <v>9.1</v>
      </c>
      <c r="B31" s="391" t="s">
        <v>832</v>
      </c>
      <c r="C31" s="634">
        <v>32835067</v>
      </c>
      <c r="D31" s="634">
        <v>132136722.8222</v>
      </c>
      <c r="E31" s="635">
        <f t="shared" si="0"/>
        <v>164971789.8222</v>
      </c>
      <c r="F31" s="634">
        <v>12475982</v>
      </c>
      <c r="G31" s="634">
        <v>68155120.033700004</v>
      </c>
      <c r="H31" s="636">
        <f t="shared" si="1"/>
        <v>80631102.033700004</v>
      </c>
    </row>
    <row r="32" spans="1:8" ht="27.6">
      <c r="A32" s="388">
        <v>9.1999999999999993</v>
      </c>
      <c r="B32" s="391" t="s">
        <v>833</v>
      </c>
      <c r="C32" s="634">
        <v>42618098</v>
      </c>
      <c r="D32" s="634">
        <v>124269721.4586</v>
      </c>
      <c r="E32" s="635">
        <f t="shared" si="0"/>
        <v>166887819.45859998</v>
      </c>
      <c r="F32" s="634">
        <v>16072623.83</v>
      </c>
      <c r="G32" s="634">
        <v>64839120.034500003</v>
      </c>
      <c r="H32" s="636">
        <f t="shared" si="1"/>
        <v>80911743.864500001</v>
      </c>
    </row>
    <row r="33" spans="1:8" ht="27.6">
      <c r="A33" s="388">
        <v>9.3000000000000007</v>
      </c>
      <c r="B33" s="391" t="s">
        <v>834</v>
      </c>
      <c r="C33" s="634"/>
      <c r="D33" s="634"/>
      <c r="E33" s="635">
        <f t="shared" si="0"/>
        <v>0</v>
      </c>
      <c r="F33" s="634"/>
      <c r="G33" s="634"/>
      <c r="H33" s="636">
        <f t="shared" si="1"/>
        <v>0</v>
      </c>
    </row>
    <row r="34" spans="1:8">
      <c r="A34" s="388">
        <v>9.4</v>
      </c>
      <c r="B34" s="391" t="s">
        <v>835</v>
      </c>
      <c r="C34" s="634"/>
      <c r="D34" s="634"/>
      <c r="E34" s="635">
        <f t="shared" si="0"/>
        <v>0</v>
      </c>
      <c r="F34" s="634"/>
      <c r="G34" s="634"/>
      <c r="H34" s="636">
        <f t="shared" si="1"/>
        <v>0</v>
      </c>
    </row>
    <row r="35" spans="1:8">
      <c r="A35" s="388">
        <v>9.5</v>
      </c>
      <c r="B35" s="391" t="s">
        <v>836</v>
      </c>
      <c r="C35" s="634"/>
      <c r="D35" s="634"/>
      <c r="E35" s="635">
        <f t="shared" si="0"/>
        <v>0</v>
      </c>
      <c r="F35" s="634"/>
      <c r="G35" s="634"/>
      <c r="H35" s="636">
        <f t="shared" si="1"/>
        <v>0</v>
      </c>
    </row>
    <row r="36" spans="1:8" ht="27.6">
      <c r="A36" s="388">
        <v>9.6</v>
      </c>
      <c r="B36" s="391" t="s">
        <v>837</v>
      </c>
      <c r="C36" s="634"/>
      <c r="D36" s="634"/>
      <c r="E36" s="635">
        <f t="shared" si="0"/>
        <v>0</v>
      </c>
      <c r="F36" s="634"/>
      <c r="G36" s="634"/>
      <c r="H36" s="636">
        <f t="shared" si="1"/>
        <v>0</v>
      </c>
    </row>
    <row r="37" spans="1:8" ht="27.6">
      <c r="A37" s="388">
        <v>9.6999999999999993</v>
      </c>
      <c r="B37" s="391" t="s">
        <v>838</v>
      </c>
      <c r="C37" s="634"/>
      <c r="D37" s="634"/>
      <c r="E37" s="635">
        <f t="shared" si="0"/>
        <v>0</v>
      </c>
      <c r="F37" s="634"/>
      <c r="G37" s="634"/>
      <c r="H37" s="636">
        <f t="shared" si="1"/>
        <v>0</v>
      </c>
    </row>
    <row r="38" spans="1:8">
      <c r="A38" s="388">
        <v>10</v>
      </c>
      <c r="B38" s="392" t="s">
        <v>839</v>
      </c>
      <c r="C38" s="634">
        <f>C39+C40+C41+C42</f>
        <v>11139779.59</v>
      </c>
      <c r="D38" s="634">
        <f>D39+D40+D41+D42</f>
        <v>9495055.6026999988</v>
      </c>
      <c r="E38" s="635">
        <f t="shared" si="0"/>
        <v>20634835.192699999</v>
      </c>
      <c r="F38" s="634">
        <f>F39+F40+F41+F42</f>
        <v>4265105.91</v>
      </c>
      <c r="G38" s="634">
        <f>G39+G40+G41+G42</f>
        <v>5231428.2955999998</v>
      </c>
      <c r="H38" s="636">
        <f t="shared" si="1"/>
        <v>9496534.2056000009</v>
      </c>
    </row>
    <row r="39" spans="1:8">
      <c r="A39" s="388">
        <v>10.1</v>
      </c>
      <c r="B39" s="391" t="s">
        <v>840</v>
      </c>
      <c r="C39" s="634">
        <v>853104.32</v>
      </c>
      <c r="D39" s="634">
        <v>0</v>
      </c>
      <c r="E39" s="635">
        <f t="shared" si="0"/>
        <v>853104.32</v>
      </c>
      <c r="F39" s="634">
        <v>390331.01</v>
      </c>
      <c r="G39" s="634">
        <v>0</v>
      </c>
      <c r="H39" s="636">
        <f t="shared" si="1"/>
        <v>390331.01</v>
      </c>
    </row>
    <row r="40" spans="1:8" ht="27.6">
      <c r="A40" s="388">
        <v>10.199999999999999</v>
      </c>
      <c r="B40" s="391" t="s">
        <v>841</v>
      </c>
      <c r="C40" s="634">
        <v>1317453.1299999999</v>
      </c>
      <c r="D40" s="634">
        <v>1313565.3739</v>
      </c>
      <c r="E40" s="635">
        <f t="shared" si="0"/>
        <v>2631018.5038999999</v>
      </c>
      <c r="F40" s="634">
        <v>446625.97</v>
      </c>
      <c r="G40" s="634">
        <v>1024235.5367000001</v>
      </c>
      <c r="H40" s="636">
        <f t="shared" si="1"/>
        <v>1470861.5067</v>
      </c>
    </row>
    <row r="41" spans="1:8" ht="27.6">
      <c r="A41" s="388">
        <v>10.3</v>
      </c>
      <c r="B41" s="391" t="s">
        <v>842</v>
      </c>
      <c r="C41" s="634">
        <v>3877826.44</v>
      </c>
      <c r="D41" s="634">
        <v>0</v>
      </c>
      <c r="E41" s="635">
        <f t="shared" si="0"/>
        <v>3877826.44</v>
      </c>
      <c r="F41" s="634">
        <v>1864457.55</v>
      </c>
      <c r="G41" s="634">
        <v>0</v>
      </c>
      <c r="H41" s="636">
        <f t="shared" si="1"/>
        <v>1864457.55</v>
      </c>
    </row>
    <row r="42" spans="1:8" ht="27.6">
      <c r="A42" s="388">
        <v>10.4</v>
      </c>
      <c r="B42" s="391" t="s">
        <v>843</v>
      </c>
      <c r="C42" s="634">
        <v>5091395.7</v>
      </c>
      <c r="D42" s="634">
        <v>8181490.2287999997</v>
      </c>
      <c r="E42" s="635">
        <f t="shared" si="0"/>
        <v>13272885.9288</v>
      </c>
      <c r="F42" s="634">
        <v>1563691.38</v>
      </c>
      <c r="G42" s="634">
        <v>4207192.7588999998</v>
      </c>
      <c r="H42" s="636">
        <f t="shared" si="1"/>
        <v>5770884.1388999997</v>
      </c>
    </row>
    <row r="43" spans="1:8">
      <c r="A43" s="388">
        <v>11</v>
      </c>
      <c r="B43" s="396" t="s">
        <v>187</v>
      </c>
      <c r="C43" s="634"/>
      <c r="D43" s="634"/>
      <c r="E43" s="635">
        <f t="shared" si="0"/>
        <v>0</v>
      </c>
      <c r="F43" s="634"/>
      <c r="G43" s="634"/>
      <c r="H43" s="636">
        <f t="shared" si="1"/>
        <v>0</v>
      </c>
    </row>
    <row r="44" spans="1:8">
      <c r="C44" s="398"/>
      <c r="D44" s="398"/>
      <c r="E44" s="398"/>
      <c r="F44" s="398"/>
      <c r="G44" s="398"/>
      <c r="H44" s="398"/>
    </row>
    <row r="45" spans="1:8">
      <c r="C45" s="398"/>
      <c r="D45" s="398"/>
      <c r="E45" s="398"/>
      <c r="F45" s="398"/>
      <c r="G45" s="398"/>
      <c r="H45" s="398"/>
    </row>
    <row r="46" spans="1:8">
      <c r="C46" s="398"/>
      <c r="D46" s="398"/>
      <c r="E46" s="398"/>
      <c r="F46" s="398"/>
      <c r="G46" s="398"/>
      <c r="H46" s="398"/>
    </row>
    <row r="47" spans="1:8">
      <c r="C47" s="398"/>
      <c r="D47" s="398"/>
      <c r="E47" s="398"/>
      <c r="F47" s="398"/>
      <c r="G47" s="398"/>
      <c r="H47" s="398"/>
    </row>
  </sheetData>
  <mergeCells count="4">
    <mergeCell ref="A4:A5"/>
    <mergeCell ref="B4:B5"/>
    <mergeCell ref="C4:E4"/>
    <mergeCell ref="F4:H4"/>
  </mergeCells>
  <pageMargins left="0.7" right="0.7" top="0.75" bottom="0.75" header="0.3" footer="0.3"/>
  <pageSetup scale="5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C9" sqref="C9"/>
      <selection pane="topRight" activeCell="C9" sqref="C9"/>
      <selection pane="bottomLeft" activeCell="C9" sqref="C9"/>
      <selection pane="bottomRight"/>
    </sheetView>
  </sheetViews>
  <sheetFormatPr defaultColWidth="9.21875" defaultRowHeight="13.8"/>
  <cols>
    <col min="1" max="1" width="9.5546875" style="1" bestFit="1" customWidth="1"/>
    <col min="2" max="2" width="93.5546875" style="1" customWidth="1"/>
    <col min="3" max="3" width="16" style="1" customWidth="1"/>
    <col min="4" max="4" width="17.109375" style="1" customWidth="1"/>
    <col min="5" max="5" width="13.6640625" style="8" customWidth="1"/>
    <col min="6" max="6" width="15.88671875" style="8" customWidth="1"/>
    <col min="7" max="7" width="17.21875" style="8" customWidth="1"/>
    <col min="8" max="11" width="9.77734375" style="8" customWidth="1"/>
    <col min="12" max="16384" width="9.21875" style="8"/>
  </cols>
  <sheetData>
    <row r="1" spans="1:7">
      <c r="A1" s="12" t="s">
        <v>109</v>
      </c>
      <c r="B1" s="11" t="str">
        <f>Info!C2</f>
        <v>სს " პაშა ბანკი საქართველო"</v>
      </c>
      <c r="C1" s="11"/>
    </row>
    <row r="2" spans="1:7">
      <c r="A2" s="12" t="s">
        <v>110</v>
      </c>
      <c r="B2" s="322">
        <f>'1. key ratios'!B2</f>
        <v>45016</v>
      </c>
      <c r="C2" s="11"/>
    </row>
    <row r="3" spans="1:7">
      <c r="A3" s="12"/>
      <c r="B3" s="11"/>
      <c r="C3" s="11"/>
    </row>
    <row r="4" spans="1:7" ht="15" customHeight="1" thickBot="1">
      <c r="A4" s="140" t="s">
        <v>254</v>
      </c>
      <c r="B4" s="141" t="s">
        <v>108</v>
      </c>
      <c r="C4" s="142" t="s">
        <v>88</v>
      </c>
    </row>
    <row r="5" spans="1:7" ht="15" customHeight="1">
      <c r="A5" s="138" t="s">
        <v>26</v>
      </c>
      <c r="B5" s="139"/>
      <c r="C5" s="309" t="str">
        <f>INT((MONTH($B$2))/3)&amp;"Q"&amp;"-"&amp;YEAR($B$2)</f>
        <v>1Q-2023</v>
      </c>
      <c r="D5" s="309" t="str">
        <f>IF(INT(MONTH($B$2))=3, "4"&amp;"Q"&amp;"-"&amp;YEAR($B$2)-1, IF(INT(MONTH($B$2))=6, "1"&amp;"Q"&amp;"-"&amp;YEAR($B$2), IF(INT(MONTH($B$2))=9, "2"&amp;"Q"&amp;"-"&amp;YEAR($B$2),IF(INT(MONTH($B$2))=12, "3"&amp;"Q"&amp;"-"&amp;YEAR($B$2), 0))))</f>
        <v>4Q-2022</v>
      </c>
      <c r="E5" s="309" t="str">
        <f>IF(INT(MONTH($B$2))=3, "3"&amp;"Q"&amp;"-"&amp;YEAR($B$2)-1, IF(INT(MONTH($B$2))=6, "4"&amp;"Q"&amp;"-"&amp;YEAR($B$2)-1, IF(INT(MONTH($B$2))=9, "1"&amp;"Q"&amp;"-"&amp;YEAR($B$2),IF(INT(MONTH($B$2))=12, "2"&amp;"Q"&amp;"-"&amp;YEAR($B$2), 0))))</f>
        <v>3Q-2022</v>
      </c>
      <c r="F5" s="309" t="str">
        <f>IF(INT(MONTH($B$2))=3, "2"&amp;"Q"&amp;"-"&amp;YEAR($B$2)-1, IF(INT(MONTH($B$2))=6, "3"&amp;"Q"&amp;"-"&amp;YEAR($B$2)-1, IF(INT(MONTH($B$2))=9, "4"&amp;"Q"&amp;"-"&amp;YEAR($B$2)-1,IF(INT(MONTH($B$2))=12, "1"&amp;"Q"&amp;"-"&amp;YEAR($B$2), 0))))</f>
        <v>2Q-2022</v>
      </c>
      <c r="G5" s="309" t="str">
        <f>IF(INT(MONTH($B$2))=3, "1"&amp;"Q"&amp;"-"&amp;YEAR($B$2)-1, IF(INT(MONTH($B$2))=6, "2"&amp;"Q"&amp;"-"&amp;YEAR($B$2)-1, IF(INT(MONTH($B$2))=9, "3"&amp;"Q"&amp;"-"&amp;YEAR($B$2)-1,IF(INT(MONTH($B$2))=12, "4"&amp;"Q"&amp;"-"&amp;YEAR($B$2)-1, 0))))</f>
        <v>1Q-2022</v>
      </c>
    </row>
    <row r="6" spans="1:7" ht="15" customHeight="1">
      <c r="A6" s="244">
        <v>1</v>
      </c>
      <c r="B6" s="297" t="s">
        <v>113</v>
      </c>
      <c r="C6" s="245">
        <f>C7+C9+C10</f>
        <v>471726745.11486995</v>
      </c>
      <c r="D6" s="299">
        <f>D7+D9+D10</f>
        <v>497737310.48461002</v>
      </c>
      <c r="E6" s="246">
        <f t="shared" ref="E6:G6" si="0">E7+E9+E10</f>
        <v>477818248.73982</v>
      </c>
      <c r="F6" s="245">
        <f t="shared" si="0"/>
        <v>438276703.69968003</v>
      </c>
      <c r="G6" s="300">
        <f t="shared" si="0"/>
        <v>441698602.48696864</v>
      </c>
    </row>
    <row r="7" spans="1:7" ht="15" customHeight="1">
      <c r="A7" s="244">
        <v>1.1000000000000001</v>
      </c>
      <c r="B7" s="247" t="s">
        <v>437</v>
      </c>
      <c r="C7" s="637">
        <v>434813748.08630997</v>
      </c>
      <c r="D7" s="638">
        <v>455940401.05535001</v>
      </c>
      <c r="E7" s="637">
        <v>437842233.56118</v>
      </c>
      <c r="F7" s="637">
        <v>413127628.69187999</v>
      </c>
      <c r="G7" s="639">
        <v>424750200.74233264</v>
      </c>
    </row>
    <row r="8" spans="1:7" ht="27.6">
      <c r="A8" s="244" t="s">
        <v>158</v>
      </c>
      <c r="B8" s="248" t="s">
        <v>251</v>
      </c>
      <c r="C8" s="637"/>
      <c r="D8" s="638"/>
      <c r="E8" s="637"/>
      <c r="F8" s="637"/>
      <c r="G8" s="639"/>
    </row>
    <row r="9" spans="1:7" ht="15" customHeight="1">
      <c r="A9" s="244">
        <v>1.2</v>
      </c>
      <c r="B9" s="247" t="s">
        <v>22</v>
      </c>
      <c r="C9" s="637">
        <v>33895648.832159996</v>
      </c>
      <c r="D9" s="638">
        <v>38528922.784160003</v>
      </c>
      <c r="E9" s="637">
        <v>38098747.036839999</v>
      </c>
      <c r="F9" s="637">
        <v>23565281.497299999</v>
      </c>
      <c r="G9" s="639">
        <v>15335779.703960001</v>
      </c>
    </row>
    <row r="10" spans="1:7" ht="15" customHeight="1">
      <c r="A10" s="244">
        <v>1.3</v>
      </c>
      <c r="B10" s="298" t="s">
        <v>75</v>
      </c>
      <c r="C10" s="637">
        <v>3017348.1963999998</v>
      </c>
      <c r="D10" s="638">
        <v>3267986.6450999998</v>
      </c>
      <c r="E10" s="637">
        <v>1877268.1418000001</v>
      </c>
      <c r="F10" s="637">
        <v>1583793.5105000001</v>
      </c>
      <c r="G10" s="639">
        <v>1612622.0406760001</v>
      </c>
    </row>
    <row r="11" spans="1:7" ht="15" customHeight="1">
      <c r="A11" s="244">
        <v>2</v>
      </c>
      <c r="B11" s="297" t="s">
        <v>114</v>
      </c>
      <c r="C11" s="637">
        <v>3040200.1016594404</v>
      </c>
      <c r="D11" s="638">
        <v>4997167.2005720008</v>
      </c>
      <c r="E11" s="637">
        <v>7065666.1379674431</v>
      </c>
      <c r="F11" s="637">
        <v>7716501.3942179475</v>
      </c>
      <c r="G11" s="639">
        <v>8086763.5360029172</v>
      </c>
    </row>
    <row r="12" spans="1:7" ht="15" customHeight="1">
      <c r="A12" s="244">
        <v>3</v>
      </c>
      <c r="B12" s="297" t="s">
        <v>112</v>
      </c>
      <c r="C12" s="637">
        <v>52612002.030000001</v>
      </c>
      <c r="D12" s="638">
        <v>52523667.965411298</v>
      </c>
      <c r="E12" s="637">
        <v>44217817.779271342</v>
      </c>
      <c r="F12" s="637">
        <v>44217817.779271342</v>
      </c>
      <c r="G12" s="639">
        <v>44217817.779271342</v>
      </c>
    </row>
    <row r="13" spans="1:7" ht="15" customHeight="1" thickBot="1">
      <c r="A13" s="75">
        <v>4</v>
      </c>
      <c r="B13" s="303" t="s">
        <v>159</v>
      </c>
      <c r="C13" s="159">
        <f>C6+C11+C12</f>
        <v>527378947.24652934</v>
      </c>
      <c r="D13" s="301">
        <f>D6+D11+D12</f>
        <v>555258145.65059328</v>
      </c>
      <c r="E13" s="160">
        <f t="shared" ref="E13:G13" si="1">E6+E11+E12</f>
        <v>529101732.65705884</v>
      </c>
      <c r="F13" s="159">
        <f t="shared" si="1"/>
        <v>490211022.87316936</v>
      </c>
      <c r="G13" s="302">
        <f t="shared" si="1"/>
        <v>494003183.80224293</v>
      </c>
    </row>
    <row r="14" spans="1:7">
      <c r="B14" s="16"/>
    </row>
    <row r="15" spans="1:7" ht="27.6">
      <c r="B15" s="16" t="s">
        <v>438</v>
      </c>
    </row>
    <row r="16" spans="1:7">
      <c r="B16" s="16"/>
    </row>
    <row r="17" spans="2:2">
      <c r="B17" s="16"/>
    </row>
    <row r="18" spans="2:2">
      <c r="B18" s="16"/>
    </row>
  </sheetData>
  <pageMargins left="0.7" right="0.7" top="0.75" bottom="0.75" header="0.3" footer="0.3"/>
  <pageSetup paperSize="9" scale="46"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showGridLines="0" zoomScaleNormal="100" workbookViewId="0">
      <pane xSplit="1" ySplit="4" topLeftCell="B5" activePane="bottomRight" state="frozen"/>
      <selection activeCell="C9" sqref="C9"/>
      <selection pane="topRight" activeCell="C9" sqref="C9"/>
      <selection pane="bottomLeft" activeCell="C9" sqref="C9"/>
      <selection pane="bottomRight"/>
    </sheetView>
  </sheetViews>
  <sheetFormatPr defaultRowHeight="14.4"/>
  <cols>
    <col min="1" max="1" width="9.5546875" style="1" bestFit="1" customWidth="1"/>
    <col min="2" max="2" width="58.77734375" style="1" customWidth="1"/>
    <col min="3" max="3" width="34.21875" style="1" customWidth="1"/>
  </cols>
  <sheetData>
    <row r="1" spans="1:8">
      <c r="A1" s="1" t="s">
        <v>109</v>
      </c>
      <c r="B1" s="1" t="str">
        <f>Info!C2</f>
        <v>სს " პაშა ბანკი საქართველო"</v>
      </c>
    </row>
    <row r="2" spans="1:8">
      <c r="A2" s="1" t="s">
        <v>110</v>
      </c>
      <c r="B2" s="322">
        <f>'1. key ratios'!B2</f>
        <v>45016</v>
      </c>
    </row>
    <row r="4" spans="1:8" ht="25.5" customHeight="1" thickBot="1">
      <c r="A4" s="153" t="s">
        <v>255</v>
      </c>
      <c r="B4" s="23" t="s">
        <v>92</v>
      </c>
      <c r="C4" s="9"/>
    </row>
    <row r="5" spans="1:8">
      <c r="A5" s="7"/>
      <c r="B5" s="293" t="s">
        <v>93</v>
      </c>
      <c r="C5" s="307" t="s">
        <v>451</v>
      </c>
    </row>
    <row r="6" spans="1:8">
      <c r="A6" s="10">
        <v>1</v>
      </c>
      <c r="B6" s="24" t="s">
        <v>966</v>
      </c>
      <c r="C6" s="304" t="s">
        <v>967</v>
      </c>
    </row>
    <row r="7" spans="1:8">
      <c r="A7" s="10">
        <v>2</v>
      </c>
      <c r="B7" s="24" t="s">
        <v>968</v>
      </c>
      <c r="C7" s="304" t="s">
        <v>969</v>
      </c>
    </row>
    <row r="8" spans="1:8">
      <c r="A8" s="10">
        <v>3</v>
      </c>
      <c r="B8" s="24" t="s">
        <v>970</v>
      </c>
      <c r="C8" s="304" t="s">
        <v>969</v>
      </c>
    </row>
    <row r="9" spans="1:8">
      <c r="A9" s="10">
        <v>4</v>
      </c>
      <c r="B9" s="24" t="s">
        <v>971</v>
      </c>
      <c r="C9" s="304" t="s">
        <v>967</v>
      </c>
    </row>
    <row r="10" spans="1:8">
      <c r="A10" s="10">
        <v>5</v>
      </c>
      <c r="B10" s="24" t="s">
        <v>963</v>
      </c>
      <c r="C10" s="304" t="s">
        <v>972</v>
      </c>
    </row>
    <row r="11" spans="1:8">
      <c r="A11" s="10">
        <v>6</v>
      </c>
      <c r="B11" s="24"/>
      <c r="C11" s="304"/>
    </row>
    <row r="12" spans="1:8">
      <c r="A12" s="10">
        <v>7</v>
      </c>
      <c r="B12" s="24"/>
      <c r="C12" s="304"/>
      <c r="H12" s="2"/>
    </row>
    <row r="13" spans="1:8">
      <c r="A13" s="10">
        <v>8</v>
      </c>
      <c r="B13" s="24"/>
      <c r="C13" s="304"/>
    </row>
    <row r="14" spans="1:8">
      <c r="A14" s="10">
        <v>9</v>
      </c>
      <c r="B14" s="24"/>
      <c r="C14" s="304"/>
    </row>
    <row r="15" spans="1:8">
      <c r="A15" s="10">
        <v>10</v>
      </c>
      <c r="B15" s="24"/>
      <c r="C15" s="304"/>
    </row>
    <row r="16" spans="1:8">
      <c r="A16" s="10"/>
      <c r="B16" s="773"/>
      <c r="C16" s="774"/>
    </row>
    <row r="17" spans="1:3" ht="55.2">
      <c r="A17" s="10"/>
      <c r="B17" s="294" t="s">
        <v>94</v>
      </c>
      <c r="C17" s="308" t="s">
        <v>452</v>
      </c>
    </row>
    <row r="18" spans="1:3">
      <c r="A18" s="10">
        <v>1</v>
      </c>
      <c r="B18" s="20" t="s">
        <v>964</v>
      </c>
      <c r="C18" s="305" t="s">
        <v>973</v>
      </c>
    </row>
    <row r="19" spans="1:3">
      <c r="A19" s="10">
        <v>2</v>
      </c>
      <c r="B19" s="20" t="s">
        <v>974</v>
      </c>
      <c r="C19" s="305" t="s">
        <v>975</v>
      </c>
    </row>
    <row r="20" spans="1:3">
      <c r="A20" s="10">
        <v>3</v>
      </c>
      <c r="B20" s="20" t="s">
        <v>976</v>
      </c>
      <c r="C20" s="305" t="s">
        <v>977</v>
      </c>
    </row>
    <row r="21" spans="1:3">
      <c r="A21" s="10">
        <v>4</v>
      </c>
      <c r="B21" s="20"/>
      <c r="C21" s="305"/>
    </row>
    <row r="22" spans="1:3">
      <c r="A22" s="10">
        <v>5</v>
      </c>
      <c r="B22" s="20"/>
      <c r="C22" s="305"/>
    </row>
    <row r="23" spans="1:3">
      <c r="A23" s="10">
        <v>6</v>
      </c>
      <c r="B23" s="20"/>
      <c r="C23" s="305"/>
    </row>
    <row r="24" spans="1:3">
      <c r="A24" s="10">
        <v>7</v>
      </c>
      <c r="B24" s="20"/>
      <c r="C24" s="305"/>
    </row>
    <row r="25" spans="1:3">
      <c r="A25" s="10">
        <v>8</v>
      </c>
      <c r="B25" s="20"/>
      <c r="C25" s="305"/>
    </row>
    <row r="26" spans="1:3">
      <c r="A26" s="10">
        <v>9</v>
      </c>
      <c r="B26" s="20"/>
      <c r="C26" s="305"/>
    </row>
    <row r="27" spans="1:3" ht="15.75" customHeight="1">
      <c r="A27" s="10">
        <v>10</v>
      </c>
      <c r="B27" s="20"/>
      <c r="C27" s="306"/>
    </row>
    <row r="28" spans="1:3" ht="15.75" customHeight="1">
      <c r="A28" s="10"/>
      <c r="B28" s="20"/>
      <c r="C28" s="21"/>
    </row>
    <row r="29" spans="1:3" ht="30" customHeight="1">
      <c r="A29" s="10"/>
      <c r="B29" s="775" t="s">
        <v>95</v>
      </c>
      <c r="C29" s="776"/>
    </row>
    <row r="30" spans="1:3">
      <c r="A30" s="10">
        <v>1</v>
      </c>
      <c r="B30" s="640" t="s">
        <v>978</v>
      </c>
      <c r="C30" s="25">
        <v>1</v>
      </c>
    </row>
    <row r="31" spans="1:3" ht="15.75" customHeight="1">
      <c r="A31" s="10"/>
      <c r="B31" s="24"/>
      <c r="C31" s="25"/>
    </row>
    <row r="32" spans="1:3" ht="29.25" customHeight="1">
      <c r="A32" s="10"/>
      <c r="B32" s="775" t="s">
        <v>175</v>
      </c>
      <c r="C32" s="776"/>
    </row>
    <row r="33" spans="1:3">
      <c r="A33" s="641">
        <v>1</v>
      </c>
      <c r="B33" s="640" t="s">
        <v>979</v>
      </c>
      <c r="C33" s="645">
        <v>0.19489999999999999</v>
      </c>
    </row>
    <row r="34" spans="1:3">
      <c r="A34" s="642">
        <v>2</v>
      </c>
      <c r="B34" s="643" t="s">
        <v>980</v>
      </c>
      <c r="C34" s="646">
        <v>0.34910000000000002</v>
      </c>
    </row>
    <row r="35" spans="1:3">
      <c r="A35" s="642">
        <v>3</v>
      </c>
      <c r="B35" s="643" t="s">
        <v>981</v>
      </c>
      <c r="C35" s="646">
        <v>0.34910000000000002</v>
      </c>
    </row>
    <row r="36" spans="1:3" ht="15" thickBot="1">
      <c r="A36" s="644">
        <v>4</v>
      </c>
      <c r="B36" s="26" t="s">
        <v>982</v>
      </c>
      <c r="C36" s="647">
        <v>0.1069</v>
      </c>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8"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6" activePane="bottomRight" state="frozen"/>
      <selection activeCell="C9" sqref="C9"/>
      <selection pane="topRight" activeCell="C9" sqref="C9"/>
      <selection pane="bottomLeft" activeCell="C9" sqref="C9"/>
      <selection pane="bottomRight"/>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2" t="s">
        <v>109</v>
      </c>
      <c r="B1" s="11" t="str">
        <f>Info!C2</f>
        <v>სს " პაშა ბანკი საქართველო"</v>
      </c>
    </row>
    <row r="2" spans="1:5" s="12" customFormat="1" ht="15.75" customHeight="1">
      <c r="A2" s="12" t="s">
        <v>110</v>
      </c>
      <c r="B2" s="322">
        <f>'1. key ratios'!B2</f>
        <v>45016</v>
      </c>
    </row>
    <row r="3" spans="1:5" s="12" customFormat="1" ht="15.75" customHeight="1"/>
    <row r="4" spans="1:5" s="12" customFormat="1" ht="15.75" customHeight="1" thickBot="1">
      <c r="A4" s="154" t="s">
        <v>256</v>
      </c>
      <c r="B4" s="155" t="s">
        <v>169</v>
      </c>
      <c r="C4" s="120"/>
      <c r="D4" s="120"/>
      <c r="E4" s="121" t="s">
        <v>88</v>
      </c>
    </row>
    <row r="5" spans="1:5" s="71" customFormat="1" ht="17.55" customHeight="1">
      <c r="A5" s="222"/>
      <c r="B5" s="223"/>
      <c r="C5" s="119" t="s">
        <v>0</v>
      </c>
      <c r="D5" s="119" t="s">
        <v>1</v>
      </c>
      <c r="E5" s="224" t="s">
        <v>2</v>
      </c>
    </row>
    <row r="6" spans="1:5" ht="14.55" customHeight="1">
      <c r="A6" s="225"/>
      <c r="B6" s="777" t="s">
        <v>145</v>
      </c>
      <c r="C6" s="777" t="s">
        <v>857</v>
      </c>
      <c r="D6" s="778" t="s">
        <v>144</v>
      </c>
      <c r="E6" s="779"/>
    </row>
    <row r="7" spans="1:5" ht="99.6" customHeight="1">
      <c r="A7" s="225"/>
      <c r="B7" s="777"/>
      <c r="C7" s="777"/>
      <c r="D7" s="220" t="s">
        <v>143</v>
      </c>
      <c r="E7" s="221" t="s">
        <v>354</v>
      </c>
    </row>
    <row r="8" spans="1:5" ht="22.5" customHeight="1">
      <c r="A8" s="400">
        <v>1</v>
      </c>
      <c r="B8" s="374" t="s">
        <v>844</v>
      </c>
      <c r="C8" s="401">
        <f>SUM(C9:C11)</f>
        <v>124700626.4699</v>
      </c>
      <c r="D8" s="401">
        <f t="shared" ref="D8:E8" si="0">SUM(D9:D11)</f>
        <v>0</v>
      </c>
      <c r="E8" s="401">
        <f t="shared" si="0"/>
        <v>124700626.4699</v>
      </c>
    </row>
    <row r="9" spans="1:5">
      <c r="A9" s="400">
        <v>1.1000000000000001</v>
      </c>
      <c r="B9" s="375" t="s">
        <v>97</v>
      </c>
      <c r="C9" s="401">
        <v>5275000.3311999999</v>
      </c>
      <c r="D9" s="401"/>
      <c r="E9" s="401">
        <v>5275000.3311999999</v>
      </c>
    </row>
    <row r="10" spans="1:5">
      <c r="A10" s="400">
        <v>1.2</v>
      </c>
      <c r="B10" s="375" t="s">
        <v>98</v>
      </c>
      <c r="C10" s="401">
        <v>45934147.27920001</v>
      </c>
      <c r="D10" s="401"/>
      <c r="E10" s="401">
        <v>45934147.27920001</v>
      </c>
    </row>
    <row r="11" spans="1:5">
      <c r="A11" s="400">
        <v>1.3</v>
      </c>
      <c r="B11" s="375" t="s">
        <v>99</v>
      </c>
      <c r="C11" s="401">
        <v>73491478.859499991</v>
      </c>
      <c r="D11" s="401"/>
      <c r="E11" s="401">
        <v>73491478.859499991</v>
      </c>
    </row>
    <row r="12" spans="1:5">
      <c r="A12" s="400">
        <v>2</v>
      </c>
      <c r="B12" s="376" t="s">
        <v>731</v>
      </c>
      <c r="C12" s="401">
        <v>1526125.55</v>
      </c>
      <c r="D12" s="401">
        <v>0</v>
      </c>
      <c r="E12" s="401">
        <v>1526125.55</v>
      </c>
    </row>
    <row r="13" spans="1:5">
      <c r="A13" s="400">
        <v>2.1</v>
      </c>
      <c r="B13" s="377" t="s">
        <v>732</v>
      </c>
      <c r="C13" s="401">
        <v>1526125.55</v>
      </c>
      <c r="D13" s="401"/>
      <c r="E13" s="401">
        <v>1526125.55</v>
      </c>
    </row>
    <row r="14" spans="1:5" ht="34.049999999999997" customHeight="1">
      <c r="A14" s="400">
        <v>3</v>
      </c>
      <c r="B14" s="378" t="s">
        <v>733</v>
      </c>
      <c r="C14" s="401"/>
      <c r="D14" s="401"/>
      <c r="E14" s="401"/>
    </row>
    <row r="15" spans="1:5" ht="32.549999999999997" customHeight="1">
      <c r="A15" s="400">
        <v>4</v>
      </c>
      <c r="B15" s="379" t="s">
        <v>734</v>
      </c>
      <c r="C15" s="401"/>
      <c r="D15" s="401"/>
      <c r="E15" s="401"/>
    </row>
    <row r="16" spans="1:5" ht="22.95" customHeight="1">
      <c r="A16" s="400">
        <v>5</v>
      </c>
      <c r="B16" s="379" t="s">
        <v>735</v>
      </c>
      <c r="C16" s="401">
        <v>0</v>
      </c>
      <c r="D16" s="401">
        <v>0</v>
      </c>
      <c r="E16" s="401">
        <v>0</v>
      </c>
    </row>
    <row r="17" spans="1:5">
      <c r="A17" s="400">
        <v>5.0999999999999996</v>
      </c>
      <c r="B17" s="380" t="s">
        <v>736</v>
      </c>
      <c r="C17" s="401"/>
      <c r="D17" s="401"/>
      <c r="E17" s="401"/>
    </row>
    <row r="18" spans="1:5">
      <c r="A18" s="400">
        <v>5.2</v>
      </c>
      <c r="B18" s="380" t="s">
        <v>570</v>
      </c>
      <c r="C18" s="401"/>
      <c r="D18" s="401"/>
      <c r="E18" s="401"/>
    </row>
    <row r="19" spans="1:5">
      <c r="A19" s="400">
        <v>5.3</v>
      </c>
      <c r="B19" s="380" t="s">
        <v>737</v>
      </c>
      <c r="C19" s="401"/>
      <c r="D19" s="401"/>
      <c r="E19" s="401"/>
    </row>
    <row r="20" spans="1:5" ht="20.399999999999999">
      <c r="A20" s="400">
        <v>6</v>
      </c>
      <c r="B20" s="378" t="s">
        <v>738</v>
      </c>
      <c r="C20" s="401">
        <v>379274891.05729997</v>
      </c>
      <c r="D20" s="401">
        <v>0</v>
      </c>
      <c r="E20" s="401">
        <v>379274891.05729997</v>
      </c>
    </row>
    <row r="21" spans="1:5">
      <c r="A21" s="400">
        <v>6.1</v>
      </c>
      <c r="B21" s="380" t="s">
        <v>570</v>
      </c>
      <c r="C21" s="402">
        <v>58182108.428600006</v>
      </c>
      <c r="D21" s="402"/>
      <c r="E21" s="402">
        <v>58182108.428600006</v>
      </c>
    </row>
    <row r="22" spans="1:5">
      <c r="A22" s="400">
        <v>6.2</v>
      </c>
      <c r="B22" s="380" t="s">
        <v>737</v>
      </c>
      <c r="C22" s="402">
        <v>321092782.62869996</v>
      </c>
      <c r="D22" s="402"/>
      <c r="E22" s="402">
        <v>321092782.62869996</v>
      </c>
    </row>
    <row r="23" spans="1:5" ht="20.399999999999999">
      <c r="A23" s="400">
        <v>7</v>
      </c>
      <c r="B23" s="381" t="s">
        <v>739</v>
      </c>
      <c r="C23" s="403"/>
      <c r="D23" s="403"/>
      <c r="E23" s="403"/>
    </row>
    <row r="24" spans="1:5" ht="20.399999999999999">
      <c r="A24" s="400">
        <v>8</v>
      </c>
      <c r="B24" s="382" t="s">
        <v>740</v>
      </c>
      <c r="C24" s="403">
        <v>3516866.86</v>
      </c>
      <c r="D24" s="403"/>
      <c r="E24" s="403">
        <v>3516866.86</v>
      </c>
    </row>
    <row r="25" spans="1:5">
      <c r="A25" s="400">
        <v>9</v>
      </c>
      <c r="B25" s="379" t="s">
        <v>741</v>
      </c>
      <c r="C25" s="403">
        <v>5531986.7199999997</v>
      </c>
      <c r="D25" s="403">
        <v>0</v>
      </c>
      <c r="E25" s="403">
        <v>5531986.7199999997</v>
      </c>
    </row>
    <row r="26" spans="1:5">
      <c r="A26" s="400">
        <v>9.1</v>
      </c>
      <c r="B26" s="383" t="s">
        <v>742</v>
      </c>
      <c r="C26" s="403">
        <v>5531986.7199999997</v>
      </c>
      <c r="D26" s="403"/>
      <c r="E26" s="403">
        <v>5531986.7199999997</v>
      </c>
    </row>
    <row r="27" spans="1:5">
      <c r="A27" s="400">
        <v>9.1999999999999993</v>
      </c>
      <c r="B27" s="383" t="s">
        <v>743</v>
      </c>
      <c r="C27" s="403"/>
      <c r="D27" s="403"/>
      <c r="E27" s="403"/>
    </row>
    <row r="28" spans="1:5">
      <c r="A28" s="400">
        <v>10</v>
      </c>
      <c r="B28" s="379" t="s">
        <v>37</v>
      </c>
      <c r="C28" s="403">
        <v>5428708.8499999996</v>
      </c>
      <c r="D28" s="403">
        <v>5428708.8499999996</v>
      </c>
      <c r="E28" s="403">
        <v>0</v>
      </c>
    </row>
    <row r="29" spans="1:5">
      <c r="A29" s="400">
        <v>10.1</v>
      </c>
      <c r="B29" s="383" t="s">
        <v>744</v>
      </c>
      <c r="C29" s="403"/>
      <c r="D29" s="403"/>
      <c r="E29" s="403"/>
    </row>
    <row r="30" spans="1:5">
      <c r="A30" s="400">
        <v>10.199999999999999</v>
      </c>
      <c r="B30" s="383" t="s">
        <v>745</v>
      </c>
      <c r="C30" s="403">
        <v>5428708.8499999996</v>
      </c>
      <c r="D30" s="403">
        <v>5428708.8499999996</v>
      </c>
      <c r="E30" s="403">
        <v>0</v>
      </c>
    </row>
    <row r="31" spans="1:5">
      <c r="A31" s="400">
        <v>11</v>
      </c>
      <c r="B31" s="379" t="s">
        <v>746</v>
      </c>
      <c r="C31" s="403">
        <v>0</v>
      </c>
      <c r="D31" s="403">
        <v>0</v>
      </c>
      <c r="E31" s="403">
        <v>0</v>
      </c>
    </row>
    <row r="32" spans="1:5">
      <c r="A32" s="400">
        <v>11.1</v>
      </c>
      <c r="B32" s="383" t="s">
        <v>747</v>
      </c>
      <c r="C32" s="403"/>
      <c r="D32" s="403"/>
      <c r="E32" s="403"/>
    </row>
    <row r="33" spans="1:7">
      <c r="A33" s="400">
        <v>11.2</v>
      </c>
      <c r="B33" s="383" t="s">
        <v>748</v>
      </c>
      <c r="C33" s="403"/>
      <c r="D33" s="403"/>
      <c r="E33" s="403"/>
    </row>
    <row r="34" spans="1:7">
      <c r="A34" s="400">
        <v>13</v>
      </c>
      <c r="B34" s="379" t="s">
        <v>100</v>
      </c>
      <c r="C34" s="402">
        <v>2571452.5947000002</v>
      </c>
      <c r="D34" s="402"/>
      <c r="E34" s="402">
        <v>2571452.5947000002</v>
      </c>
    </row>
    <row r="35" spans="1:7">
      <c r="A35" s="400">
        <v>13.1</v>
      </c>
      <c r="B35" s="384" t="s">
        <v>749</v>
      </c>
      <c r="C35" s="402"/>
      <c r="D35" s="402"/>
      <c r="E35" s="402"/>
    </row>
    <row r="36" spans="1:7">
      <c r="A36" s="400">
        <v>13.2</v>
      </c>
      <c r="B36" s="384" t="s">
        <v>750</v>
      </c>
      <c r="C36" s="402"/>
      <c r="D36" s="402"/>
      <c r="E36" s="402"/>
    </row>
    <row r="37" spans="1:7" ht="42" thickBot="1">
      <c r="A37" s="226"/>
      <c r="B37" s="227" t="s">
        <v>321</v>
      </c>
      <c r="C37" s="197">
        <f>SUM(C8,C12,C14,C15,C16,C20,C23,C24,C25,C28,C31,C34)</f>
        <v>522550658.10189998</v>
      </c>
      <c r="D37" s="197">
        <f t="shared" ref="D37:E37" si="1">SUM(D8,D12,D14,D15,D16,D20,D23,D24,D25,D28,D31,D34)</f>
        <v>5428708.8499999996</v>
      </c>
      <c r="E37" s="197">
        <f t="shared" si="1"/>
        <v>517121949.25189996</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scale="67"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C9" sqref="C9"/>
      <selection pane="topRight" activeCell="C9" sqref="C9"/>
      <selection pane="bottomLeft" activeCell="C9" sqref="C9"/>
      <selection pane="bottomRight"/>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2" t="s">
        <v>109</v>
      </c>
      <c r="B1" s="11" t="str">
        <f>Info!C2</f>
        <v>სს " პაშა ბანკი საქართველო"</v>
      </c>
    </row>
    <row r="2" spans="1:6" s="12" customFormat="1" ht="15.75" customHeight="1">
      <c r="A2" s="12" t="s">
        <v>110</v>
      </c>
      <c r="B2" s="322">
        <f>'1. key ratios'!B2</f>
        <v>45016</v>
      </c>
      <c r="C2"/>
      <c r="D2"/>
      <c r="E2"/>
      <c r="F2"/>
    </row>
    <row r="3" spans="1:6" s="12" customFormat="1" ht="15.75" customHeight="1">
      <c r="C3"/>
      <c r="D3"/>
      <c r="E3"/>
      <c r="F3"/>
    </row>
    <row r="4" spans="1:6" s="12" customFormat="1" ht="28.2" thickBot="1">
      <c r="A4" s="12" t="s">
        <v>257</v>
      </c>
      <c r="B4" s="127" t="s">
        <v>172</v>
      </c>
      <c r="C4" s="121" t="s">
        <v>88</v>
      </c>
      <c r="D4"/>
      <c r="E4"/>
      <c r="F4"/>
    </row>
    <row r="5" spans="1:6">
      <c r="A5" s="122">
        <v>1</v>
      </c>
      <c r="B5" s="123" t="s">
        <v>728</v>
      </c>
      <c r="C5" s="161">
        <f>'7. LI1'!E37</f>
        <v>517121949.25189996</v>
      </c>
    </row>
    <row r="6" spans="1:6">
      <c r="A6" s="70">
        <v>2.1</v>
      </c>
      <c r="B6" s="129" t="s">
        <v>862</v>
      </c>
      <c r="C6" s="162">
        <v>117340572.99360001</v>
      </c>
    </row>
    <row r="7" spans="1:6" s="2" customFormat="1" ht="27.6" outlineLevel="1">
      <c r="A7" s="128">
        <v>2.2000000000000002</v>
      </c>
      <c r="B7" s="124" t="s">
        <v>863</v>
      </c>
      <c r="C7" s="163">
        <v>150867409.8222</v>
      </c>
    </row>
    <row r="8" spans="1:6" s="2" customFormat="1" ht="27.6">
      <c r="A8" s="128">
        <v>3</v>
      </c>
      <c r="B8" s="125" t="s">
        <v>729</v>
      </c>
      <c r="C8" s="164">
        <f>SUM(C5:C7)</f>
        <v>785329932.06769991</v>
      </c>
    </row>
    <row r="9" spans="1:6">
      <c r="A9" s="70">
        <v>4</v>
      </c>
      <c r="B9" s="132" t="s">
        <v>170</v>
      </c>
      <c r="C9" s="162"/>
    </row>
    <row r="10" spans="1:6" s="2" customFormat="1" ht="27.6" outlineLevel="1">
      <c r="A10" s="128">
        <v>5.0999999999999996</v>
      </c>
      <c r="B10" s="124" t="s">
        <v>176</v>
      </c>
      <c r="C10" s="163">
        <v>-83444924.161440015</v>
      </c>
    </row>
    <row r="11" spans="1:6" s="2" customFormat="1" ht="27.6" outlineLevel="1">
      <c r="A11" s="128">
        <v>5.2</v>
      </c>
      <c r="B11" s="124" t="s">
        <v>177</v>
      </c>
      <c r="C11" s="163">
        <v>-147850061.625756</v>
      </c>
    </row>
    <row r="12" spans="1:6" s="2" customFormat="1">
      <c r="A12" s="128">
        <v>6</v>
      </c>
      <c r="B12" s="130" t="s">
        <v>439</v>
      </c>
      <c r="C12" s="163"/>
    </row>
    <row r="13" spans="1:6" s="2" customFormat="1" ht="15" thickBot="1">
      <c r="A13" s="131">
        <v>7</v>
      </c>
      <c r="B13" s="126" t="s">
        <v>171</v>
      </c>
      <c r="C13" s="165">
        <f>SUM(C8:C12)</f>
        <v>554034946.28050387</v>
      </c>
    </row>
    <row r="15" spans="1:6" ht="27.6">
      <c r="B15" s="16" t="s">
        <v>440</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scale="61" orientation="portrait" horizontalDpi="4294967295" verticalDpi="4294967295" r:id="rId1"/>
  <headerFooter>
    <oddFooter>&amp;C_x000D_&amp;1#&amp;"Calibri"&amp;10&amp;K000000 C1 - FOR INTERNAL USE ONLY</odd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hka0AWQWpnbvixKEF7eGEgfSnj5hixu3dZM38Kqxrbo=</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clj70AGqMoxHosKhRHwLWQhDEgzNAZP74Iv9/PPPT1s=</DigestValue>
    </Reference>
  </SignedInfo>
  <SignatureValue>d2IQF+hVlbMgBqjmq7deLAE9G48AbzMZknEKYW48nbbgMd3jjE9ECuwHEFcAbIYpE4liYeb+RlmA
SDylF3cTOPc9K3YZT4vP4abbKjRY9Kk/fLsA5j85Eda+kuYAutsI630iPSiPrAVt7j7ejKnjxWGm
vcRP3o3YEJLDAMtSK3v+vSNRSz9JAaujN2NyiDeBh3D3mjtZR9mIo5za2TUMM8AOG0CtrRcy7stQ
ruYAllM6eC+unuIlJJav5jHVbDMxlGm8j+8iq2wxFLDU25wDJERhMD1kJaU4wNQnazpDQ286UPOx
14mAV1NebBh1iT579gxwQsr/yAzQabJxZxrb3A==</SignatureValue>
  <KeyInfo>
    <X509Data>
      <X509Certificate>MIIGRDCCBSygAwIBAgIKOR1q0AADAAIU9jANBgkqhkiG9w0BAQsFADBKMRIwEAYKCZImiZPyLGQBGRYCZ2UxEzARBgoJkiaJk/IsZAEZFgNuYmcxHzAdBgNVBAMTFk5CRyBDbGFzcyAyIElOVCBTdWIgQ0EwHhcNMjIwNTEwMTIyOTE5WhcNMjQwNTA5MTIyOTE5WjBCMR8wHQYDVQQKExZKU0MgUGFzaGEgQmFuayBHZW9yZ2lhMR8wHQYDVQQDExZCUEIgLSBMZWxhIEdvZ2lhc2h2aWxpMIIBIjANBgkqhkiG9w0BAQEFAAOCAQ8AMIIBCgKCAQEA0ddczz12HceaHg0KDFduu5pEaRvWaOgOCwdGO5L+fFzmRdp03FY11crIhXvvHRrwCKf+EKhhZ2QfTJbMxchRBgPCvfLh+RGnAYDqaUhRpALjhMX3+rIumvgyHsoUQ2U1YOjlCJQGAQmT4ssymvfuoslcicRNJ7kbibSeksmAN3u/Gr4FSteZBK1zm3JBF5h83oYC2S+EPEEp+nbhR6A2TljdP85Jnyr2fd4vqLuvbS4e9t/O/j4R7mfvRhzYj3/mMKExEMsTHU+hD+d0CMFm/OtSCUtSMxAPavOjzMRaINLSj5oYKsVGqW92AkL0P4AAcF+CiFbTgYtkZSW0qcfQxQIDAQABo4IDMjCCAy4wPAYJKwYBBAGCNxUHBC8wLQYlKwYBBAGCNxUI5rJgg431RIaBmQmDuKFKg76EcQSDxJEzhIOIXQIBZAIBIzAdBgNVHSUEFjAUBggrBgEFBQcDAgYIKwYBBQUHAwQwCwYDVR0PBAQDAgeAMCcGCSsGAQQBgjcVCgQaMBgwCgYIKwYBBQUHAwIwCgYIKwYBBQUHAwQwHQYDVR0OBBYEFFVBokIxsg8lEBxj8lzlz05tnfPr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T+74PsHBj8lcaDmAovHaedEeJ/Kg0VtdFGeCVBq7R055LaYs7hlZveO8CAQvCFCmWwyYzYSppmIfKB5pXmOUs0i5hMgqiKwEHJbzyJlVQw71gz2rwcc6KR9j/FqQ+gsB7HAbdX+05Rgywq2Jx72DaZcKCcJ9FRd8XYt9xSwhSvScGp8tKVza/Yq+hhfw0AAaUClX1qcnrf0WdKZmEXYQoDBahO+ewsuN4aIuPRCXedsT4APKKnEhtt85yLXiapLTpMHKpyrJXjwtKPkyAnr1+51VyX3cEqBgYzmk4mGD9Lp6K85h0mW8oGIb8UJxj7lnetQSBjQd3VskIMCm1iIE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ol4dz5pd6OW1gN/uaallwuhhWdZfKk0XrngvzeP9v8g=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xOveWHm41S1Um5h7OC8or36MOOgIGvJePpzLMokXKHE=</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pMCU2E7RDyO8vjX/EAkwMHxTiXxyALZQFhJjLJtjfDA=</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cNoV18itwWmvRgiUOh0UEFiI6WA6615z+Dp5UOoEKM4=</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30.bin?ContentType=application/vnd.openxmlformats-officedocument.spreadsheetml.printerSettings">
        <DigestMethod Algorithm="http://www.w3.org/2001/04/xmlenc#sha256"/>
        <DigestValue>/lSAzGRrYBj68FmBe1gBKOAVb2D7iCtwOEt8vlDCjTA=</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cM2l1Hv0vf0w51IyFa10jijwjT00vtYJkMS355K20Uc=</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6Anf2mwVY1cWReh1Z8/A3iiy2bCGK1Eu5/wFiyKCKrY=</DigestValue>
      </Reference>
      <Reference URI="/xl/styles.xml?ContentType=application/vnd.openxmlformats-officedocument.spreadsheetml.styles+xml">
        <DigestMethod Algorithm="http://www.w3.org/2001/04/xmlenc#sha256"/>
        <DigestValue>yiHBdBMkNfPyC7a+CL29Sq7UCp72G9wQfX9EOLDQwQY=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21j7h1POY2xWND+Kai1Q8WzX/rwO7oqwWZ/UYfC0Wm0=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iFVasFUafRQmLHKBqN7lx+6iYwhOKxQhwKpME+RwTv8=</DigestValue>
      </Reference>
      <Reference URI="/xl/worksheets/sheet10.xml?ContentType=application/vnd.openxmlformats-officedocument.spreadsheetml.worksheet+xml">
        <DigestMethod Algorithm="http://www.w3.org/2001/04/xmlenc#sha256"/>
        <DigestValue>+KNSn43Ntx9YkFrgC+4L3FfLjeH4sYKX8iLitDR6T+8=</DigestValue>
      </Reference>
      <Reference URI="/xl/worksheets/sheet11.xml?ContentType=application/vnd.openxmlformats-officedocument.spreadsheetml.worksheet+xml">
        <DigestMethod Algorithm="http://www.w3.org/2001/04/xmlenc#sha256"/>
        <DigestValue>LEMc1nF79kZOC0SUZvcjf/DJ4ZaDFxVOR+GSA/T0BbY=</DigestValue>
      </Reference>
      <Reference URI="/xl/worksheets/sheet12.xml?ContentType=application/vnd.openxmlformats-officedocument.spreadsheetml.worksheet+xml">
        <DigestMethod Algorithm="http://www.w3.org/2001/04/xmlenc#sha256"/>
        <DigestValue>epB416S3NC3Gy6/4qHofOUMEAfxETRcN8bhenuTjSPM=</DigestValue>
      </Reference>
      <Reference URI="/xl/worksheets/sheet13.xml?ContentType=application/vnd.openxmlformats-officedocument.spreadsheetml.worksheet+xml">
        <DigestMethod Algorithm="http://www.w3.org/2001/04/xmlenc#sha256"/>
        <DigestValue>+ZJmzj+3/FWJNlFNUmpzwn+SmC9vlVj2NVszVtH1cM8=</DigestValue>
      </Reference>
      <Reference URI="/xl/worksheets/sheet14.xml?ContentType=application/vnd.openxmlformats-officedocument.spreadsheetml.worksheet+xml">
        <DigestMethod Algorithm="http://www.w3.org/2001/04/xmlenc#sha256"/>
        <DigestValue>MMDAL4Ziv8p5d3AQgBxGAZgLcbhttvksgXLROO2aWfU=</DigestValue>
      </Reference>
      <Reference URI="/xl/worksheets/sheet15.xml?ContentType=application/vnd.openxmlformats-officedocument.spreadsheetml.worksheet+xml">
        <DigestMethod Algorithm="http://www.w3.org/2001/04/xmlenc#sha256"/>
        <DigestValue>MCsOzXWYA/c9JNU+SSx1Hmbfp+IWXoei7yExLRqr/GA=</DigestValue>
      </Reference>
      <Reference URI="/xl/worksheets/sheet16.xml?ContentType=application/vnd.openxmlformats-officedocument.spreadsheetml.worksheet+xml">
        <DigestMethod Algorithm="http://www.w3.org/2001/04/xmlenc#sha256"/>
        <DigestValue>XsJeJrIpWu1PYyoJpMW4EQfMQDlHWusd5A+CbR1EjEs=</DigestValue>
      </Reference>
      <Reference URI="/xl/worksheets/sheet17.xml?ContentType=application/vnd.openxmlformats-officedocument.spreadsheetml.worksheet+xml">
        <DigestMethod Algorithm="http://www.w3.org/2001/04/xmlenc#sha256"/>
        <DigestValue>lCHRy9t8kv9bKAxh5/3qQGDRYu68Ypyk3xcd33edCe8=</DigestValue>
      </Reference>
      <Reference URI="/xl/worksheets/sheet18.xml?ContentType=application/vnd.openxmlformats-officedocument.spreadsheetml.worksheet+xml">
        <DigestMethod Algorithm="http://www.w3.org/2001/04/xmlenc#sha256"/>
        <DigestValue>lVlG5+vxCUxiIZZMSEJXF2FGmK+TyLZrl4a+u2j/FeU=</DigestValue>
      </Reference>
      <Reference URI="/xl/worksheets/sheet19.xml?ContentType=application/vnd.openxmlformats-officedocument.spreadsheetml.worksheet+xml">
        <DigestMethod Algorithm="http://www.w3.org/2001/04/xmlenc#sha256"/>
        <DigestValue>gmFzH8BEjpweLqXV/AeeIlTTt12IE2YybY3bvnhDym0=</DigestValue>
      </Reference>
      <Reference URI="/xl/worksheets/sheet2.xml?ContentType=application/vnd.openxmlformats-officedocument.spreadsheetml.worksheet+xml">
        <DigestMethod Algorithm="http://www.w3.org/2001/04/xmlenc#sha256"/>
        <DigestValue>hDi2qsyp4V0CDB28Iz+dujsksRo4fAbnRzQScSsE/q0=</DigestValue>
      </Reference>
      <Reference URI="/xl/worksheets/sheet20.xml?ContentType=application/vnd.openxmlformats-officedocument.spreadsheetml.worksheet+xml">
        <DigestMethod Algorithm="http://www.w3.org/2001/04/xmlenc#sha256"/>
        <DigestValue>cRzUhtSUebBosvHvI8cb8WKgMW9o3LevaNb0820MEms=</DigestValue>
      </Reference>
      <Reference URI="/xl/worksheets/sheet21.xml?ContentType=application/vnd.openxmlformats-officedocument.spreadsheetml.worksheet+xml">
        <DigestMethod Algorithm="http://www.w3.org/2001/04/xmlenc#sha256"/>
        <DigestValue>ouXGxaO5IY55NpRTP4FdgvB4ShhxO+cKYYV+lv+GIQ4=</DigestValue>
      </Reference>
      <Reference URI="/xl/worksheets/sheet22.xml?ContentType=application/vnd.openxmlformats-officedocument.spreadsheetml.worksheet+xml">
        <DigestMethod Algorithm="http://www.w3.org/2001/04/xmlenc#sha256"/>
        <DigestValue>wtC4vzKjyMwmYwEnJfqaY9zKWpjnZAB7qQLDVvgG264=</DigestValue>
      </Reference>
      <Reference URI="/xl/worksheets/sheet23.xml?ContentType=application/vnd.openxmlformats-officedocument.spreadsheetml.worksheet+xml">
        <DigestMethod Algorithm="http://www.w3.org/2001/04/xmlenc#sha256"/>
        <DigestValue>AR9h6WhGEjeoMLI+ZTyJVtgE7wJqAjwV4w7dSZWFvFk=</DigestValue>
      </Reference>
      <Reference URI="/xl/worksheets/sheet24.xml?ContentType=application/vnd.openxmlformats-officedocument.spreadsheetml.worksheet+xml">
        <DigestMethod Algorithm="http://www.w3.org/2001/04/xmlenc#sha256"/>
        <DigestValue>b4XknyIP2NCrn8+/9nwoZihmHcfE809jZP80GNsFb48=</DigestValue>
      </Reference>
      <Reference URI="/xl/worksheets/sheet25.xml?ContentType=application/vnd.openxmlformats-officedocument.spreadsheetml.worksheet+xml">
        <DigestMethod Algorithm="http://www.w3.org/2001/04/xmlenc#sha256"/>
        <DigestValue>4z6+cHWXNAjr7I2R4Wtdndvopx+uXbt3k+bbxT2P7JM=</DigestValue>
      </Reference>
      <Reference URI="/xl/worksheets/sheet26.xml?ContentType=application/vnd.openxmlformats-officedocument.spreadsheetml.worksheet+xml">
        <DigestMethod Algorithm="http://www.w3.org/2001/04/xmlenc#sha256"/>
        <DigestValue>3tlEk694nTzK08PI8jovmNXBA4A9G/0BycrotJaZUYA=</DigestValue>
      </Reference>
      <Reference URI="/xl/worksheets/sheet27.xml?ContentType=application/vnd.openxmlformats-officedocument.spreadsheetml.worksheet+xml">
        <DigestMethod Algorithm="http://www.w3.org/2001/04/xmlenc#sha256"/>
        <DigestValue>icKcdsdejO1AO/f1kjJK4/WOOrejq51Q624R7V0mFHg=</DigestValue>
      </Reference>
      <Reference URI="/xl/worksheets/sheet28.xml?ContentType=application/vnd.openxmlformats-officedocument.spreadsheetml.worksheet+xml">
        <DigestMethod Algorithm="http://www.w3.org/2001/04/xmlenc#sha256"/>
        <DigestValue>uAcO9C+r7Fbs9pK+nUuaPnsEAKgnecZOosMctxtSK9U=</DigestValue>
      </Reference>
      <Reference URI="/xl/worksheets/sheet29.xml?ContentType=application/vnd.openxmlformats-officedocument.spreadsheetml.worksheet+xml">
        <DigestMethod Algorithm="http://www.w3.org/2001/04/xmlenc#sha256"/>
        <DigestValue>9/Aec2tjXVpT19JupMnwSM282SmViHs4C6DeAOJxP6w=</DigestValue>
      </Reference>
      <Reference URI="/xl/worksheets/sheet3.xml?ContentType=application/vnd.openxmlformats-officedocument.spreadsheetml.worksheet+xml">
        <DigestMethod Algorithm="http://www.w3.org/2001/04/xmlenc#sha256"/>
        <DigestValue>87b0+PGeNlPLOfksVzVLs55x9ZXqgEvObsRRep4gJOg=</DigestValue>
      </Reference>
      <Reference URI="/xl/worksheets/sheet30.xml?ContentType=application/vnd.openxmlformats-officedocument.spreadsheetml.worksheet+xml">
        <DigestMethod Algorithm="http://www.w3.org/2001/04/xmlenc#sha256"/>
        <DigestValue>FMcYwYKQ/Qdi1Oid63kR6onoklJDH0UZMXgDdsgOSTA=</DigestValue>
      </Reference>
      <Reference URI="/xl/worksheets/sheet4.xml?ContentType=application/vnd.openxmlformats-officedocument.spreadsheetml.worksheet+xml">
        <DigestMethod Algorithm="http://www.w3.org/2001/04/xmlenc#sha256"/>
        <DigestValue>grGL6i7N7sxiljYKuiMj+kR3/hjuJLTiWkoiAfci1oI=</DigestValue>
      </Reference>
      <Reference URI="/xl/worksheets/sheet5.xml?ContentType=application/vnd.openxmlformats-officedocument.spreadsheetml.worksheet+xml">
        <DigestMethod Algorithm="http://www.w3.org/2001/04/xmlenc#sha256"/>
        <DigestValue>fdT3Z/mPHIEwta43wv0S10yIKDqW9Ya8+ldtLDcZDkc=</DigestValue>
      </Reference>
      <Reference URI="/xl/worksheets/sheet6.xml?ContentType=application/vnd.openxmlformats-officedocument.spreadsheetml.worksheet+xml">
        <DigestMethod Algorithm="http://www.w3.org/2001/04/xmlenc#sha256"/>
        <DigestValue>asn7BkKl8Kr/KmlynTFErlTtgj5osJZbqHiuUoSHiHw=</DigestValue>
      </Reference>
      <Reference URI="/xl/worksheets/sheet7.xml?ContentType=application/vnd.openxmlformats-officedocument.spreadsheetml.worksheet+xml">
        <DigestMethod Algorithm="http://www.w3.org/2001/04/xmlenc#sha256"/>
        <DigestValue>yGqdkxGNwRaF2PH82WZQCJH1WVTb3SYO6suRsXNQOQc=</DigestValue>
      </Reference>
      <Reference URI="/xl/worksheets/sheet8.xml?ContentType=application/vnd.openxmlformats-officedocument.spreadsheetml.worksheet+xml">
        <DigestMethod Algorithm="http://www.w3.org/2001/04/xmlenc#sha256"/>
        <DigestValue>CbchSAbXorq+ulNQqZygvWdA3O6M3lfwG9ZLslGTHYs=</DigestValue>
      </Reference>
      <Reference URI="/xl/worksheets/sheet9.xml?ContentType=application/vnd.openxmlformats-officedocument.spreadsheetml.worksheet+xml">
        <DigestMethod Algorithm="http://www.w3.org/2001/04/xmlenc#sha256"/>
        <DigestValue>NsS7FmEbOFq828EQfZl3wT20l1sbqoJ7yCEM4dWueA8=</DigestValue>
      </Reference>
    </Manifest>
    <SignatureProperties>
      <SignatureProperty Id="idSignatureTime" Target="#idPackageSignature">
        <mdssi:SignatureTime xmlns:mdssi="http://schemas.openxmlformats.org/package/2006/digital-signature">
          <mdssi:Format>YYYY-MM-DDThh:mm:ssTZD</mdssi:Format>
          <mdssi:Value>2024-02-07T07:33:59Z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2024-02-07T07:33:59Z</xd:SigningTime>
          <xd:SigningCertificate>
            <xd:Cert>
              <xd:CertDigest>
                <DigestMethod Algorithm="http://www.w3.org/2001/04/xmlenc#sha256"/>
                <DigestValue>6V1++79Qr/cLBXm7sWgQTCsAgEkJU8Qi3Wf6ZrbZ0bo=</DigestValue>
              </xd:CertDigest>
              <xd:IssuerSerial>
                <X509IssuerName>CN=NBG Class 2 INT Sub CA, DC=nbg, DC=ge</X509IssuerName>
                <X509SerialNumber>269717541753483415393526</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mPOHorjdSyD6hSuCOzHI9JiatzilWhbtTu5vhox4ueo=</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xD5xfAw60uCjsh9cHu/ibs8vkBFqJ5hgwVyrR80R1so=</DigestValue>
    </Reference>
  </SignedInfo>
  <SignatureValue>RnhG2dqXHik/AdSgRgQF85QVlsC4r1U3FHPzWjmyWgSokb54mCh80s0jr+XzCpV9mRUPPunU49/E
NVWs9kJ0EoOFNFDtJV6jrlsHNqaiTPCzOQJ1MXMbzaCySr4tyBLk7So8A61pA78/r2CHNyE7od5h
K5hAwlGOhBNN7690btyJ1SWmF1XRWABWuaqZulSTguGgqa/++FZ7DAXMz22sKJtDuRBsn1ffZM65
hVJs35QmYe4jV0kSqGX1QSWRsQsXRnEkVnib/q34/HpnQ0qwZrLlv0O05OwSEXNl0TmzFmg6tfWl
JeLD8QaNsNTZwos1q6z1feMqViHbHh80aDVS8Q==</SignatureValue>
  <KeyInfo>
    <X509Data>
      <X509Certificate>MIIGRTCCBS2gAwIBAgIKUWli5wADAAI9xDANBgkqhkiG9w0BAQsFADBKMRIwEAYKCZImiZPyLGQBGRYCZ2UxEzARBgoJkiaJk/IsZAEZFgNuYmcxHzAdBgNVBAMTFk5CRyBDbGFzcyAyIElOVCBTdWIgQ0EwHhcNMjMwOTA2MDc1NDA1WhcNMjUwOTA1MDc1NDA1WjBDMR8wHQYDVQQKExZKU0MgUGFzaGEgQmFuayBHZW9yZ2lhMSAwHgYDVQQDExdCUEIgLSBNaWtoZWlsIElha29iaWR6ZTCCASIwDQYJKoZIhvcNAQEBBQADggEPADCCAQoCggEBAOU0Q5NPqBtLFffHvZdNOZYas36rdPChTULZI6+DQD1P1ASlbXajyAS8+Y+Ur8Rszbh5cLCdfD6R3bu983Gf42eqeDmf/lnRxyvbDpfTX9f90wGcblDcNjRXece9JOAG1ri1RPsSUk/UmUqDKUMbtPC3e96yRFrMD1UjWmUsu3u7ysTZp+X/sr2JW0m+TiqHS4CSncyjSFwDIW8OjdVgdxftl6KR3sCyQVnZ6S+kBcN1eAUtJOR8yLneFGRHyOBsN801k5Hb8O8jWV9W9KM7aDE+DvTAJwSrlUbOfdmavMPwovf/2A9ZQfTg1IiBtAPjdBD17owHyGFifABpRarmbecCAwEAAaOCAzIwggMuMDwGCSsGAQQBgjcVBwQvMC0GJSsGAQQBgjcVCOayYION9USGgZkJg7ihSoO+hHEEg8SRM4SDiF0CAWQCASMwHQYDVR0lBBYwFAYIKwYBBQUHAwIGCCsGAQUFBwMEMAsGA1UdDwQEAwIHgDAnBgkrBgEEAYI3FQoEGjAYMAoGCCsGAQUFBwMCMAoGCCsGAQUFBwMEMB0GA1UdDgQWBBRUNNN4NhsLx5ltvr1mRR6S6SiT4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SSOiyAW22xUtzc24q4NstBK2cgNxTxASuts2hbzcm4lbGhzH9gfwyI5yyn6rPptCGX5cvQ8I7mLYAqQP/rHjaPn1+ixCQKIouBCkH8VLyK3Em8bJO8fcdxh3UP4pUGTN3qJqnYitDnzw0Pkccv4d6hbxEUqgwlVOzKZHfGI40j5XhvR0vYa7QoAAISEWC3kwMATw66rkW5/Dgk8viNj91k+P4kHGfYNXcBdCGeQkHzOV7DQeu6Dz7Go5+GllOvJGxBoPDp5NFLs7emolJW4fYBH5zErY6g00/AzCB5JL791FIOwoyZXTu+spN7TpeDNlcEipR2YHoWNLj1KJZMPv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ol4dz5pd6OW1gN/uaallwuhhWdZfKk0XrngvzeP9v8g=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xOveWHm41S1Um5h7OC8or36MOOgIGvJePpzLMokXKHE=</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pMCU2E7RDyO8vjX/EAkwMHxTiXxyALZQFhJjLJtjfDA=</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cNoV18itwWmvRgiUOh0UEFiI6WA6615z+Dp5UOoEKM4=</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30.bin?ContentType=application/vnd.openxmlformats-officedocument.spreadsheetml.printerSettings">
        <DigestMethod Algorithm="http://www.w3.org/2001/04/xmlenc#sha256"/>
        <DigestValue>/lSAzGRrYBj68FmBe1gBKOAVb2D7iCtwOEt8vlDCjTA=</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cM2l1Hv0vf0w51IyFa10jijwjT00vtYJkMS355K20Uc=</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6Anf2mwVY1cWReh1Z8/A3iiy2bCGK1Eu5/wFiyKCKrY=</DigestValue>
      </Reference>
      <Reference URI="/xl/styles.xml?ContentType=application/vnd.openxmlformats-officedocument.spreadsheetml.styles+xml">
        <DigestMethod Algorithm="http://www.w3.org/2001/04/xmlenc#sha256"/>
        <DigestValue>yiHBdBMkNfPyC7a+CL29Sq7UCp72G9wQfX9EOLDQwQY=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21j7h1POY2xWND+Kai1Q8WzX/rwO7oqwWZ/UYfC0Wm0=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iFVasFUafRQmLHKBqN7lx+6iYwhOKxQhwKpME+RwTv8=</DigestValue>
      </Reference>
      <Reference URI="/xl/worksheets/sheet10.xml?ContentType=application/vnd.openxmlformats-officedocument.spreadsheetml.worksheet+xml">
        <DigestMethod Algorithm="http://www.w3.org/2001/04/xmlenc#sha256"/>
        <DigestValue>+KNSn43Ntx9YkFrgC+4L3FfLjeH4sYKX8iLitDR6T+8=</DigestValue>
      </Reference>
      <Reference URI="/xl/worksheets/sheet11.xml?ContentType=application/vnd.openxmlformats-officedocument.spreadsheetml.worksheet+xml">
        <DigestMethod Algorithm="http://www.w3.org/2001/04/xmlenc#sha256"/>
        <DigestValue>LEMc1nF79kZOC0SUZvcjf/DJ4ZaDFxVOR+GSA/T0BbY=</DigestValue>
      </Reference>
      <Reference URI="/xl/worksheets/sheet12.xml?ContentType=application/vnd.openxmlformats-officedocument.spreadsheetml.worksheet+xml">
        <DigestMethod Algorithm="http://www.w3.org/2001/04/xmlenc#sha256"/>
        <DigestValue>epB416S3NC3Gy6/4qHofOUMEAfxETRcN8bhenuTjSPM=</DigestValue>
      </Reference>
      <Reference URI="/xl/worksheets/sheet13.xml?ContentType=application/vnd.openxmlformats-officedocument.spreadsheetml.worksheet+xml">
        <DigestMethod Algorithm="http://www.w3.org/2001/04/xmlenc#sha256"/>
        <DigestValue>+ZJmzj+3/FWJNlFNUmpzwn+SmC9vlVj2NVszVtH1cM8=</DigestValue>
      </Reference>
      <Reference URI="/xl/worksheets/sheet14.xml?ContentType=application/vnd.openxmlformats-officedocument.spreadsheetml.worksheet+xml">
        <DigestMethod Algorithm="http://www.w3.org/2001/04/xmlenc#sha256"/>
        <DigestValue>MMDAL4Ziv8p5d3AQgBxGAZgLcbhttvksgXLROO2aWfU=</DigestValue>
      </Reference>
      <Reference URI="/xl/worksheets/sheet15.xml?ContentType=application/vnd.openxmlformats-officedocument.spreadsheetml.worksheet+xml">
        <DigestMethod Algorithm="http://www.w3.org/2001/04/xmlenc#sha256"/>
        <DigestValue>MCsOzXWYA/c9JNU+SSx1Hmbfp+IWXoei7yExLRqr/GA=</DigestValue>
      </Reference>
      <Reference URI="/xl/worksheets/sheet16.xml?ContentType=application/vnd.openxmlformats-officedocument.spreadsheetml.worksheet+xml">
        <DigestMethod Algorithm="http://www.w3.org/2001/04/xmlenc#sha256"/>
        <DigestValue>XsJeJrIpWu1PYyoJpMW4EQfMQDlHWusd5A+CbR1EjEs=</DigestValue>
      </Reference>
      <Reference URI="/xl/worksheets/sheet17.xml?ContentType=application/vnd.openxmlformats-officedocument.spreadsheetml.worksheet+xml">
        <DigestMethod Algorithm="http://www.w3.org/2001/04/xmlenc#sha256"/>
        <DigestValue>lCHRy9t8kv9bKAxh5/3qQGDRYu68Ypyk3xcd33edCe8=</DigestValue>
      </Reference>
      <Reference URI="/xl/worksheets/sheet18.xml?ContentType=application/vnd.openxmlformats-officedocument.spreadsheetml.worksheet+xml">
        <DigestMethod Algorithm="http://www.w3.org/2001/04/xmlenc#sha256"/>
        <DigestValue>lVlG5+vxCUxiIZZMSEJXF2FGmK+TyLZrl4a+u2j/FeU=</DigestValue>
      </Reference>
      <Reference URI="/xl/worksheets/sheet19.xml?ContentType=application/vnd.openxmlformats-officedocument.spreadsheetml.worksheet+xml">
        <DigestMethod Algorithm="http://www.w3.org/2001/04/xmlenc#sha256"/>
        <DigestValue>gmFzH8BEjpweLqXV/AeeIlTTt12IE2YybY3bvnhDym0=</DigestValue>
      </Reference>
      <Reference URI="/xl/worksheets/sheet2.xml?ContentType=application/vnd.openxmlformats-officedocument.spreadsheetml.worksheet+xml">
        <DigestMethod Algorithm="http://www.w3.org/2001/04/xmlenc#sha256"/>
        <DigestValue>hDi2qsyp4V0CDB28Iz+dujsksRo4fAbnRzQScSsE/q0=</DigestValue>
      </Reference>
      <Reference URI="/xl/worksheets/sheet20.xml?ContentType=application/vnd.openxmlformats-officedocument.spreadsheetml.worksheet+xml">
        <DigestMethod Algorithm="http://www.w3.org/2001/04/xmlenc#sha256"/>
        <DigestValue>cRzUhtSUebBosvHvI8cb8WKgMW9o3LevaNb0820MEms=</DigestValue>
      </Reference>
      <Reference URI="/xl/worksheets/sheet21.xml?ContentType=application/vnd.openxmlformats-officedocument.spreadsheetml.worksheet+xml">
        <DigestMethod Algorithm="http://www.w3.org/2001/04/xmlenc#sha256"/>
        <DigestValue>ouXGxaO5IY55NpRTP4FdgvB4ShhxO+cKYYV+lv+GIQ4=</DigestValue>
      </Reference>
      <Reference URI="/xl/worksheets/sheet22.xml?ContentType=application/vnd.openxmlformats-officedocument.spreadsheetml.worksheet+xml">
        <DigestMethod Algorithm="http://www.w3.org/2001/04/xmlenc#sha256"/>
        <DigestValue>wtC4vzKjyMwmYwEnJfqaY9zKWpjnZAB7qQLDVvgG264=</DigestValue>
      </Reference>
      <Reference URI="/xl/worksheets/sheet23.xml?ContentType=application/vnd.openxmlformats-officedocument.spreadsheetml.worksheet+xml">
        <DigestMethod Algorithm="http://www.w3.org/2001/04/xmlenc#sha256"/>
        <DigestValue>AR9h6WhGEjeoMLI+ZTyJVtgE7wJqAjwV4w7dSZWFvFk=</DigestValue>
      </Reference>
      <Reference URI="/xl/worksheets/sheet24.xml?ContentType=application/vnd.openxmlformats-officedocument.spreadsheetml.worksheet+xml">
        <DigestMethod Algorithm="http://www.w3.org/2001/04/xmlenc#sha256"/>
        <DigestValue>b4XknyIP2NCrn8+/9nwoZihmHcfE809jZP80GNsFb48=</DigestValue>
      </Reference>
      <Reference URI="/xl/worksheets/sheet25.xml?ContentType=application/vnd.openxmlformats-officedocument.spreadsheetml.worksheet+xml">
        <DigestMethod Algorithm="http://www.w3.org/2001/04/xmlenc#sha256"/>
        <DigestValue>4z6+cHWXNAjr7I2R4Wtdndvopx+uXbt3k+bbxT2P7JM=</DigestValue>
      </Reference>
      <Reference URI="/xl/worksheets/sheet26.xml?ContentType=application/vnd.openxmlformats-officedocument.spreadsheetml.worksheet+xml">
        <DigestMethod Algorithm="http://www.w3.org/2001/04/xmlenc#sha256"/>
        <DigestValue>3tlEk694nTzK08PI8jovmNXBA4A9G/0BycrotJaZUYA=</DigestValue>
      </Reference>
      <Reference URI="/xl/worksheets/sheet27.xml?ContentType=application/vnd.openxmlformats-officedocument.spreadsheetml.worksheet+xml">
        <DigestMethod Algorithm="http://www.w3.org/2001/04/xmlenc#sha256"/>
        <DigestValue>icKcdsdejO1AO/f1kjJK4/WOOrejq51Q624R7V0mFHg=</DigestValue>
      </Reference>
      <Reference URI="/xl/worksheets/sheet28.xml?ContentType=application/vnd.openxmlformats-officedocument.spreadsheetml.worksheet+xml">
        <DigestMethod Algorithm="http://www.w3.org/2001/04/xmlenc#sha256"/>
        <DigestValue>uAcO9C+r7Fbs9pK+nUuaPnsEAKgnecZOosMctxtSK9U=</DigestValue>
      </Reference>
      <Reference URI="/xl/worksheets/sheet29.xml?ContentType=application/vnd.openxmlformats-officedocument.spreadsheetml.worksheet+xml">
        <DigestMethod Algorithm="http://www.w3.org/2001/04/xmlenc#sha256"/>
        <DigestValue>9/Aec2tjXVpT19JupMnwSM282SmViHs4C6DeAOJxP6w=</DigestValue>
      </Reference>
      <Reference URI="/xl/worksheets/sheet3.xml?ContentType=application/vnd.openxmlformats-officedocument.spreadsheetml.worksheet+xml">
        <DigestMethod Algorithm="http://www.w3.org/2001/04/xmlenc#sha256"/>
        <DigestValue>87b0+PGeNlPLOfksVzVLs55x9ZXqgEvObsRRep4gJOg=</DigestValue>
      </Reference>
      <Reference URI="/xl/worksheets/sheet30.xml?ContentType=application/vnd.openxmlformats-officedocument.spreadsheetml.worksheet+xml">
        <DigestMethod Algorithm="http://www.w3.org/2001/04/xmlenc#sha256"/>
        <DigestValue>FMcYwYKQ/Qdi1Oid63kR6onoklJDH0UZMXgDdsgOSTA=</DigestValue>
      </Reference>
      <Reference URI="/xl/worksheets/sheet4.xml?ContentType=application/vnd.openxmlformats-officedocument.spreadsheetml.worksheet+xml">
        <DigestMethod Algorithm="http://www.w3.org/2001/04/xmlenc#sha256"/>
        <DigestValue>grGL6i7N7sxiljYKuiMj+kR3/hjuJLTiWkoiAfci1oI=</DigestValue>
      </Reference>
      <Reference URI="/xl/worksheets/sheet5.xml?ContentType=application/vnd.openxmlformats-officedocument.spreadsheetml.worksheet+xml">
        <DigestMethod Algorithm="http://www.w3.org/2001/04/xmlenc#sha256"/>
        <DigestValue>fdT3Z/mPHIEwta43wv0S10yIKDqW9Ya8+ldtLDcZDkc=</DigestValue>
      </Reference>
      <Reference URI="/xl/worksheets/sheet6.xml?ContentType=application/vnd.openxmlformats-officedocument.spreadsheetml.worksheet+xml">
        <DigestMethod Algorithm="http://www.w3.org/2001/04/xmlenc#sha256"/>
        <DigestValue>asn7BkKl8Kr/KmlynTFErlTtgj5osJZbqHiuUoSHiHw=</DigestValue>
      </Reference>
      <Reference URI="/xl/worksheets/sheet7.xml?ContentType=application/vnd.openxmlformats-officedocument.spreadsheetml.worksheet+xml">
        <DigestMethod Algorithm="http://www.w3.org/2001/04/xmlenc#sha256"/>
        <DigestValue>yGqdkxGNwRaF2PH82WZQCJH1WVTb3SYO6suRsXNQOQc=</DigestValue>
      </Reference>
      <Reference URI="/xl/worksheets/sheet8.xml?ContentType=application/vnd.openxmlformats-officedocument.spreadsheetml.worksheet+xml">
        <DigestMethod Algorithm="http://www.w3.org/2001/04/xmlenc#sha256"/>
        <DigestValue>CbchSAbXorq+ulNQqZygvWdA3O6M3lfwG9ZLslGTHYs=</DigestValue>
      </Reference>
      <Reference URI="/xl/worksheets/sheet9.xml?ContentType=application/vnd.openxmlformats-officedocument.spreadsheetml.worksheet+xml">
        <DigestMethod Algorithm="http://www.w3.org/2001/04/xmlenc#sha256"/>
        <DigestValue>NsS7FmEbOFq828EQfZl3wT20l1sbqoJ7yCEM4dWueA8=</DigestValue>
      </Reference>
    </Manifest>
    <SignatureProperties>
      <SignatureProperty Id="idSignatureTime" Target="#idPackageSignature">
        <mdssi:SignatureTime xmlns:mdssi="http://schemas.openxmlformats.org/package/2006/digital-signature">
          <mdssi:Format>YYYY-MM-DDThh:mm:ssTZD</mdssi:Format>
          <mdssi:Value>2024-02-07T07:34:25Z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2024-02-07T07:34:25Z</xd:SigningTime>
          <xd:SigningCertificate>
            <xd:Cert>
              <xd:CertDigest>
                <DigestMethod Algorithm="http://www.w3.org/2001/04/xmlenc#sha256"/>
                <DigestValue>kq96ANjMEh57xbF5Ile7UsSX8PP5m3uaEUKiwgmziS8=</DigestValue>
              </xd:CertDigest>
              <xd:IssuerSerial>
                <X509IssuerName>CN=NBG Class 2 INT Sub CA, DC=nbg, DC=ge</X509IssuerName>
                <X509SerialNumber>384455719905128987377092</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2024-02-06T14:59:51Z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2023-04-30T21:23:30Z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1cb3b29a-26e1-4252-95b3-ca361e6f5c97</vt:lpwstr>
  </property>
  <property fmtid="{D5CDD505-2E9C-101B-9397-08002B2CF9AE}" pid="13" name="MSIP_Label_706c7ad2-60a5-409e-8203-10f940b19acd_ContentBits">
    <vt:lpwstr>2</vt:lpwstr>
  </property>
</Properties>
</file>