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434B2BDC-BFAE-4B9B-B6AB-A3A41120DCE4}"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36" l="1"/>
  <c r="J25" i="36"/>
  <c r="I25" i="36"/>
  <c r="H25" i="36"/>
  <c r="G25" i="36"/>
  <c r="F25" i="36"/>
  <c r="C22" i="74"/>
  <c r="C43" i="6"/>
  <c r="C42" i="6"/>
  <c r="C44" i="6" l="1"/>
  <c r="K21" i="36" l="1"/>
  <c r="J21" i="36"/>
  <c r="I21" i="36"/>
  <c r="K16" i="36"/>
  <c r="J16" i="36"/>
  <c r="I16" i="36"/>
  <c r="H24" i="36"/>
  <c r="G24" i="36"/>
  <c r="F24" i="36"/>
  <c r="H23" i="36"/>
  <c r="G23" i="36"/>
  <c r="F23" i="36"/>
  <c r="H21" i="36"/>
  <c r="G21" i="36"/>
  <c r="F21" i="36"/>
  <c r="E21" i="36"/>
  <c r="D21" i="36"/>
  <c r="C21" i="36"/>
  <c r="H16" i="36"/>
  <c r="G16" i="36"/>
  <c r="F16" i="36"/>
  <c r="E16" i="36"/>
  <c r="D16" i="36"/>
  <c r="C16" i="36"/>
  <c r="C21" i="95"/>
  <c r="G21" i="95"/>
  <c r="D21" i="95" l="1"/>
  <c r="D14" i="95" l="1"/>
  <c r="C48" i="6" l="1"/>
  <c r="C47" i="6"/>
  <c r="C46" i="6"/>
  <c r="D13" i="96" l="1"/>
  <c r="D23" i="96"/>
  <c r="D19" i="104"/>
  <c r="E19" i="104"/>
  <c r="F19" i="104"/>
  <c r="G19" i="104"/>
  <c r="H19" i="104"/>
  <c r="I19" i="104"/>
  <c r="J19" i="104"/>
  <c r="K19" i="104"/>
  <c r="L19" i="104"/>
  <c r="M19" i="104"/>
  <c r="N19" i="104"/>
  <c r="O19" i="104"/>
  <c r="P19" i="104"/>
  <c r="Q19" i="104"/>
  <c r="C19" i="104"/>
  <c r="D33" i="102"/>
  <c r="E33" i="102"/>
  <c r="F33" i="102"/>
  <c r="G33" i="102"/>
  <c r="H33" i="102"/>
  <c r="I33" i="102"/>
  <c r="J33" i="102"/>
  <c r="K33" i="102"/>
  <c r="L33" i="102"/>
  <c r="C33" i="102"/>
  <c r="T22" i="100"/>
  <c r="L22" i="100"/>
  <c r="H22" i="100"/>
  <c r="D22" i="100"/>
  <c r="C22" i="100"/>
  <c r="D15" i="100"/>
  <c r="E15" i="100"/>
  <c r="F15" i="100"/>
  <c r="G15" i="100"/>
  <c r="C15" i="100"/>
  <c r="D8" i="100"/>
  <c r="E8" i="100"/>
  <c r="F8" i="100"/>
  <c r="G8" i="100"/>
  <c r="H8" i="100"/>
  <c r="I8" i="100"/>
  <c r="J8" i="100"/>
  <c r="K8" i="100"/>
  <c r="L8" i="100"/>
  <c r="M8" i="100"/>
  <c r="N8" i="100"/>
  <c r="O8" i="100"/>
  <c r="P8" i="100"/>
  <c r="Q8" i="100"/>
  <c r="R8" i="100"/>
  <c r="S8" i="100"/>
  <c r="T8" i="100"/>
  <c r="U8" i="100"/>
  <c r="V8" i="100"/>
  <c r="W8" i="100"/>
  <c r="X8" i="100"/>
  <c r="Y8" i="100"/>
  <c r="Z8" i="100"/>
  <c r="AA8" i="100"/>
  <c r="C8" i="100"/>
  <c r="G17" i="94" l="1"/>
  <c r="F17" i="94"/>
  <c r="C66" i="69" l="1"/>
  <c r="C46" i="69"/>
  <c r="C52" i="69" s="1"/>
  <c r="C37" i="69"/>
  <c r="C10" i="69"/>
  <c r="E27" i="72" l="1"/>
  <c r="G69" i="92" l="1"/>
  <c r="F69" i="92"/>
  <c r="F59" i="92"/>
  <c r="F38" i="92"/>
  <c r="F11" i="92"/>
  <c r="E34" i="72"/>
  <c r="E31" i="72"/>
  <c r="D31" i="72"/>
  <c r="C31" i="72"/>
  <c r="E30" i="72"/>
  <c r="E28" i="72" s="1"/>
  <c r="D28" i="72"/>
  <c r="C28" i="72"/>
  <c r="C25" i="72"/>
  <c r="E26" i="72"/>
  <c r="E25" i="72" s="1"/>
  <c r="D25" i="72"/>
  <c r="E24" i="72"/>
  <c r="E23" i="72"/>
  <c r="C20" i="72"/>
  <c r="E21" i="72"/>
  <c r="D20" i="72"/>
  <c r="E16" i="72"/>
  <c r="D16" i="72"/>
  <c r="C16" i="72"/>
  <c r="E13" i="72"/>
  <c r="E12" i="72" s="1"/>
  <c r="D12" i="72"/>
  <c r="C12" i="72"/>
  <c r="E11" i="72"/>
  <c r="E10" i="72"/>
  <c r="E9" i="72"/>
  <c r="D8" i="72"/>
  <c r="C8" i="72"/>
  <c r="C67" i="92"/>
  <c r="C38" i="92"/>
  <c r="C11" i="92"/>
  <c r="E8" i="72" l="1"/>
  <c r="E22" i="72"/>
  <c r="E20" i="72" s="1"/>
  <c r="C22" i="95" l="1"/>
  <c r="H21" i="95"/>
  <c r="B1" i="94" l="1"/>
  <c r="B1" i="93"/>
  <c r="B1" i="92"/>
  <c r="B1" i="104" l="1"/>
  <c r="B1" i="103"/>
  <c r="B1" i="102"/>
  <c r="B1" i="101"/>
  <c r="B1" i="100"/>
  <c r="B1" i="99"/>
  <c r="B1" i="98"/>
  <c r="B1" i="97"/>
  <c r="B1" i="96"/>
  <c r="B1" i="95"/>
  <c r="C10" i="99" l="1"/>
  <c r="C18" i="99" s="1"/>
  <c r="C7" i="98"/>
  <c r="D7" i="98"/>
  <c r="C10" i="98"/>
  <c r="D10" i="98"/>
  <c r="C15"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H34" i="97" l="1"/>
  <c r="H21" i="96"/>
  <c r="H22" i="95"/>
  <c r="C67" i="69"/>
  <c r="C62" i="69"/>
  <c r="C58" i="69"/>
  <c r="C40" i="69"/>
  <c r="C29" i="69"/>
  <c r="C26" i="69"/>
  <c r="C23" i="69"/>
  <c r="C18" i="69"/>
  <c r="C35" i="69" s="1"/>
  <c r="C14" i="69"/>
  <c r="C6" i="69"/>
  <c r="D37" i="72"/>
  <c r="C68" i="69" l="1"/>
  <c r="C37" i="72"/>
  <c r="E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E37" i="93" s="1"/>
  <c r="H36" i="93"/>
  <c r="E36" i="93"/>
  <c r="H35" i="93"/>
  <c r="E35" i="93"/>
  <c r="G34" i="93"/>
  <c r="F34" i="93"/>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H13" i="93" s="1"/>
  <c r="F13" i="93"/>
  <c r="E13" i="93"/>
  <c r="D13" i="93"/>
  <c r="C13" i="93"/>
  <c r="H12" i="93"/>
  <c r="E12" i="93"/>
  <c r="H11" i="93"/>
  <c r="E11" i="93"/>
  <c r="H10" i="93"/>
  <c r="E10" i="93"/>
  <c r="H9" i="93"/>
  <c r="E9" i="93"/>
  <c r="H8" i="93"/>
  <c r="E8" i="93"/>
  <c r="H7" i="93"/>
  <c r="E7" i="93"/>
  <c r="G6" i="93"/>
  <c r="F6" i="93"/>
  <c r="D6" i="93"/>
  <c r="C6" i="93"/>
  <c r="C43" i="93" s="1"/>
  <c r="C45" i="93" s="1"/>
  <c r="G68" i="92"/>
  <c r="F68" i="92"/>
  <c r="H67" i="92"/>
  <c r="E67" i="92"/>
  <c r="H66" i="92"/>
  <c r="E66" i="92"/>
  <c r="H65" i="92"/>
  <c r="E65" i="92"/>
  <c r="H64" i="92"/>
  <c r="E64" i="92"/>
  <c r="H63" i="92"/>
  <c r="D63" i="92"/>
  <c r="C63" i="92"/>
  <c r="E63" i="92" s="1"/>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G53" i="92" s="1"/>
  <c r="F41" i="92"/>
  <c r="H41" i="92" s="1"/>
  <c r="D41" i="92"/>
  <c r="D53" i="92" s="1"/>
  <c r="C41" i="92"/>
  <c r="H40" i="92"/>
  <c r="E40" i="92"/>
  <c r="H39" i="92"/>
  <c r="E39" i="92"/>
  <c r="H38" i="92"/>
  <c r="E38" i="92"/>
  <c r="H35" i="92"/>
  <c r="E35" i="92"/>
  <c r="H34" i="92"/>
  <c r="E34" i="92"/>
  <c r="H33" i="92"/>
  <c r="E33" i="92"/>
  <c r="H32" i="92"/>
  <c r="E32" i="92"/>
  <c r="H31" i="92"/>
  <c r="E31" i="92"/>
  <c r="G30" i="92"/>
  <c r="G36" i="92" s="1"/>
  <c r="F30" i="92"/>
  <c r="D30" i="92"/>
  <c r="C30" i="92"/>
  <c r="H29" i="92"/>
  <c r="E29" i="92"/>
  <c r="H28" i="92"/>
  <c r="E28" i="92"/>
  <c r="G27" i="92"/>
  <c r="F27" i="92"/>
  <c r="H27" i="92" s="1"/>
  <c r="D27" i="92"/>
  <c r="C27" i="92"/>
  <c r="E27" i="92" s="1"/>
  <c r="H26" i="92"/>
  <c r="E26" i="92"/>
  <c r="H25" i="92"/>
  <c r="E25" i="92"/>
  <c r="G24" i="92"/>
  <c r="F24" i="92"/>
  <c r="D24" i="92"/>
  <c r="C24" i="92"/>
  <c r="E24" i="92" s="1"/>
  <c r="H23" i="92"/>
  <c r="E23" i="92"/>
  <c r="H22" i="92"/>
  <c r="E22" i="92"/>
  <c r="H21" i="92"/>
  <c r="E21" i="92"/>
  <c r="H20" i="92"/>
  <c r="E20" i="92"/>
  <c r="G19" i="92"/>
  <c r="F19" i="92"/>
  <c r="H19" i="92" s="1"/>
  <c r="D19" i="92"/>
  <c r="C19" i="92"/>
  <c r="E19" i="92" s="1"/>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H7" i="92" s="1"/>
  <c r="D7" i="92"/>
  <c r="C7" i="92"/>
  <c r="E38" i="94" l="1"/>
  <c r="H34" i="93"/>
  <c r="F43" i="93"/>
  <c r="F45" i="93" s="1"/>
  <c r="E41" i="92"/>
  <c r="C68" i="92"/>
  <c r="E6" i="93"/>
  <c r="H37" i="93"/>
  <c r="G43" i="93"/>
  <c r="G45" i="93" s="1"/>
  <c r="F36" i="92"/>
  <c r="H36" i="92" s="1"/>
  <c r="D68" i="92"/>
  <c r="D69" i="92" s="1"/>
  <c r="C36" i="92"/>
  <c r="D36" i="92"/>
  <c r="E30" i="92"/>
  <c r="H47" i="92"/>
  <c r="E59" i="92"/>
  <c r="H30" i="92"/>
  <c r="H8" i="94"/>
  <c r="E8" i="94"/>
  <c r="E14" i="94"/>
  <c r="H38" i="94"/>
  <c r="E30" i="94"/>
  <c r="E11" i="94"/>
  <c r="E17" i="94"/>
  <c r="H11" i="94"/>
  <c r="H14" i="94"/>
  <c r="H6" i="93"/>
  <c r="D43" i="93"/>
  <c r="D45" i="93" s="1"/>
  <c r="H69" i="92"/>
  <c r="C53" i="92"/>
  <c r="H68" i="92"/>
  <c r="F53" i="92"/>
  <c r="H53" i="92" s="1"/>
  <c r="E7" i="92"/>
  <c r="H24" i="92"/>
  <c r="H43" i="93" l="1"/>
  <c r="H45" i="93"/>
  <c r="E36" i="92"/>
  <c r="E68" i="92"/>
  <c r="E45" i="93"/>
  <c r="E43" i="93"/>
  <c r="C69" i="92"/>
  <c r="E69" i="92" s="1"/>
  <c r="E53" i="92"/>
  <c r="B1" i="80" l="1"/>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alcChain>
</file>

<file path=xl/sharedStrings.xml><?xml version="1.0" encoding="utf-8"?>
<sst xmlns="http://schemas.openxmlformats.org/spreadsheetml/2006/main" count="2006" uniqueCount="993">
  <si>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</si>
  <si>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</si>
  <si>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</si>
  <si>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</si>
  <si>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</si>
  <si>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</si>
  <si>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</si>
  <si>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</si>
  <si>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</si>
  <si>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</si>
  <si>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</si>
  <si>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</si>
  <si>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</si>
  <si>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</si>
  <si>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</si>
  <si>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</si>
  <si>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</si>
  <si>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</si>
  <si>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</si>
  <si>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</si>
  <si>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</si>
  <si>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</si>
  <si>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</si>
  <si>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</si>
  <si>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</si>
  <si>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</si>
  <si>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</si>
  <si>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</si>
  <si>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</si>
  <si>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</si>
  <si>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</si>
  <si>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</si>
  <si>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</si>
  <si>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</si>
  <si>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</si>
  <si>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</si>
  <si>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</si>
  <si>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</si>
  <si>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</si>
  <si>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</si>
  <si>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</si>
  <si>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</si>
  <si>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</si>
  <si>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</si>
  <si>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</si>
  <si>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</si>
  <si>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</si>
  <si>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</si>
  <si>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</si>
  <si>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</si>
  <si>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</si>
  <si>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</si>
  <si>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</si>
  <si>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</si>
  <si>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</si>
  <si>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</si>
  <si>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</si>
  <si>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</si>
  <si>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</si>
  <si>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</si>
  <si>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</si>
  <si>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</si>
  <si>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</si>
  <si>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</si>
  <si>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</si>
  <si>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</si>
  <si>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</si>
  <si>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</si>
  <si>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</si>
  <si>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</si>
  <si>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</si>
  <si>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</si>
  <si>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</si>
  <si>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</si>
  <si>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</si>
  <si>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</si>
  <si>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</si>
  <si>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</si>
  <si>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</si>
  <si>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</si>
  <si>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</si>
  <si>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</si>
  <si>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</si>
  <si>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</si>
  <si>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</si>
  <si>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</si>
  <si>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</si>
  <si>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</si>
  <si>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</si>
  <si>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</si>
  <si>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</si>
  <si>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</si>
  <si>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</si>
  <si>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</si>
  <si>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</si>
  <si>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</si>
  <si>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</si>
  <si>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</si>
  <si>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</si>
  <si>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</si>
  <si>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</si>
  <si>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</si>
  <si>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</si>
  <si>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</si>
  <si>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</si>
  <si>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</si>
  <si>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</si>
  <si>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</si>
  <si>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</si>
  <si>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</si>
  <si>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</si>
  <si>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</si>
  <si>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</si>
  <si>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</si>
  <si>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</si>
  <si>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</si>
  <si>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</si>
  <si>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</si>
  <si>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</si>
  <si>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</si>
  <si>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</si>
  <si>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</si>
  <si>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</si>
  <si>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</si>
  <si>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</si>
  <si>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</si>
  <si>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</si>
  <si>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</si>
  <si>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</si>
  <si>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</si>
  <si>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</si>
  <si>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</si>
  <si>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</si>
  <si>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</si>
  <si>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</si>
  <si>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</si>
  <si>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</si>
  <si>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</si>
  <si>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</si>
  <si>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</si>
  <si>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</si>
  <si>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</si>
  <si>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</si>
  <si>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</si>
  <si>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</si>
  <si>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</si>
  <si>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</si>
  <si>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</si>
  <si>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</si>
  <si>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</si>
  <si>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</si>
  <si>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</si>
  <si>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</si>
  <si>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</si>
  <si>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</si>
  <si>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</si>
  <si>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</si>
  <si>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</si>
  <si>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</si>
  <si>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</si>
  <si>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</si>
  <si>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</si>
  <si>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</si>
  <si>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</si>
  <si>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</si>
  <si>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</si>
  <si>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</si>
  <si>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</si>
  <si>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</si>
  <si>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</si>
  <si>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</si>
  <si>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</si>
  <si>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</si>
  <si>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</si>
  <si>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</si>
  <si>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</si>
  <si>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</si>
  <si>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</si>
  <si>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</si>
  <si>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</si>
  <si>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</si>
  <si>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</si>
  <si>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</si>
  <si>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</si>
  <si>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</si>
  <si>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</si>
  <si>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</si>
  <si>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</si>
  <si>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</si>
  <si>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</si>
  <si>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</si>
  <si>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</si>
  <si>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</si>
  <si>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</si>
  <si>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</si>
  <si>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</si>
  <si>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</si>
  <si>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</si>
  <si>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</si>
  <si>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</si>
  <si>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</si>
  <si>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</si>
  <si>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</si>
  <si>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</si>
  <si>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</si>
  <si>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</si>
  <si>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</si>
  <si>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</si>
  <si>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</si>
  <si>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</si>
  <si>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</si>
  <si>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</si>
  <si>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</si>
  <si>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</si>
  <si>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</si>
  <si>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</si>
  <si>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</si>
  <si>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</si>
  <si>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</si>
  <si>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</si>
  <si>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</si>
  <si>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</si>
  <si>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</si>
  <si>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</si>
  <si>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</si>
  <si>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</si>
  <si>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</si>
  <si>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</si>
  <si>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</si>
  <si>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</si>
  <si>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</si>
  <si>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</si>
  <si>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</si>
  <si>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</si>
  <si>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</si>
  <si>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</si>
  <si>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</si>
  <si>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</si>
  <si>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</si>
  <si>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</si>
  <si>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</si>
  <si>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</si>
  <si>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</si>
  <si>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</si>
  <si>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</si>
  <si>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</si>
  <si>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</si>
  <si>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</si>
  <si>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</si>
  <si>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</si>
  <si>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</si>
  <si>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</si>
  <si>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</si>
  <si>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</si>
  <si>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</si>
  <si>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</si>
  <si>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</si>
  <si>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</si>
  <si>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</si>
  <si>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</si>
  <si>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</si>
  <si>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</si>
  <si>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</si>
  <si>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</si>
  <si>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</si>
  <si>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</si>
  <si>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</si>
  <si>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</si>
  <si>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</si>
  <si>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</si>
  <si>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</si>
  <si>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</si>
  <si>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</si>
  <si>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</si>
  <si>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</si>
  <si>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</si>
  <si>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</si>
  <si>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</si>
  <si>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</si>
  <si>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</si>
  <si>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</si>
  <si>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</si>
  <si>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</si>
  <si>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</si>
  <si>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</si>
  <si>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</si>
  <si>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</si>
  <si>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</si>
  <si>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</si>
  <si>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</si>
  <si>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</si>
  <si>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</si>
  <si>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</si>
  <si>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</si>
  <si>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</si>
  <si>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</si>
  <si>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</si>
  <si>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</si>
  <si>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</si>
  <si>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</si>
  <si>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</si>
  <si>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</si>
  <si>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</si>
  <si>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</si>
  <si>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</si>
  <si>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</si>
  <si>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</si>
  <si>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</si>
  <si>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</si>
  <si>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</si>
  <si>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</si>
  <si>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</si>
  <si>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</si>
  <si>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</si>
  <si>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</si>
  <si>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</si>
  <si>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</si>
  <si>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</si>
  <si>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</si>
  <si>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</si>
  <si>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</si>
  <si>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</si>
  <si>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</si>
  <si>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</si>
  <si>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</si>
  <si>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</si>
  <si>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</si>
  <si>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</si>
  <si>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</si>
  <si>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</si>
  <si>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</si>
  <si>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</si>
  <si>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</si>
  <si>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</si>
  <si>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</si>
  <si>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</si>
  <si>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</si>
  <si>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</si>
  <si>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</si>
  <si>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</si>
  <si>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</si>
  <si>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</si>
  <si>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</si>
  <si>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</si>
  <si>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</si>
  <si>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</si>
  <si>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</si>
  <si>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</si>
  <si>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</si>
  <si>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</si>
  <si>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</si>
  <si>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</si>
  <si>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</si>
  <si>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</si>
  <si>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</si>
  <si>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</si>
  <si>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</si>
  <si>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</si>
  <si>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</si>
  <si>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</si>
  <si>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</si>
  <si>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</si>
  <si>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</si>
  <si>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</si>
  <si>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</si>
  <si>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</si>
  <si>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</si>
  <si>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</si>
  <si>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</si>
  <si>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</si>
  <si>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</si>
  <si>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</si>
  <si>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</si>
  <si>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</si>
  <si>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</si>
  <si>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</si>
  <si>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</si>
  <si>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</si>
  <si>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</si>
  <si>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</si>
  <si>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</si>
  <si>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</si>
  <si>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</si>
  <si>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</si>
  <si>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</si>
  <si>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</si>
  <si>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</si>
  <si>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</si>
  <si>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</si>
  <si>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</si>
  <si>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</si>
  <si>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</si>
  <si>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</si>
  <si>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</si>
  <si>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</si>
  <si>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</si>
  <si>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</si>
  <si>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</si>
  <si>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</si>
  <si>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</si>
  <si>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</si>
  <si>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</si>
  <si>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</si>
  <si>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</si>
  <si>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</si>
  <si>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</si>
  <si>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</si>
  <si>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</si>
  <si>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</si>
  <si>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</si>
  <si>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</si>
  <si>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</si>
  <si>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</si>
  <si>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</si>
  <si>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</si>
  <si>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</si>
  <si>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</si>
  <si>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</si>
  <si>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</si>
  <si>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</si>
  <si>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</si>
  <si>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</si>
  <si>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</si>
  <si>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</si>
  <si>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</si>
  <si>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</si>
  <si>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</si>
  <si>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</si>
  <si>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</si>
  <si>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</si>
  <si>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</si>
  <si>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</si>
  <si>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</si>
  <si>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</si>
  <si>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</si>
  <si>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</si>
  <si>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</si>
  <si>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</si>
  <si>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</si>
  <si>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</si>
  <si>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</si>
  <si>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</si>
  <si>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</si>
  <si>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</si>
  <si>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</si>
  <si>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</si>
  <si>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</si>
  <si>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</si>
  <si>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</si>
  <si>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</si>
  <si>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</si>
  <si>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</si>
  <si>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</si>
  <si>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</si>
  <si>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</si>
  <si>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</si>
  <si>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</si>
  <si>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</si>
  <si>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</si>
  <si>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</si>
  <si>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</si>
  <si>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</si>
  <si>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</si>
  <si>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</si>
  <si>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</si>
  <si>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</si>
  <si>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</si>
  <si>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</si>
  <si>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</si>
  <si>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</si>
  <si>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</si>
  <si>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</si>
  <si>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</si>
  <si>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</si>
  <si>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</si>
  <si>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</si>
  <si>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</si>
  <si>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</si>
  <si>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</si>
  <si>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</si>
  <si>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</si>
  <si>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</si>
  <si>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</si>
  <si>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</si>
  <si>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</si>
  <si>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</si>
  <si>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</si>
  <si>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</si>
  <si>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</si>
  <si>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</si>
  <si>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</si>
  <si>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</si>
  <si>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</si>
  <si>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</si>
  <si>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</si>
  <si>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</si>
  <si>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</si>
  <si>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</si>
  <si>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</si>
  <si>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</si>
  <si>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</si>
  <si>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</si>
  <si>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</si>
  <si>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</si>
  <si>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</si>
  <si>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</si>
  <si>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</si>
  <si>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</si>
  <si>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</si>
  <si>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</si>
  <si>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</si>
  <si>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</si>
  <si>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</si>
  <si>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</si>
  <si>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</si>
  <si>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</si>
  <si>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</si>
  <si>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</si>
  <si>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</si>
  <si>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</si>
  <si>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</si>
  <si>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</si>
  <si>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</si>
  <si>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</si>
  <si>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</si>
  <si>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</si>
  <si>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</si>
  <si>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</si>
  <si>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</si>
  <si>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</si>
  <si>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</si>
  <si>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</si>
  <si>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</si>
  <si>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</si>
  <si>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</si>
  <si>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</si>
  <si>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</si>
  <si>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</si>
  <si>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</si>
  <si>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</si>
  <si>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</si>
  <si>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</si>
  <si>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</si>
  <si>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</si>
  <si>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</si>
  <si>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</si>
  <si>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</si>
  <si>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</si>
  <si>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</si>
  <si>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</si>
  <si>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</si>
  <si>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</si>
  <si>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</si>
  <si>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</si>
  <si>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</si>
  <si>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</si>
  <si>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</si>
  <si>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</si>
  <si>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</si>
  <si>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</si>
  <si>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</si>
  <si>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</si>
  <si>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</si>
  <si>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</si>
  <si>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</si>
  <si>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</si>
  <si>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</si>
  <si>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</si>
  <si>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</si>
  <si>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</si>
  <si>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</si>
  <si>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</si>
  <si>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</si>
  <si>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</si>
  <si>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</si>
  <si>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</si>
  <si>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</si>
  <si>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</si>
  <si>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</si>
  <si>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</si>
  <si>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</si>
  <si>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</si>
  <si>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</si>
  <si>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</si>
  <si>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</si>
  <si>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</si>
  <si>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</si>
  <si>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</si>
  <si>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</si>
  <si>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</si>
  <si>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</si>
  <si>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</si>
  <si>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</si>
  <si>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</si>
  <si>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</si>
  <si>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</si>
  <si>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</si>
  <si>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</si>
  <si>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</si>
  <si>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</si>
  <si>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</si>
  <si>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</si>
  <si>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</si>
  <si>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</si>
  <si>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</si>
  <si>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</si>
  <si>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</si>
  <si>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</si>
  <si>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</si>
  <si>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</si>
  <si>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</si>
  <si>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</si>
  <si>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</si>
  <si>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</si>
  <si>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</si>
  <si>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</si>
  <si>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</si>
  <si>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</si>
  <si>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</si>
  <si>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</si>
  <si>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</si>
  <si>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</si>
  <si>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</si>
  <si>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</si>
  <si>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</si>
  <si>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</si>
  <si>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</si>
  <si>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</si>
  <si>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</si>
  <si>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</si>
  <si>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</si>
  <si>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</si>
  <si>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</si>
  <si>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</si>
  <si>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</si>
  <si>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</si>
  <si>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</si>
  <si>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</si>
  <si>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</si>
  <si>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</si>
  <si>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</si>
  <si>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</si>
  <si>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</si>
  <si>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</si>
  <si>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</si>
  <si>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</si>
  <si>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</si>
  <si>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</si>
  <si>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</si>
  <si>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</si>
  <si>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</si>
  <si>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</si>
  <si>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</si>
  <si>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</si>
  <si>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</si>
  <si>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</si>
  <si>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</si>
  <si>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</si>
  <si>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</si>
  <si>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</si>
  <si>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</si>
  <si>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</si>
  <si>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</si>
  <si>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</si>
  <si>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</si>
  <si>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</si>
  <si>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</si>
  <si>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</si>
  <si>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</si>
  <si>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</si>
  <si>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</si>
  <si>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</si>
  <si>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</si>
  <si>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</si>
  <si>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</si>
  <si>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</si>
  <si>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</si>
  <si>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</si>
  <si>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</si>
  <si>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</si>
  <si>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</si>
  <si>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</si>
  <si>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</si>
  <si>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</si>
  <si>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</si>
  <si>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</si>
  <si>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</si>
  <si>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</si>
  <si>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</si>
  <si>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</si>
  <si>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</si>
  <si>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</si>
  <si>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</si>
  <si>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</si>
  <si>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</si>
  <si>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</si>
  <si>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</si>
  <si>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</si>
  <si>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</si>
  <si>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</si>
  <si>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</si>
  <si>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</si>
  <si>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</si>
  <si>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</si>
  <si>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</si>
  <si>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</si>
  <si>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</si>
  <si>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</si>
  <si>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</si>
  <si>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</si>
  <si>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</si>
  <si>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</si>
  <si>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</si>
  <si>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</si>
  <si>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</si>
  <si>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</si>
  <si>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</si>
  <si>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</si>
  <si>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</si>
  <si>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</si>
  <si>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</si>
  <si>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</si>
  <si>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</si>
  <si>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</si>
  <si>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</si>
  <si>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</si>
  <si>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</si>
  <si>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</si>
  <si>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</si>
  <si>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</si>
  <si>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</si>
  <si>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</si>
  <si>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</si>
  <si>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</si>
  <si>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</si>
  <si>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</si>
  <si>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</si>
  <si>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</si>
  <si>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</si>
  <si>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</si>
  <si>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</si>
  <si>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</si>
  <si>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</si>
  <si>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</si>
  <si>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</si>
  <si>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</si>
  <si>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</si>
  <si>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</si>
  <si>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</si>
  <si>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</si>
  <si>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</si>
  <si>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</si>
  <si>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</si>
  <si>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</si>
  <si>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</si>
  <si>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</si>
  <si>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</si>
  <si>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</si>
  <si>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</si>
  <si>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</si>
  <si>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</si>
  <si>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</si>
  <si>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</si>
  <si>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</si>
  <si>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</si>
  <si>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</si>
  <si>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</si>
  <si>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</si>
  <si>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</si>
  <si>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</si>
  <si>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</si>
  <si>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</si>
  <si>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</si>
  <si>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</si>
  <si>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</si>
  <si>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</si>
  <si>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</si>
  <si>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</si>
  <si>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</si>
  <si>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</si>
  <si>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</si>
  <si>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</si>
  <si>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</si>
  <si>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</si>
  <si>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</si>
  <si>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</si>
  <si>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</si>
  <si>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</si>
  <si>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</si>
  <si>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</si>
  <si>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</si>
  <si>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</si>
  <si>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</si>
  <si>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</si>
  <si>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</si>
  <si>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</si>
  <si>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</si>
  <si>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</si>
  <si>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</si>
  <si>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</si>
  <si>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</si>
  <si>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</si>
  <si>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</si>
  <si>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</si>
  <si>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</si>
  <si>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</si>
  <si>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</si>
  <si>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</si>
  <si>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</si>
  <si>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</si>
  <si>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</si>
  <si>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</si>
  <si>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</si>
  <si>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</si>
  <si>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</si>
  <si>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</si>
  <si>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</si>
  <si>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</si>
  <si>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</si>
  <si>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</si>
  <si>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</si>
  <si>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</si>
  <si>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</si>
  <si>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</si>
  <si>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</si>
  <si>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</si>
  <si>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</si>
  <si>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</si>
  <si>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</si>
  <si>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</si>
  <si>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</si>
  <si>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</si>
  <si>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</si>
  <si>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</si>
  <si>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</si>
  <si>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</si>
  <si>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</si>
  <si>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</si>
  <si>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</si>
  <si>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</si>
  <si>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</si>
  <si>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</si>
  <si>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</si>
  <si>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</si>
  <si>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</si>
  <si>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</si>
  <si>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</si>
  <si>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</si>
  <si>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</si>
  <si>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</si>
  <si>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</si>
  <si>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</si>
  <si>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</si>
  <si>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</si>
  <si>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</si>
  <si>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</si>
  <si>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</si>
  <si>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</si>
  <si>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</si>
  <si>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</si>
  <si>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</si>
  <si>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</si>
  <si>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</si>
  <si>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</si>
  <si>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</si>
  <si>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</si>
  <si>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</si>
  <si>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</si>
  <si>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</si>
  <si>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</si>
  <si>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</si>
  <si>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</si>
  <si>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</si>
  <si>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</si>
  <si>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</si>
  <si>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</si>
  <si>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</si>
  <si>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</si>
  <si>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</si>
  <si>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</si>
  <si>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</si>
  <si>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</si>
  <si>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</si>
  <si>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</si>
  <si>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</si>
  <si>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</si>
  <si>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</si>
  <si>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</si>
  <si>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</si>
  <si>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</si>
  <si>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</si>
  <si>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</si>
  <si>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</si>
  <si>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</si>
  <si>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</si>
  <si>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</si>
  <si>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</si>
  <si>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</si>
  <si>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</si>
  <si>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</si>
  <si>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</si>
  <si>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</si>
  <si>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</si>
  <si>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</si>
  <si>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</si>
  <si>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</si>
  <si>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</si>
  <si>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</si>
  <si>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</si>
  <si>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</si>
  <si>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</si>
  <si>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</si>
  <si>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</si>
  <si>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</si>
  <si>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</si>
  <si>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</si>
  <si>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</si>
  <si>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</si>
  <si>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</si>
  <si>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</si>
  <si>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</si>
  <si>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</si>
  <si>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</si>
  <si>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</si>
  <si>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</si>
  <si>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</si>
  <si>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</si>
  <si>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</si>
  <si>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</si>
  <si>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</si>
  <si>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</si>
  <si>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</si>
  <si>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</si>
  <si>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</si>
  <si>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</si>
  <si>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</si>
  <si>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</si>
  <si>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</si>
  <si>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</si>
  <si>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</si>
  <si>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</si>
  <si>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</si>
  <si>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</si>
  <si>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</si>
  <si>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</si>
  <si>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</si>
  <si>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</si>
  <si>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</si>
  <si>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</si>
  <si>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</si>
  <si>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</si>
  <si>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</si>
  <si>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</si>
  <si>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</si>
  <si>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</si>
  <si>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</si>
  <si>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</si>
  <si>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</si>
  <si>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</si>
  <si>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</si>
  <si>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2Q-2023</t>
  </si>
  <si>
    <t>1Q-2023</t>
  </si>
  <si>
    <t>4Q-2022</t>
  </si>
  <si>
    <t>3Q-2022</t>
  </si>
  <si>
    <t>სს " პაშა ბანკი საქართველო"</t>
  </si>
  <si>
    <t>როვშან ალაჰვერდიევი</t>
  </si>
  <si>
    <t>რამილ იმამოვ</t>
  </si>
  <si>
    <t>www.pashabank.ge</t>
  </si>
  <si>
    <t xml:space="preserve"> ცხრილი 9 (Capital), N38</t>
  </si>
  <si>
    <t xml:space="preserve"> ცხრილი 9 (Capital), N2</t>
  </si>
  <si>
    <t xml:space="preserve"> ცხრილი 9 (Capital), N6</t>
  </si>
  <si>
    <t>შაჰინ მამმადოვი</t>
  </si>
  <si>
    <t>არადამოუკიდებელ წევრი</t>
  </si>
  <si>
    <t>გიორგი ღლონტი</t>
  </si>
  <si>
    <t>დამოუკიდებელი წევრი</t>
  </si>
  <si>
    <t>ებრუ ოღან კნოტნერუს</t>
  </si>
  <si>
    <t>კამალა ნურიევა</t>
  </si>
  <si>
    <t>არადამოუკიდებელი თავმჯდომარე</t>
  </si>
  <si>
    <t>ლევან ალადაშვილი</t>
  </si>
  <si>
    <t>ფინანსური დირექტორი</t>
  </si>
  <si>
    <t>რისკების დირექტორი</t>
  </si>
  <si>
    <t>ანზორ მანწკავა</t>
  </si>
  <si>
    <t>საცალო მიმართულების ბანკინგის დირექტორი</t>
  </si>
  <si>
    <t xml:space="preserve">ღსს "პაშა ბანკი" </t>
  </si>
  <si>
    <t>შპს პაშა ჰოლდინგ</t>
  </si>
  <si>
    <t xml:space="preserve">არიფ პაშაევი </t>
  </si>
  <si>
    <t xml:space="preserve">არზუ ალიევა </t>
  </si>
  <si>
    <t xml:space="preserve">ლეილა ალიევა </t>
  </si>
  <si>
    <t>მირ ჯამალ პაშაევი</t>
  </si>
  <si>
    <t>პარვინ მამმადოვ</t>
  </si>
  <si>
    <t>როვშან ალლაჰვერდიევ</t>
  </si>
  <si>
    <t>დირექტორთა საბჭოს თავჯდომარე</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</si>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</sst>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style="thin">
        <color theme="6" tint="-0.499984740745262"/>
      </left>
      <right/>
      <top style="thin">
        <color theme="6" tint="-0.499984740745262"/>
      </top>
      <bottom/>
      <diagonal/>
    </border>
    <border>
      <left style="thin">
        <color theme="6" tint="-0.499984740745262"/>
      </left>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8" applyNumberFormat="0" applyAlignment="0" applyProtection="0">
      <alignment horizontal="left" vertical="center"/>
    </xf>
    <xf numFmtId="0" fontId="54" fillId="0" borderId="28" applyNumberFormat="0" applyAlignment="0" applyProtection="0">
      <alignment horizontal="left" vertical="center"/>
    </xf>
    <xf numFmtId="168" fontId="54" fillId="0" borderId="28"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3" applyNumberFormat="0" applyFill="0" applyAlignment="0" applyProtection="0"/>
    <xf numFmtId="168" fontId="94" fillId="0" borderId="103" applyNumberFormat="0" applyFill="0" applyAlignment="0" applyProtection="0"/>
    <xf numFmtId="169" fontId="94" fillId="0" borderId="103" applyNumberFormat="0" applyFill="0" applyAlignment="0" applyProtection="0"/>
    <xf numFmtId="168" fontId="94" fillId="0" borderId="103" applyNumberFormat="0" applyFill="0" applyAlignment="0" applyProtection="0"/>
    <xf numFmtId="168" fontId="94" fillId="0" borderId="103" applyNumberFormat="0" applyFill="0" applyAlignment="0" applyProtection="0"/>
    <xf numFmtId="169" fontId="94" fillId="0" borderId="103" applyNumberFormat="0" applyFill="0" applyAlignment="0" applyProtection="0"/>
    <xf numFmtId="168" fontId="94" fillId="0" borderId="103" applyNumberFormat="0" applyFill="0" applyAlignment="0" applyProtection="0"/>
    <xf numFmtId="168" fontId="94" fillId="0" borderId="103" applyNumberFormat="0" applyFill="0" applyAlignment="0" applyProtection="0"/>
    <xf numFmtId="169" fontId="94" fillId="0" borderId="103" applyNumberFormat="0" applyFill="0" applyAlignment="0" applyProtection="0"/>
    <xf numFmtId="168" fontId="94" fillId="0" borderId="103" applyNumberFormat="0" applyFill="0" applyAlignment="0" applyProtection="0"/>
    <xf numFmtId="168" fontId="94" fillId="0" borderId="103" applyNumberFormat="0" applyFill="0" applyAlignment="0" applyProtection="0"/>
    <xf numFmtId="169" fontId="94" fillId="0" borderId="103" applyNumberFormat="0" applyFill="0" applyAlignment="0" applyProtection="0"/>
    <xf numFmtId="168"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69"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68"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68"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88" fontId="2" fillId="70" borderId="97" applyFont="0">
      <alignment horizontal="right" vertical="center"/>
    </xf>
    <xf numFmtId="3" fontId="2" fillId="70" borderId="97" applyFont="0">
      <alignment horizontal="right" vertical="center"/>
    </xf>
    <xf numFmtId="0" fontId="83" fillId="64" borderId="102" applyNumberFormat="0" applyAlignment="0" applyProtection="0"/>
    <xf numFmtId="168" fontId="85" fillId="64" borderId="102" applyNumberFormat="0" applyAlignment="0" applyProtection="0"/>
    <xf numFmtId="169" fontId="85" fillId="64" borderId="102" applyNumberFormat="0" applyAlignment="0" applyProtection="0"/>
    <xf numFmtId="168" fontId="85" fillId="64" borderId="102" applyNumberFormat="0" applyAlignment="0" applyProtection="0"/>
    <xf numFmtId="168" fontId="85" fillId="64" borderId="102" applyNumberFormat="0" applyAlignment="0" applyProtection="0"/>
    <xf numFmtId="169" fontId="85" fillId="64" borderId="102" applyNumberFormat="0" applyAlignment="0" applyProtection="0"/>
    <xf numFmtId="168" fontId="85" fillId="64" borderId="102" applyNumberFormat="0" applyAlignment="0" applyProtection="0"/>
    <xf numFmtId="168" fontId="85" fillId="64" borderId="102" applyNumberFormat="0" applyAlignment="0" applyProtection="0"/>
    <xf numFmtId="169" fontId="85" fillId="64" borderId="102" applyNumberFormat="0" applyAlignment="0" applyProtection="0"/>
    <xf numFmtId="168" fontId="85" fillId="64" borderId="102" applyNumberFormat="0" applyAlignment="0" applyProtection="0"/>
    <xf numFmtId="168" fontId="85" fillId="64" borderId="102" applyNumberFormat="0" applyAlignment="0" applyProtection="0"/>
    <xf numFmtId="169" fontId="85" fillId="64" borderId="102" applyNumberFormat="0" applyAlignment="0" applyProtection="0"/>
    <xf numFmtId="168"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169"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168"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168"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3" fontId="2" fillId="75" borderId="97" applyFont="0">
      <alignment horizontal="right" vertical="center"/>
      <protection locked="0"/>
    </xf>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3" fontId="2" fillId="72" borderId="97" applyFont="0">
      <alignment horizontal="right" vertical="center"/>
      <protection locked="0"/>
    </xf>
    <xf numFmtId="0" fontId="66" fillId="43" borderId="100" applyNumberFormat="0" applyAlignment="0" applyProtection="0"/>
    <xf numFmtId="168" fontId="68" fillId="43" borderId="100" applyNumberFormat="0" applyAlignment="0" applyProtection="0"/>
    <xf numFmtId="169" fontId="68" fillId="43" borderId="100" applyNumberFormat="0" applyAlignment="0" applyProtection="0"/>
    <xf numFmtId="168" fontId="68" fillId="43" borderId="100" applyNumberFormat="0" applyAlignment="0" applyProtection="0"/>
    <xf numFmtId="168" fontId="68" fillId="43" borderId="100" applyNumberFormat="0" applyAlignment="0" applyProtection="0"/>
    <xf numFmtId="169" fontId="68" fillId="43" borderId="100" applyNumberFormat="0" applyAlignment="0" applyProtection="0"/>
    <xf numFmtId="168" fontId="68" fillId="43" borderId="100" applyNumberFormat="0" applyAlignment="0" applyProtection="0"/>
    <xf numFmtId="168" fontId="68" fillId="43" borderId="100" applyNumberFormat="0" applyAlignment="0" applyProtection="0"/>
    <xf numFmtId="169" fontId="68" fillId="43" borderId="100" applyNumberFormat="0" applyAlignment="0" applyProtection="0"/>
    <xf numFmtId="168" fontId="68" fillId="43" borderId="100" applyNumberFormat="0" applyAlignment="0" applyProtection="0"/>
    <xf numFmtId="168" fontId="68" fillId="43" borderId="100" applyNumberFormat="0" applyAlignment="0" applyProtection="0"/>
    <xf numFmtId="169" fontId="68" fillId="43" borderId="100" applyNumberFormat="0" applyAlignment="0" applyProtection="0"/>
    <xf numFmtId="168"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169"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168"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168"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2" fillId="71" borderId="98"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2" fillId="70" borderId="98" applyFont="0" applyBorder="0">
      <alignment horizontal="center" wrapText="1"/>
    </xf>
    <xf numFmtId="168" fontId="54" fillId="0" borderId="95">
      <alignment horizontal="left" vertical="center"/>
    </xf>
    <xf numFmtId="0" fontId="54" fillId="0" borderId="95">
      <alignment horizontal="left" vertical="center"/>
    </xf>
    <xf numFmtId="0" fontId="54" fillId="0" borderId="95">
      <alignment horizontal="left" vertical="center"/>
    </xf>
    <xf numFmtId="0" fontId="2" fillId="69" borderId="97" applyNumberFormat="0" applyFont="0" applyBorder="0" applyProtection="0">
      <alignment horizontal="center" vertical="center"/>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8" fillId="64" borderId="100" applyNumberFormat="0" applyAlignment="0" applyProtection="0"/>
    <xf numFmtId="168" fontId="40" fillId="64" borderId="100" applyNumberFormat="0" applyAlignment="0" applyProtection="0"/>
    <xf numFmtId="169" fontId="40" fillId="64" borderId="100" applyNumberFormat="0" applyAlignment="0" applyProtection="0"/>
    <xf numFmtId="168" fontId="40" fillId="64" borderId="100" applyNumberFormat="0" applyAlignment="0" applyProtection="0"/>
    <xf numFmtId="168" fontId="40" fillId="64" borderId="100" applyNumberFormat="0" applyAlignment="0" applyProtection="0"/>
    <xf numFmtId="169" fontId="40" fillId="64" borderId="100" applyNumberFormat="0" applyAlignment="0" applyProtection="0"/>
    <xf numFmtId="168" fontId="40" fillId="64" borderId="100" applyNumberFormat="0" applyAlignment="0" applyProtection="0"/>
    <xf numFmtId="168" fontId="40" fillId="64" borderId="100" applyNumberFormat="0" applyAlignment="0" applyProtection="0"/>
    <xf numFmtId="169" fontId="40" fillId="64" borderId="100" applyNumberFormat="0" applyAlignment="0" applyProtection="0"/>
    <xf numFmtId="168" fontId="40" fillId="64" borderId="100" applyNumberFormat="0" applyAlignment="0" applyProtection="0"/>
    <xf numFmtId="168" fontId="40" fillId="64" borderId="100" applyNumberFormat="0" applyAlignment="0" applyProtection="0"/>
    <xf numFmtId="169" fontId="40" fillId="64" borderId="100" applyNumberFormat="0" applyAlignment="0" applyProtection="0"/>
    <xf numFmtId="168"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169"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168"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168"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21">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5" xfId="0" applyFont="1" applyBorder="1"/>
    <xf numFmtId="0" fontId="12" fillId="0" borderId="0" xfId="0" applyFont="1"/>
    <xf numFmtId="0" fontId="9" fillId="0" borderId="0" xfId="0" applyFont="1" applyAlignment="1">
      <alignment horizontal="right" wrapText="1"/>
    </xf>
    <xf numFmtId="0" fontId="9" fillId="0" borderId="18" xfId="0" applyFont="1" applyBorder="1" applyAlignment="1">
      <alignment vertical="center"/>
    </xf>
    <xf numFmtId="0" fontId="9" fillId="0" borderId="21"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0"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13" fillId="0" borderId="24"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8"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8"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0" fontId="4" fillId="0" borderId="15" xfId="0" applyFont="1" applyBorder="1"/>
    <xf numFmtId="0" fontId="4" fillId="0" borderId="17" xfId="0" applyFont="1" applyBorder="1"/>
    <xf numFmtId="0" fontId="7" fillId="3" borderId="21" xfId="9" applyFont="1" applyFill="1" applyBorder="1" applyAlignment="1" applyProtection="1">
      <alignment horizontal="left" vertical="center"/>
      <protection locked="0"/>
    </xf>
    <xf numFmtId="0" fontId="15" fillId="3" borderId="23"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0" borderId="0" xfId="11" applyFont="1" applyAlignment="1">
      <alignment vertical="center"/>
    </xf>
    <xf numFmtId="0" fontId="4" fillId="0" borderId="18" xfId="0" applyFont="1" applyBorder="1" applyAlignment="1">
      <alignment vertical="center"/>
    </xf>
    <xf numFmtId="0" fontId="9" fillId="2" borderId="21" xfId="0" applyFont="1" applyFill="1" applyBorder="1" applyAlignment="1">
      <alignment horizontal="right" vertical="center"/>
    </xf>
    <xf numFmtId="0" fontId="4" fillId="0" borderId="53" xfId="0" applyFont="1" applyBorder="1"/>
    <xf numFmtId="0" fontId="20" fillId="0" borderId="21" xfId="0" applyFont="1" applyBorder="1" applyAlignment="1">
      <alignment horizontal="center" vertical="center" wrapText="1"/>
    </xf>
    <xf numFmtId="0" fontId="4" fillId="0" borderId="54" xfId="0" applyFont="1" applyBorder="1"/>
    <xf numFmtId="0" fontId="7" fillId="0" borderId="15"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7" xfId="2" applyNumberFormat="1" applyFont="1" applyFill="1" applyBorder="1" applyAlignment="1" applyProtection="1">
      <alignment horizontal="center" vertical="center"/>
      <protection locked="0"/>
    </xf>
    <xf numFmtId="0" fontId="7" fillId="0" borderId="18"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8" xfId="9" applyFont="1" applyBorder="1" applyAlignment="1" applyProtection="1">
      <alignment horizontal="center" vertical="center" wrapText="1"/>
      <protection locked="0"/>
    </xf>
    <xf numFmtId="0" fontId="15" fillId="36" borderId="22" xfId="13" applyFont="1" applyFill="1" applyBorder="1" applyAlignment="1" applyProtection="1">
      <alignment vertical="center" wrapText="1"/>
      <protection locked="0"/>
    </xf>
    <xf numFmtId="167" fontId="23" fillId="0" borderId="58" xfId="0" applyNumberFormat="1" applyFont="1" applyBorder="1" applyAlignment="1">
      <alignment horizontal="center"/>
    </xf>
    <xf numFmtId="167" fontId="23" fillId="0" borderId="56" xfId="0" applyNumberFormat="1" applyFont="1" applyBorder="1" applyAlignment="1">
      <alignment horizontal="center"/>
    </xf>
    <xf numFmtId="167" fontId="19" fillId="0" borderId="56" xfId="0" applyNumberFormat="1" applyFont="1" applyBorder="1" applyAlignment="1">
      <alignment horizontal="center"/>
    </xf>
    <xf numFmtId="167" fontId="23" fillId="0" borderId="59" xfId="0" applyNumberFormat="1" applyFont="1" applyBorder="1" applyAlignment="1">
      <alignment horizontal="center"/>
    </xf>
    <xf numFmtId="167" fontId="23" fillId="0" borderId="60"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1" xfId="0" applyFont="1" applyBorder="1"/>
    <xf numFmtId="0" fontId="4" fillId="0" borderId="16" xfId="0" applyFont="1" applyBorder="1"/>
    <xf numFmtId="0" fontId="4" fillId="0" borderId="21" xfId="0" applyFont="1" applyBorder="1"/>
    <xf numFmtId="0" fontId="7" fillId="3" borderId="18" xfId="5" applyFont="1" applyFill="1" applyBorder="1" applyAlignment="1" applyProtection="1">
      <alignment horizontal="right" vertical="center"/>
      <protection locked="0"/>
    </xf>
    <xf numFmtId="0" fontId="15" fillId="3" borderId="22" xfId="16" applyFont="1" applyFill="1" applyBorder="1" applyProtection="1">
      <protection locked="0"/>
    </xf>
    <xf numFmtId="0" fontId="4" fillId="0" borderId="16" xfId="0" applyFont="1" applyBorder="1" applyAlignment="1">
      <alignment wrapText="1"/>
    </xf>
    <xf numFmtId="0" fontId="4" fillId="0" borderId="17" xfId="0" applyFont="1" applyBorder="1" applyAlignment="1">
      <alignment wrapText="1"/>
    </xf>
    <xf numFmtId="0" fontId="6" fillId="0" borderId="22" xfId="0" applyFont="1" applyBorder="1"/>
    <xf numFmtId="0" fontId="9" fillId="3" borderId="18" xfId="5" applyFont="1" applyFill="1" applyBorder="1" applyAlignment="1" applyProtection="1">
      <alignment horizontal="left" vertical="center"/>
      <protection locked="0"/>
    </xf>
    <xf numFmtId="0" fontId="9" fillId="3" borderId="19" xfId="13" applyFont="1" applyFill="1" applyBorder="1" applyAlignment="1" applyProtection="1">
      <alignment horizontal="center" vertical="center" wrapText="1"/>
      <protection locked="0"/>
    </xf>
    <xf numFmtId="0" fontId="9" fillId="3" borderId="18" xfId="5" applyFont="1" applyFill="1" applyBorder="1" applyAlignment="1" applyProtection="1">
      <alignment horizontal="right" vertical="center"/>
      <protection locked="0"/>
    </xf>
    <xf numFmtId="3" fontId="9" fillId="36" borderId="19" xfId="5" applyNumberFormat="1" applyFont="1" applyFill="1" applyBorder="1" applyProtection="1">
      <protection locked="0"/>
    </xf>
    <xf numFmtId="0" fontId="9" fillId="3" borderId="21" xfId="9" applyFont="1" applyFill="1" applyBorder="1" applyAlignment="1" applyProtection="1">
      <alignment horizontal="right" vertical="center"/>
      <protection locked="0"/>
    </xf>
    <xf numFmtId="0" fontId="10" fillId="3" borderId="22" xfId="16" applyFont="1" applyFill="1" applyBorder="1" applyProtection="1">
      <protection locked="0"/>
    </xf>
    <xf numFmtId="3" fontId="10" fillId="36" borderId="22" xfId="16" applyNumberFormat="1" applyFont="1" applyFill="1" applyBorder="1" applyProtection="1">
      <protection locked="0"/>
    </xf>
    <xf numFmtId="164" fontId="10" fillId="36" borderId="23"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9"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6"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5" xfId="0" applyBorder="1" applyAlignment="1">
      <alignment horizontal="center" vertical="center"/>
    </xf>
    <xf numFmtId="0" fontId="6" fillId="36" borderId="26"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1"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1"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4" xfId="0" applyNumberFormat="1" applyFont="1" applyBorder="1" applyAlignment="1">
      <alignment horizontal="right" vertical="center"/>
    </xf>
    <xf numFmtId="49" fontId="106" fillId="0" borderId="77" xfId="0" applyNumberFormat="1" applyFont="1" applyBorder="1" applyAlignment="1">
      <alignment horizontal="right" vertical="center"/>
    </xf>
    <xf numFmtId="49" fontId="106" fillId="0" borderId="82" xfId="0" applyNumberFormat="1" applyFont="1" applyBorder="1" applyAlignment="1">
      <alignment horizontal="right" vertical="center"/>
    </xf>
    <xf numFmtId="0" fontId="106" fillId="0" borderId="0" xfId="0" applyFont="1" applyAlignment="1">
      <alignment horizontal="left"/>
    </xf>
    <xf numFmtId="0" fontId="106" fillId="0" borderId="82"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2" xfId="0" applyNumberFormat="1" applyFont="1" applyFill="1" applyBorder="1" applyAlignment="1" applyProtection="1">
      <alignment vertical="center"/>
      <protection locked="0"/>
    </xf>
    <xf numFmtId="3" fontId="21" fillId="36" borderId="22" xfId="0" applyNumberFormat="1" applyFont="1" applyFill="1" applyBorder="1" applyAlignment="1">
      <alignment vertical="center" wrapText="1"/>
    </xf>
    <xf numFmtId="3" fontId="21" fillId="36" borderId="23" xfId="0" applyNumberFormat="1" applyFont="1" applyFill="1" applyBorder="1" applyAlignment="1">
      <alignment vertical="center" wrapText="1"/>
    </xf>
    <xf numFmtId="193" fontId="0" fillId="36" borderId="17" xfId="0" applyNumberFormat="1" applyFill="1" applyBorder="1" applyAlignment="1">
      <alignment horizontal="center" vertical="center"/>
    </xf>
    <xf numFmtId="193" fontId="0" fillId="0" borderId="19" xfId="0" applyNumberFormat="1" applyBorder="1"/>
    <xf numFmtId="193" fontId="0" fillId="0" borderId="19" xfId="0" applyNumberFormat="1" applyBorder="1" applyAlignment="1">
      <alignment wrapText="1"/>
    </xf>
    <xf numFmtId="193" fontId="0" fillId="36" borderId="19" xfId="0" applyNumberFormat="1" applyFill="1" applyBorder="1" applyAlignment="1">
      <alignment horizontal="center" vertical="center" wrapText="1"/>
    </xf>
    <xf numFmtId="193" fontId="0" fillId="36" borderId="23" xfId="0" applyNumberFormat="1" applyFill="1" applyBorder="1" applyAlignment="1">
      <alignment horizontal="center" vertical="center" wrapText="1"/>
    </xf>
    <xf numFmtId="193" fontId="7" fillId="36" borderId="19" xfId="2" applyNumberFormat="1" applyFont="1" applyFill="1" applyBorder="1" applyAlignment="1" applyProtection="1">
      <alignment vertical="top"/>
    </xf>
    <xf numFmtId="193" fontId="7" fillId="36" borderId="19" xfId="2" applyNumberFormat="1" applyFont="1" applyFill="1" applyBorder="1" applyAlignment="1" applyProtection="1">
      <alignment vertical="top" wrapText="1"/>
    </xf>
    <xf numFmtId="193" fontId="7" fillId="3" borderId="19" xfId="2" applyNumberFormat="1" applyFont="1" applyFill="1" applyBorder="1" applyAlignment="1" applyProtection="1">
      <alignment vertical="top" wrapText="1"/>
      <protection locked="0"/>
    </xf>
    <xf numFmtId="193" fontId="7" fillId="36" borderId="19"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xf>
    <xf numFmtId="193" fontId="4" fillId="0" borderId="3" xfId="0" applyNumberFormat="1" applyFont="1" applyBorder="1"/>
    <xf numFmtId="193" fontId="4" fillId="36" borderId="22" xfId="0" applyNumberFormat="1" applyFont="1" applyFill="1" applyBorder="1"/>
    <xf numFmtId="193" fontId="4" fillId="0" borderId="18" xfId="0" applyNumberFormat="1" applyFont="1" applyBorder="1"/>
    <xf numFmtId="193" fontId="4" fillId="0" borderId="19" xfId="0" applyNumberFormat="1" applyFont="1" applyBorder="1"/>
    <xf numFmtId="193" fontId="4" fillId="36" borderId="50" xfId="0" applyNumberFormat="1" applyFont="1" applyFill="1" applyBorder="1"/>
    <xf numFmtId="193" fontId="4" fillId="36" borderId="21" xfId="0" applyNumberFormat="1" applyFont="1" applyFill="1" applyBorder="1"/>
    <xf numFmtId="193" fontId="4" fillId="36" borderId="23" xfId="0" applyNumberFormat="1" applyFont="1" applyFill="1" applyBorder="1"/>
    <xf numFmtId="193" fontId="4" fillId="36" borderId="51"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2"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2" xfId="1" applyNumberFormat="1" applyFont="1" applyFill="1" applyBorder="1" applyAlignment="1" applyProtection="1">
      <protection locked="0"/>
    </xf>
    <xf numFmtId="193" fontId="9" fillId="3" borderId="22" xfId="5" applyNumberFormat="1" applyFont="1" applyFill="1" applyBorder="1" applyProtection="1">
      <protection locked="0"/>
    </xf>
    <xf numFmtId="193" fontId="23" fillId="0" borderId="0" xfId="0" applyNumberFormat="1" applyFont="1"/>
    <xf numFmtId="0" fontId="4" fillId="0" borderId="25" xfId="0" applyFont="1" applyBorder="1" applyAlignment="1">
      <alignment horizontal="center" vertical="center"/>
    </xf>
    <xf numFmtId="193" fontId="4" fillId="0" borderId="8" xfId="0" applyNumberFormat="1" applyFont="1" applyBorder="1"/>
    <xf numFmtId="0" fontId="4" fillId="0" borderId="25" xfId="0" applyFont="1" applyBorder="1" applyAlignment="1">
      <alignment wrapText="1"/>
    </xf>
    <xf numFmtId="193" fontId="4" fillId="0" borderId="20" xfId="0" applyNumberFormat="1" applyFont="1" applyBorder="1"/>
    <xf numFmtId="193" fontId="4" fillId="0" borderId="20"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19" xfId="20961" applyFont="1" applyBorder="1"/>
    <xf numFmtId="9" fontId="4" fillId="36" borderId="23" xfId="20961" applyFont="1" applyFill="1" applyBorder="1"/>
    <xf numFmtId="167" fontId="4" fillId="0" borderId="19" xfId="0" applyNumberFormat="1" applyFont="1" applyBorder="1"/>
    <xf numFmtId="0" fontId="4" fillId="36" borderId="23" xfId="0" applyFont="1" applyFill="1" applyBorder="1"/>
    <xf numFmtId="167" fontId="6" fillId="36" borderId="22" xfId="0" applyNumberFormat="1" applyFont="1" applyFill="1" applyBorder="1" applyAlignment="1">
      <alignment horizontal="center" vertical="center"/>
    </xf>
    <xf numFmtId="0" fontId="9" fillId="0" borderId="15" xfId="0" applyFont="1" applyBorder="1" applyAlignment="1">
      <alignment horizontal="right" vertical="center" wrapText="1"/>
    </xf>
    <xf numFmtId="0" fontId="7" fillId="0" borderId="16" xfId="0" applyFont="1" applyBorder="1" applyAlignment="1">
      <alignment vertical="center" wrapText="1"/>
    </xf>
    <xf numFmtId="169" fontId="26" fillId="37" borderId="0" xfId="20"/>
    <xf numFmtId="169" fontId="26" fillId="37" borderId="90" xfId="20" applyBorder="1"/>
    <xf numFmtId="0" fontId="4" fillId="0" borderId="7" xfId="0" applyFont="1" applyBorder="1" applyAlignment="1">
      <alignment vertical="center"/>
    </xf>
    <xf numFmtId="0" fontId="4" fillId="0" borderId="97" xfId="0" applyFont="1" applyBorder="1" applyAlignment="1">
      <alignment vertical="center"/>
    </xf>
    <xf numFmtId="0" fontId="6" fillId="0" borderId="97" xfId="0" applyFont="1" applyBorder="1" applyAlignment="1">
      <alignment vertical="center"/>
    </xf>
    <xf numFmtId="0" fontId="4" fillId="0" borderId="16" xfId="0" applyFont="1" applyBorder="1" applyAlignment="1">
      <alignment vertical="center"/>
    </xf>
    <xf numFmtId="0" fontId="4" fillId="0" borderId="92" xfId="0" applyFont="1" applyBorder="1" applyAlignment="1">
      <alignment vertical="center"/>
    </xf>
    <xf numFmtId="0" fontId="4" fillId="0" borderId="94" xfId="0" applyFont="1" applyBorder="1" applyAlignment="1">
      <alignment vertical="center"/>
    </xf>
    <xf numFmtId="0" fontId="4" fillId="0" borderId="15" xfId="0" applyFont="1" applyBorder="1" applyAlignment="1">
      <alignment horizontal="center" vertical="center"/>
    </xf>
    <xf numFmtId="0" fontId="4" fillId="0" borderId="105" xfId="0" applyFont="1" applyBorder="1" applyAlignment="1">
      <alignment horizontal="center" vertical="center"/>
    </xf>
    <xf numFmtId="0" fontId="4" fillId="0" borderId="107" xfId="0" applyFont="1" applyBorder="1" applyAlignment="1">
      <alignment horizontal="center" vertical="center"/>
    </xf>
    <xf numFmtId="169" fontId="26" fillId="37" borderId="28" xfId="20" applyBorder="1"/>
    <xf numFmtId="169" fontId="26" fillId="37" borderId="108" xfId="20" applyBorder="1"/>
    <xf numFmtId="169" fontId="26" fillId="37" borderId="99" xfId="20" applyBorder="1"/>
    <xf numFmtId="169" fontId="26" fillId="37" borderId="54" xfId="20" applyBorder="1"/>
    <xf numFmtId="0" fontId="4" fillId="3" borderId="61" xfId="0" applyFont="1" applyFill="1" applyBorder="1" applyAlignment="1">
      <alignment horizontal="center" vertical="center"/>
    </xf>
    <xf numFmtId="0" fontId="4" fillId="3" borderId="0" xfId="0" applyFont="1" applyFill="1" applyAlignment="1">
      <alignment vertical="center"/>
    </xf>
    <xf numFmtId="0" fontId="4" fillId="0" borderId="67" xfId="0" applyFont="1" applyBorder="1" applyAlignment="1">
      <alignment horizontal="center" vertical="center"/>
    </xf>
    <xf numFmtId="0" fontId="4" fillId="3" borderId="95"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97" xfId="0" applyFont="1" applyBorder="1" applyAlignment="1">
      <alignment horizontal="center" vertical="center" wrapText="1"/>
    </xf>
    <xf numFmtId="0" fontId="106" fillId="0" borderId="84" xfId="0" applyFont="1" applyBorder="1" applyAlignment="1">
      <alignment horizontal="right" vertical="center"/>
    </xf>
    <xf numFmtId="0" fontId="4" fillId="0" borderId="111" xfId="0" applyFont="1" applyBorder="1" applyAlignment="1">
      <alignment horizontal="center" vertical="center" wrapText="1"/>
    </xf>
    <xf numFmtId="0" fontId="6" fillId="3" borderId="112" xfId="0" applyFont="1" applyFill="1" applyBorder="1" applyAlignment="1">
      <alignment vertical="center"/>
    </xf>
    <xf numFmtId="0" fontId="4" fillId="3" borderId="20" xfId="0" applyFont="1" applyFill="1" applyBorder="1" applyAlignment="1">
      <alignment vertical="center"/>
    </xf>
    <xf numFmtId="0" fontId="4" fillId="0" borderId="113" xfId="0" applyFont="1" applyBorder="1" applyAlignment="1">
      <alignment horizontal="center" vertical="center"/>
    </xf>
    <xf numFmtId="0" fontId="6" fillId="0" borderId="22" xfId="0" applyFont="1" applyBorder="1" applyAlignment="1">
      <alignment vertical="center"/>
    </xf>
    <xf numFmtId="169" fontId="26" fillId="37" borderId="24" xfId="20" applyBorder="1"/>
    <xf numFmtId="0" fontId="4" fillId="0" borderId="7" xfId="0" applyFont="1" applyBorder="1" applyAlignment="1">
      <alignment horizontal="center" vertical="center" wrapText="1"/>
    </xf>
    <xf numFmtId="0" fontId="4" fillId="0" borderId="62" xfId="0" applyFont="1" applyBorder="1" applyAlignment="1">
      <alignment horizontal="center" vertical="center" wrapText="1"/>
    </xf>
    <xf numFmtId="0" fontId="7" fillId="0" borderId="15" xfId="11" applyFont="1" applyBorder="1" applyAlignment="1">
      <alignment vertical="center"/>
    </xf>
    <xf numFmtId="0" fontId="7" fillId="0" borderId="16" xfId="11" applyFont="1" applyBorder="1" applyAlignment="1">
      <alignment vertical="center"/>
    </xf>
    <xf numFmtId="0" fontId="15" fillId="0" borderId="17" xfId="11" applyFont="1" applyBorder="1" applyAlignment="1">
      <alignment horizontal="center" vertical="center"/>
    </xf>
    <xf numFmtId="0" fontId="0" fillId="0" borderId="113" xfId="0" applyBorder="1"/>
    <xf numFmtId="0" fontId="0" fillId="0" borderId="21" xfId="0" applyBorder="1"/>
    <xf numFmtId="0" fontId="6" fillId="36" borderId="114" xfId="0" applyFont="1" applyFill="1" applyBorder="1" applyAlignment="1">
      <alignment vertical="center" wrapText="1"/>
    </xf>
    <xf numFmtId="0" fontId="7" fillId="0" borderId="0" xfId="0" applyFont="1" applyAlignment="1">
      <alignment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7"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Border="1" applyAlignment="1">
      <alignment horizontal="right" vertical="center" wrapText="1"/>
    </xf>
    <xf numFmtId="0" fontId="4" fillId="0" borderId="97" xfId="0" applyFont="1" applyBorder="1" applyAlignment="1">
      <alignment horizontal="left" vertical="center" wrapText="1"/>
    </xf>
    <xf numFmtId="0" fontId="109" fillId="0" borderId="113" xfId="0" applyFont="1" applyBorder="1" applyAlignment="1">
      <alignment horizontal="right" vertical="center" wrapText="1"/>
    </xf>
    <xf numFmtId="0" fontId="109" fillId="0" borderId="97" xfId="0" applyFont="1" applyBorder="1" applyAlignment="1">
      <alignment horizontal="left" vertical="center" wrapText="1"/>
    </xf>
    <xf numFmtId="0" fontId="6" fillId="0" borderId="113"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1" xfId="5" applyNumberFormat="1" applyFont="1" applyBorder="1" applyAlignment="1" applyProtection="1">
      <alignment horizontal="left" vertical="center"/>
      <protection locked="0"/>
    </xf>
    <xf numFmtId="0" fontId="111" fillId="0" borderId="22" xfId="9" applyFont="1" applyBorder="1" applyAlignment="1" applyProtection="1">
      <alignment horizontal="left" vertical="center" wrapText="1"/>
      <protection locked="0"/>
    </xf>
    <xf numFmtId="0" fontId="20" fillId="0" borderId="113" xfId="0" applyFont="1" applyBorder="1" applyAlignment="1">
      <alignment horizontal="center" vertical="center" wrapText="1"/>
    </xf>
    <xf numFmtId="3" fontId="21" fillId="36" borderId="97" xfId="0" applyNumberFormat="1" applyFont="1" applyFill="1" applyBorder="1" applyAlignment="1">
      <alignment vertical="center" wrapText="1"/>
    </xf>
    <xf numFmtId="3" fontId="21" fillId="36" borderId="111" xfId="0" applyNumberFormat="1" applyFont="1" applyFill="1" applyBorder="1" applyAlignment="1">
      <alignment vertical="center" wrapText="1"/>
    </xf>
    <xf numFmtId="14" fontId="7" fillId="3" borderId="97" xfId="8" quotePrefix="1" applyNumberFormat="1" applyFont="1" applyFill="1" applyBorder="1" applyAlignment="1" applyProtection="1">
      <alignment horizontal="left" vertical="center" wrapText="1" indent="2"/>
      <protection locked="0"/>
    </xf>
    <xf numFmtId="3" fontId="21" fillId="0" borderId="97" xfId="0" applyNumberFormat="1" applyFont="1" applyBorder="1" applyAlignment="1">
      <alignment vertical="center" wrapText="1"/>
    </xf>
    <xf numFmtId="14" fontId="7" fillId="3" borderId="97" xfId="8" quotePrefix="1" applyNumberFormat="1" applyFont="1" applyFill="1" applyBorder="1" applyAlignment="1" applyProtection="1">
      <alignment horizontal="left" vertical="center" wrapText="1" indent="3"/>
      <protection locked="0"/>
    </xf>
    <xf numFmtId="0" fontId="11" fillId="0" borderId="97" xfId="17" applyFill="1" applyBorder="1" applyAlignment="1" applyProtection="1"/>
    <xf numFmtId="49" fontId="109" fillId="0" borderId="113" xfId="0" applyNumberFormat="1" applyFont="1" applyBorder="1" applyAlignment="1">
      <alignment horizontal="right" vertical="center" wrapText="1"/>
    </xf>
    <xf numFmtId="0" fontId="7" fillId="3" borderId="97" xfId="20960" applyFont="1" applyFill="1" applyBorder="1"/>
    <xf numFmtId="0" fontId="103" fillId="0" borderId="97" xfId="20960" applyFont="1" applyBorder="1" applyAlignment="1">
      <alignment horizontal="center" vertical="center"/>
    </xf>
    <xf numFmtId="0" fontId="4" fillId="0" borderId="97" xfId="0" applyFont="1" applyBorder="1"/>
    <xf numFmtId="0" fontId="11" fillId="0" borderId="97" xfId="17" applyFill="1" applyBorder="1" applyAlignment="1" applyProtection="1">
      <alignment horizontal="left" vertical="center" wrapText="1"/>
    </xf>
    <xf numFmtId="49" fontId="109" fillId="0" borderId="97" xfId="0" applyNumberFormat="1" applyFont="1" applyBorder="1" applyAlignment="1">
      <alignment horizontal="right" vertical="center" wrapText="1"/>
    </xf>
    <xf numFmtId="0" fontId="11" fillId="0" borderId="97" xfId="17" applyFill="1" applyBorder="1" applyAlignment="1" applyProtection="1">
      <alignment horizontal="left" vertical="center"/>
    </xf>
    <xf numFmtId="0" fontId="112" fillId="78" borderId="98" xfId="21412" applyFont="1" applyFill="1" applyBorder="1" applyAlignment="1" applyProtection="1">
      <alignment vertical="center" wrapText="1"/>
      <protection locked="0"/>
    </xf>
    <xf numFmtId="0" fontId="113" fillId="70" borderId="92" xfId="21412" applyFont="1" applyFill="1" applyBorder="1" applyAlignment="1" applyProtection="1">
      <alignment horizontal="center" vertical="center"/>
      <protection locked="0"/>
    </xf>
    <xf numFmtId="0" fontId="112" fillId="79" borderId="97" xfId="21412" applyFont="1" applyFill="1" applyBorder="1" applyAlignment="1" applyProtection="1">
      <alignment horizontal="center" vertical="center"/>
      <protection locked="0"/>
    </xf>
    <xf numFmtId="0" fontId="112" fillId="78" borderId="98" xfId="21412" applyFont="1" applyFill="1" applyBorder="1" applyProtection="1">
      <alignment vertical="center"/>
      <protection locked="0"/>
    </xf>
    <xf numFmtId="0" fontId="114" fillId="70" borderId="92" xfId="21412" applyFont="1" applyFill="1" applyBorder="1" applyAlignment="1" applyProtection="1">
      <alignment horizontal="center" vertical="center"/>
      <protection locked="0"/>
    </xf>
    <xf numFmtId="0" fontId="114" fillId="3" borderId="92" xfId="21412" applyFont="1" applyFill="1" applyBorder="1" applyAlignment="1" applyProtection="1">
      <alignment horizontal="center" vertical="center"/>
      <protection locked="0"/>
    </xf>
    <xf numFmtId="0" fontId="114" fillId="0" borderId="92" xfId="21412" applyFont="1" applyBorder="1" applyAlignment="1" applyProtection="1">
      <alignment horizontal="center" vertical="center"/>
      <protection locked="0"/>
    </xf>
    <xf numFmtId="0" fontId="115" fillId="79" borderId="97" xfId="21412" applyFont="1" applyFill="1" applyBorder="1" applyAlignment="1" applyProtection="1">
      <alignment horizontal="center" vertical="center"/>
      <protection locked="0"/>
    </xf>
    <xf numFmtId="0" fontId="112" fillId="78" borderId="98" xfId="21412" applyFont="1" applyFill="1" applyBorder="1" applyAlignment="1" applyProtection="1">
      <alignment horizontal="center" vertical="center"/>
      <protection locked="0"/>
    </xf>
    <xf numFmtId="0" fontId="62" fillId="78" borderId="98" xfId="21412" applyFont="1" applyFill="1" applyBorder="1" applyProtection="1">
      <alignment vertical="center"/>
      <protection locked="0"/>
    </xf>
    <xf numFmtId="0" fontId="114" fillId="70" borderId="97" xfId="21412" applyFont="1" applyFill="1" applyBorder="1" applyAlignment="1" applyProtection="1">
      <alignment horizontal="center" vertical="center"/>
      <protection locked="0"/>
    </xf>
    <xf numFmtId="0" fontId="36" fillId="70" borderId="97" xfId="21412" applyFont="1" applyFill="1" applyBorder="1" applyAlignment="1" applyProtection="1">
      <alignment horizontal="center" vertical="center"/>
      <protection locked="0"/>
    </xf>
    <xf numFmtId="0" fontId="62" fillId="78" borderId="96" xfId="21412" applyFont="1" applyFill="1" applyBorder="1" applyProtection="1">
      <alignment vertical="center"/>
      <protection locked="0"/>
    </xf>
    <xf numFmtId="0" fontId="113" fillId="0" borderId="96" xfId="21412" applyFont="1" applyBorder="1" applyAlignment="1" applyProtection="1">
      <alignment horizontal="left" vertical="center" wrapText="1"/>
      <protection locked="0"/>
    </xf>
    <xf numFmtId="164" fontId="113" fillId="0" borderId="97" xfId="948" applyNumberFormat="1" applyFont="1" applyFill="1" applyBorder="1" applyAlignment="1" applyProtection="1">
      <alignment horizontal="right" vertical="center"/>
      <protection locked="0"/>
    </xf>
    <xf numFmtId="0" fontId="112" fillId="79" borderId="96" xfId="21412" applyFont="1" applyFill="1" applyBorder="1" applyAlignment="1" applyProtection="1">
      <alignment vertical="top" wrapText="1"/>
      <protection locked="0"/>
    </xf>
    <xf numFmtId="164" fontId="113" fillId="79" borderId="97" xfId="948" applyNumberFormat="1" applyFont="1" applyFill="1" applyBorder="1" applyAlignment="1" applyProtection="1">
      <alignment horizontal="right" vertical="center"/>
    </xf>
    <xf numFmtId="164" fontId="62" fillId="78" borderId="96" xfId="948" applyNumberFormat="1" applyFont="1" applyFill="1" applyBorder="1" applyAlignment="1" applyProtection="1">
      <alignment horizontal="right" vertical="center"/>
      <protection locked="0"/>
    </xf>
    <xf numFmtId="0" fontId="113" fillId="70" borderId="96" xfId="21412" applyFont="1" applyFill="1" applyBorder="1" applyAlignment="1" applyProtection="1">
      <alignment vertical="center" wrapText="1"/>
      <protection locked="0"/>
    </xf>
    <xf numFmtId="0" fontId="113" fillId="70" borderId="96" xfId="21412" applyFont="1" applyFill="1" applyBorder="1" applyAlignment="1" applyProtection="1">
      <alignment horizontal="left" vertical="center" wrapText="1"/>
      <protection locked="0"/>
    </xf>
    <xf numFmtId="0" fontId="113" fillId="0" borderId="96" xfId="21412" applyFont="1" applyBorder="1" applyAlignment="1" applyProtection="1">
      <alignment vertical="center" wrapText="1"/>
      <protection locked="0"/>
    </xf>
    <xf numFmtId="0" fontId="113" fillId="3" borderId="96" xfId="21412" applyFont="1" applyFill="1" applyBorder="1" applyAlignment="1" applyProtection="1">
      <alignment horizontal="left" vertical="center" wrapText="1"/>
      <protection locked="0"/>
    </xf>
    <xf numFmtId="0" fontId="112" fillId="79" borderId="96" xfId="21412" applyFont="1" applyFill="1" applyBorder="1" applyAlignment="1" applyProtection="1">
      <alignment vertical="center" wrapText="1"/>
      <protection locked="0"/>
    </xf>
    <xf numFmtId="164" fontId="112" fillId="78" borderId="96" xfId="948" applyNumberFormat="1" applyFont="1" applyFill="1" applyBorder="1" applyAlignment="1" applyProtection="1">
      <alignment horizontal="right" vertical="center"/>
      <protection locked="0"/>
    </xf>
    <xf numFmtId="164" fontId="113" fillId="3" borderId="97" xfId="948" applyNumberFormat="1" applyFont="1" applyFill="1" applyBorder="1" applyAlignment="1" applyProtection="1">
      <alignment horizontal="right" vertical="center"/>
      <protection locked="0"/>
    </xf>
    <xf numFmtId="10" fontId="7" fillId="0" borderId="97" xfId="20961" applyNumberFormat="1" applyFont="1" applyFill="1" applyBorder="1" applyAlignment="1">
      <alignment horizontal="left" vertical="center" wrapText="1"/>
    </xf>
    <xf numFmtId="10" fontId="4" fillId="0" borderId="97" xfId="20961" applyNumberFormat="1" applyFont="1" applyFill="1" applyBorder="1" applyAlignment="1">
      <alignment horizontal="left" vertical="center" wrapText="1"/>
    </xf>
    <xf numFmtId="10" fontId="6" fillId="36" borderId="97" xfId="0" applyNumberFormat="1" applyFont="1" applyFill="1" applyBorder="1" applyAlignment="1">
      <alignment horizontal="left" vertical="center" wrapText="1"/>
    </xf>
    <xf numFmtId="10" fontId="109" fillId="0" borderId="97" xfId="20961" applyNumberFormat="1" applyFont="1" applyFill="1" applyBorder="1" applyAlignment="1">
      <alignment horizontal="left" vertical="center" wrapText="1"/>
    </xf>
    <xf numFmtId="10" fontId="6" fillId="36" borderId="97" xfId="20961" applyNumberFormat="1" applyFont="1" applyFill="1" applyBorder="1" applyAlignment="1">
      <alignment horizontal="left" vertical="center" wrapText="1"/>
    </xf>
    <xf numFmtId="10" fontId="6" fillId="36" borderId="97" xfId="0" applyNumberFormat="1" applyFont="1" applyFill="1" applyBorder="1" applyAlignment="1">
      <alignment horizontal="center" vertical="center" wrapText="1"/>
    </xf>
    <xf numFmtId="10" fontId="111" fillId="0" borderId="22"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5" xfId="0" applyFont="1" applyBorder="1" applyAlignment="1">
      <alignment horizontal="center" wrapText="1"/>
    </xf>
    <xf numFmtId="0" fontId="10" fillId="0" borderId="8" xfId="0" applyFont="1" applyBorder="1" applyAlignment="1">
      <alignment horizontal="center" vertical="center" wrapText="1"/>
    </xf>
    <xf numFmtId="0" fontId="9" fillId="0" borderId="113" xfId="0" applyFont="1" applyBorder="1" applyAlignment="1">
      <alignment horizontal="right" vertical="center" wrapText="1"/>
    </xf>
    <xf numFmtId="0" fontId="7" fillId="0" borderId="97" xfId="0" applyFont="1" applyBorder="1" applyAlignment="1">
      <alignment vertical="center" wrapText="1"/>
    </xf>
    <xf numFmtId="0" fontId="4" fillId="0" borderId="97" xfId="0" applyFont="1" applyBorder="1" applyAlignment="1">
      <alignment vertical="center" wrapText="1"/>
    </xf>
    <xf numFmtId="0" fontId="4" fillId="0" borderId="97" xfId="0" applyFont="1" applyBorder="1" applyAlignment="1">
      <alignment horizontal="left" vertical="center" wrapText="1" indent="2"/>
    </xf>
    <xf numFmtId="3" fontId="21" fillId="36" borderId="98" xfId="0" applyNumberFormat="1" applyFont="1" applyFill="1" applyBorder="1" applyAlignment="1">
      <alignment vertical="center" wrapText="1"/>
    </xf>
    <xf numFmtId="3" fontId="21" fillId="36" borderId="20" xfId="0" applyNumberFormat="1" applyFont="1" applyFill="1" applyBorder="1" applyAlignment="1">
      <alignment vertical="center" wrapText="1"/>
    </xf>
    <xf numFmtId="3" fontId="21" fillId="0" borderId="98" xfId="0" applyNumberFormat="1" applyFont="1" applyBorder="1" applyAlignment="1">
      <alignment vertical="center" wrapText="1"/>
    </xf>
    <xf numFmtId="3" fontId="21" fillId="0" borderId="20" xfId="0" applyNumberFormat="1" applyFont="1" applyBorder="1" applyAlignment="1">
      <alignment vertical="center" wrapText="1"/>
    </xf>
    <xf numFmtId="3" fontId="21" fillId="36" borderId="24"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6" fillId="0" borderId="22" xfId="0" applyFont="1" applyBorder="1" applyAlignment="1">
      <alignment vertical="center" wrapText="1"/>
    </xf>
    <xf numFmtId="0" fontId="4" fillId="0" borderId="111" xfId="0" applyFont="1" applyBorder="1"/>
    <xf numFmtId="0" fontId="4" fillId="0" borderId="23" xfId="0" applyFont="1" applyBorder="1"/>
    <xf numFmtId="0" fontId="9" fillId="0" borderId="111" xfId="0" applyFont="1" applyBorder="1"/>
    <xf numFmtId="0" fontId="9" fillId="0" borderId="111" xfId="0" applyFont="1" applyBorder="1" applyAlignment="1">
      <alignment wrapText="1"/>
    </xf>
    <xf numFmtId="0" fontId="10" fillId="0" borderId="17" xfId="0" applyFont="1" applyBorder="1" applyAlignment="1">
      <alignment horizontal="center"/>
    </xf>
    <xf numFmtId="0" fontId="10" fillId="0" borderId="111"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9" fillId="0" borderId="113" xfId="0" applyFont="1" applyBorder="1" applyAlignment="1">
      <alignment horizontal="center" vertical="center" wrapText="1"/>
    </xf>
    <xf numFmtId="0" fontId="15" fillId="0" borderId="97" xfId="0" applyFont="1" applyBorder="1" applyAlignment="1">
      <alignment horizontal="center" vertical="center" wrapText="1"/>
    </xf>
    <xf numFmtId="0" fontId="16" fillId="0" borderId="97" xfId="0" applyFont="1" applyBorder="1" applyAlignment="1">
      <alignment horizontal="left" vertical="center" wrapText="1"/>
    </xf>
    <xf numFmtId="193" fontId="7" fillId="0" borderId="97" xfId="0" applyNumberFormat="1" applyFont="1" applyBorder="1" applyAlignment="1" applyProtection="1">
      <alignment vertical="center" wrapText="1"/>
      <protection locked="0"/>
    </xf>
    <xf numFmtId="193" fontId="4" fillId="0" borderId="97" xfId="0" applyNumberFormat="1" applyFont="1" applyBorder="1" applyAlignment="1" applyProtection="1">
      <alignment vertical="center" wrapText="1"/>
      <protection locked="0"/>
    </xf>
    <xf numFmtId="193" fontId="4" fillId="0" borderId="111" xfId="0" applyNumberFormat="1" applyFont="1" applyBorder="1" applyAlignment="1" applyProtection="1">
      <alignment vertical="center" wrapText="1"/>
      <protection locked="0"/>
    </xf>
    <xf numFmtId="193" fontId="7" fillId="0" borderId="97" xfId="0" applyNumberFormat="1" applyFont="1" applyBorder="1" applyAlignment="1" applyProtection="1">
      <alignment horizontal="right" vertical="center" wrapText="1"/>
      <protection locked="0"/>
    </xf>
    <xf numFmtId="0" fontId="9" fillId="2" borderId="113" xfId="0" applyFont="1" applyFill="1" applyBorder="1" applyAlignment="1">
      <alignment horizontal="right" vertical="center"/>
    </xf>
    <xf numFmtId="0" fontId="9" fillId="2" borderId="97" xfId="0" applyFont="1" applyFill="1" applyBorder="1" applyAlignment="1">
      <alignment vertical="center"/>
    </xf>
    <xf numFmtId="193" fontId="9" fillId="2" borderId="97"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193" fontId="17" fillId="2" borderId="111" xfId="0" applyNumberFormat="1" applyFont="1" applyFill="1" applyBorder="1" applyAlignment="1" applyProtection="1">
      <alignment vertical="center"/>
      <protection locked="0"/>
    </xf>
    <xf numFmtId="193" fontId="9" fillId="2" borderId="111" xfId="0" applyNumberFormat="1" applyFont="1" applyFill="1" applyBorder="1" applyAlignment="1" applyProtection="1">
      <alignment vertical="center"/>
      <protection locked="0"/>
    </xf>
    <xf numFmtId="0" fontId="15" fillId="0" borderId="113" xfId="0" applyFont="1" applyBorder="1" applyAlignment="1">
      <alignment horizontal="center" vertical="center" wrapText="1"/>
    </xf>
    <xf numFmtId="14" fontId="4" fillId="0" borderId="0" xfId="0" applyNumberFormat="1" applyFont="1"/>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0" borderId="97" xfId="0" applyFont="1" applyBorder="1" applyAlignment="1">
      <alignment horizontal="center"/>
    </xf>
    <xf numFmtId="0" fontId="4" fillId="3" borderId="6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0" xfId="0" applyFont="1" applyFill="1" applyBorder="1" applyAlignment="1">
      <alignment horizontal="center" vertical="center" wrapText="1"/>
    </xf>
    <xf numFmtId="0" fontId="4" fillId="0" borderId="113" xfId="0" applyFont="1" applyBorder="1"/>
    <xf numFmtId="0" fontId="4" fillId="0" borderId="97" xfId="0" applyFont="1" applyBorder="1" applyAlignment="1">
      <alignment wrapText="1"/>
    </xf>
    <xf numFmtId="164" fontId="4" fillId="0" borderId="97" xfId="7" applyNumberFormat="1" applyFont="1" applyBorder="1"/>
    <xf numFmtId="164" fontId="4" fillId="0" borderId="111" xfId="7" applyNumberFormat="1" applyFont="1" applyBorder="1"/>
    <xf numFmtId="0" fontId="14" fillId="0" borderId="97" xfId="0" applyFont="1" applyBorder="1" applyAlignment="1">
      <alignment horizontal="left" wrapText="1" indent="2"/>
    </xf>
    <xf numFmtId="169" fontId="26" fillId="37" borderId="97" xfId="20" applyBorder="1"/>
    <xf numFmtId="164" fontId="4" fillId="0" borderId="97" xfId="7" applyNumberFormat="1" applyFont="1" applyBorder="1" applyAlignment="1">
      <alignment vertical="center"/>
    </xf>
    <xf numFmtId="0" fontId="6" fillId="0" borderId="113" xfId="0" applyFont="1" applyBorder="1"/>
    <xf numFmtId="0" fontId="6" fillId="0" borderId="97" xfId="0" applyFont="1" applyBorder="1" applyAlignment="1">
      <alignment wrapText="1"/>
    </xf>
    <xf numFmtId="164" fontId="6" fillId="0" borderId="111"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7" xfId="7" applyNumberFormat="1" applyFont="1" applyFill="1" applyBorder="1"/>
    <xf numFmtId="164" fontId="4" fillId="0" borderId="97" xfId="7" applyNumberFormat="1" applyFont="1" applyFill="1" applyBorder="1" applyAlignment="1">
      <alignment vertical="center"/>
    </xf>
    <xf numFmtId="0" fontId="14" fillId="0" borderId="9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0" xfId="0" applyFont="1" applyFill="1" applyBorder="1"/>
    <xf numFmtId="0" fontId="6" fillId="0" borderId="21" xfId="0" applyFont="1" applyBorder="1"/>
    <xf numFmtId="0" fontId="6" fillId="0" borderId="22" xfId="0" applyFont="1" applyBorder="1" applyAlignment="1">
      <alignment wrapText="1"/>
    </xf>
    <xf numFmtId="169" fontId="26" fillId="37" borderId="114" xfId="20" applyBorder="1"/>
    <xf numFmtId="10" fontId="6" fillId="0" borderId="23" xfId="20961" applyNumberFormat="1" applyFont="1" applyBorder="1"/>
    <xf numFmtId="0" fontId="9" fillId="2" borderId="105"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193" fontId="17" fillId="2" borderId="92"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0" fontId="9" fillId="0" borderId="97" xfId="0" applyFont="1" applyBorder="1" applyAlignment="1">
      <alignment horizontal="left" vertical="center" wrapText="1"/>
    </xf>
    <xf numFmtId="0" fontId="6" fillId="3" borderId="0" xfId="0" applyFont="1" applyFill="1" applyAlignment="1">
      <alignment horizontal="center"/>
    </xf>
    <xf numFmtId="0" fontId="106" fillId="0" borderId="84" xfId="0" applyFont="1" applyBorder="1" applyAlignment="1">
      <alignment horizontal="left" vertical="center"/>
    </xf>
    <xf numFmtId="0" fontId="106" fillId="0" borderId="82" xfId="0" applyFont="1" applyBorder="1" applyAlignment="1">
      <alignment vertical="center" wrapText="1"/>
    </xf>
    <xf numFmtId="0" fontId="106" fillId="0" borderId="82"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7" xfId="0" applyFont="1" applyBorder="1" applyAlignment="1">
      <alignment horizontal="left" vertical="center" wrapText="1"/>
    </xf>
    <xf numFmtId="0" fontId="125" fillId="0" borderId="0" xfId="0" applyFont="1"/>
    <xf numFmtId="49" fontId="106" fillId="0" borderId="97"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1" xfId="2" applyNumberFormat="1" applyFont="1" applyFill="1" applyBorder="1" applyAlignment="1" applyProtection="1">
      <alignment vertical="top" wrapText="1"/>
      <protection locked="0"/>
    </xf>
    <xf numFmtId="0" fontId="9" fillId="0" borderId="97" xfId="0" applyFont="1" applyBorder="1" applyAlignment="1">
      <alignment horizontal="center" vertical="center" wrapText="1"/>
    </xf>
    <xf numFmtId="0" fontId="3" fillId="0" borderId="97" xfId="0" applyFont="1" applyBorder="1" applyAlignment="1">
      <alignment horizontal="center" vertical="center"/>
    </xf>
    <xf numFmtId="0" fontId="130" fillId="3" borderId="97" xfId="21414" applyFont="1" applyFill="1" applyBorder="1" applyAlignment="1">
      <alignment horizontal="left" vertical="center" wrapText="1"/>
    </xf>
    <xf numFmtId="0" fontId="131" fillId="0" borderId="97" xfId="21414" applyFont="1" applyBorder="1" applyAlignment="1">
      <alignment horizontal="left" vertical="center" wrapText="1" indent="1"/>
    </xf>
    <xf numFmtId="0" fontId="134" fillId="0" borderId="97" xfId="21414" applyFont="1" applyBorder="1" applyAlignment="1">
      <alignment horizontal="center" vertical="center" wrapText="1"/>
    </xf>
    <xf numFmtId="0" fontId="132" fillId="0" borderId="134" xfId="21414" applyFont="1" applyBorder="1" applyAlignment="1">
      <alignment horizontal="left" vertical="center" wrapText="1"/>
    </xf>
    <xf numFmtId="0" fontId="132" fillId="3" borderId="134" xfId="21414" applyFont="1" applyFill="1" applyBorder="1" applyAlignment="1">
      <alignment horizontal="left" vertical="center" wrapText="1"/>
    </xf>
    <xf numFmtId="0" fontId="134" fillId="0" borderId="134" xfId="21414" applyFont="1" applyBorder="1" applyAlignment="1">
      <alignment horizontal="center" vertical="center" wrapText="1"/>
    </xf>
    <xf numFmtId="0" fontId="135" fillId="0" borderId="134" xfId="0" applyFont="1" applyBorder="1" applyAlignment="1">
      <alignment horizontal="left"/>
    </xf>
    <xf numFmtId="0" fontId="132" fillId="0" borderId="134" xfId="0" applyFont="1" applyBorder="1" applyAlignment="1">
      <alignment horizontal="left" vertical="center" wrapText="1"/>
    </xf>
    <xf numFmtId="0" fontId="0" fillId="0" borderId="0" xfId="0" applyAlignment="1">
      <alignment horizontal="left" vertical="center"/>
    </xf>
    <xf numFmtId="0" fontId="9" fillId="0" borderId="134" xfId="0" applyFont="1" applyBorder="1" applyAlignment="1">
      <alignment horizontal="center" vertical="center" wrapText="1"/>
    </xf>
    <xf numFmtId="0" fontId="9" fillId="0" borderId="111" xfId="0" applyFont="1" applyBorder="1" applyAlignment="1">
      <alignment horizontal="center" vertical="center" wrapText="1"/>
    </xf>
    <xf numFmtId="0" fontId="0" fillId="0" borderId="134" xfId="0" applyBorder="1" applyAlignment="1">
      <alignment horizontal="center"/>
    </xf>
    <xf numFmtId="0" fontId="15" fillId="83" borderId="134" xfId="0" applyFont="1" applyFill="1" applyBorder="1" applyAlignment="1">
      <alignment vertical="center" wrapText="1"/>
    </xf>
    <xf numFmtId="193" fontId="9" fillId="0" borderId="134" xfId="0" applyNumberFormat="1" applyFont="1" applyBorder="1" applyAlignment="1">
      <alignment horizontal="right"/>
    </xf>
    <xf numFmtId="193" fontId="9" fillId="36" borderId="134" xfId="0" applyNumberFormat="1" applyFont="1" applyFill="1" applyBorder="1" applyAlignment="1">
      <alignment horizontal="right"/>
    </xf>
    <xf numFmtId="193" fontId="9" fillId="36" borderId="111" xfId="0" applyNumberFormat="1" applyFont="1" applyFill="1" applyBorder="1" applyAlignment="1">
      <alignment horizontal="right"/>
    </xf>
    <xf numFmtId="0" fontId="15" fillId="0" borderId="134" xfId="0" applyFont="1" applyBorder="1" applyAlignment="1">
      <alignment vertical="center" wrapText="1"/>
    </xf>
    <xf numFmtId="0" fontId="7" fillId="0" borderId="134" xfId="0" applyFont="1" applyBorder="1" applyAlignment="1">
      <alignment horizontal="left" vertical="center" wrapText="1" indent="1"/>
    </xf>
    <xf numFmtId="0" fontId="3" fillId="0" borderId="134" xfId="0" applyFont="1" applyBorder="1" applyAlignment="1">
      <alignment vertical="center"/>
    </xf>
    <xf numFmtId="0" fontId="136" fillId="0" borderId="134" xfId="0" applyFont="1" applyBorder="1" applyAlignment="1" applyProtection="1">
      <alignment horizontal="left" vertical="center" indent="1"/>
      <protection locked="0"/>
    </xf>
    <xf numFmtId="0" fontId="137" fillId="0" borderId="134" xfId="0" applyFont="1" applyBorder="1" applyAlignment="1" applyProtection="1">
      <alignment horizontal="left" vertical="center" indent="3"/>
      <protection locked="0"/>
    </xf>
    <xf numFmtId="0" fontId="138" fillId="0" borderId="134" xfId="0" applyFont="1" applyBorder="1" applyAlignment="1" applyProtection="1">
      <alignment horizontal="left" vertical="center" indent="3"/>
      <protection locked="0"/>
    </xf>
    <xf numFmtId="0" fontId="3" fillId="0" borderId="134"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4" xfId="0" applyNumberFormat="1" applyFont="1" applyBorder="1" applyAlignment="1">
      <alignment horizontal="right" vertical="center"/>
    </xf>
    <xf numFmtId="0" fontId="0" fillId="0" borderId="134" xfId="0" applyBorder="1" applyAlignment="1">
      <alignment horizontal="center" vertical="center"/>
    </xf>
    <xf numFmtId="0" fontId="0" fillId="0" borderId="138" xfId="0" applyBorder="1" applyAlignment="1">
      <alignment horizontal="center"/>
    </xf>
    <xf numFmtId="0" fontId="131" fillId="3" borderId="134" xfId="0" applyFont="1" applyFill="1" applyBorder="1" applyAlignment="1">
      <alignment horizontal="left" vertical="center" wrapText="1" indent="1"/>
    </xf>
    <xf numFmtId="167" fontId="23" fillId="0" borderId="134" xfId="0" applyNumberFormat="1" applyFont="1" applyBorder="1" applyAlignment="1">
      <alignment horizontal="center"/>
    </xf>
    <xf numFmtId="0" fontId="23" fillId="0" borderId="134" xfId="0" applyFont="1" applyBorder="1"/>
    <xf numFmtId="0" fontId="131" fillId="0" borderId="134" xfId="0" applyFont="1" applyBorder="1" applyAlignment="1">
      <alignment horizontal="left" vertical="center" wrapText="1" indent="1"/>
    </xf>
    <xf numFmtId="0" fontId="133" fillId="3" borderId="134" xfId="0" applyFont="1" applyFill="1" applyBorder="1" applyAlignment="1">
      <alignment horizontal="left" vertical="center" wrapText="1" indent="1"/>
    </xf>
    <xf numFmtId="0" fontId="133" fillId="0" borderId="134" xfId="0" applyFont="1" applyBorder="1" applyAlignment="1">
      <alignment horizontal="left" vertical="center" wrapText="1" indent="1"/>
    </xf>
    <xf numFmtId="167" fontId="18" fillId="0" borderId="56" xfId="0" applyNumberFormat="1" applyFont="1" applyBorder="1" applyAlignment="1">
      <alignment horizontal="center"/>
    </xf>
    <xf numFmtId="0" fontId="120" fillId="0" borderId="134" xfId="0" applyFont="1" applyBorder="1"/>
    <xf numFmtId="49" fontId="122" fillId="0" borderId="134" xfId="5" applyNumberFormat="1" applyFont="1" applyBorder="1" applyAlignment="1" applyProtection="1">
      <alignment horizontal="right" vertical="center"/>
      <protection locked="0"/>
    </xf>
    <xf numFmtId="0" fontId="121" fillId="3" borderId="134" xfId="13" applyFont="1" applyFill="1" applyBorder="1" applyAlignment="1" applyProtection="1">
      <alignment horizontal="left" vertical="center" wrapText="1"/>
      <protection locked="0"/>
    </xf>
    <xf numFmtId="49" fontId="121" fillId="3" borderId="134" xfId="5" applyNumberFormat="1" applyFont="1" applyFill="1" applyBorder="1" applyAlignment="1" applyProtection="1">
      <alignment horizontal="right" vertical="center"/>
      <protection locked="0"/>
    </xf>
    <xf numFmtId="0" fontId="121" fillId="0" borderId="134" xfId="13" applyFont="1" applyBorder="1" applyAlignment="1" applyProtection="1">
      <alignment horizontal="left" vertical="center" wrapText="1"/>
      <protection locked="0"/>
    </xf>
    <xf numFmtId="49" fontId="121" fillId="0" borderId="134" xfId="5" applyNumberFormat="1" applyFont="1" applyBorder="1" applyAlignment="1" applyProtection="1">
      <alignment horizontal="right" vertical="center"/>
      <protection locked="0"/>
    </xf>
    <xf numFmtId="0" fontId="123" fillId="0" borderId="134" xfId="13" applyFont="1" applyBorder="1" applyAlignment="1" applyProtection="1">
      <alignment horizontal="left" vertical="center" wrapText="1"/>
      <protection locked="0"/>
    </xf>
    <xf numFmtId="0" fontId="120" fillId="0" borderId="134" xfId="0" applyFont="1" applyBorder="1" applyAlignment="1">
      <alignment horizontal="center" vertical="center" wrapText="1"/>
    </xf>
    <xf numFmtId="166" fontId="116" fillId="36" borderId="141" xfId="21413" applyFont="1" applyFill="1" applyBorder="1"/>
    <xf numFmtId="0" fontId="116" fillId="0" borderId="141" xfId="0" applyFont="1" applyBorder="1"/>
    <xf numFmtId="0" fontId="116" fillId="0" borderId="141" xfId="0" applyFont="1" applyBorder="1" applyAlignment="1">
      <alignment horizontal="left" indent="8"/>
    </xf>
    <xf numFmtId="0" fontId="116" fillId="0" borderId="141" xfId="0" applyFont="1" applyBorder="1" applyAlignment="1">
      <alignment wrapText="1"/>
    </xf>
    <xf numFmtId="0" fontId="119" fillId="0" borderId="141" xfId="0" applyFont="1" applyBorder="1"/>
    <xf numFmtId="49" fontId="122" fillId="0" borderId="141" xfId="5" applyNumberFormat="1" applyFont="1" applyBorder="1" applyAlignment="1" applyProtection="1">
      <alignment horizontal="right" vertical="center" wrapText="1"/>
      <protection locked="0"/>
    </xf>
    <xf numFmtId="49" fontId="121" fillId="3" borderId="141" xfId="5" applyNumberFormat="1" applyFont="1" applyFill="1" applyBorder="1" applyAlignment="1" applyProtection="1">
      <alignment horizontal="right" vertical="center" wrapText="1"/>
      <protection locked="0"/>
    </xf>
    <xf numFmtId="49" fontId="121" fillId="0" borderId="141" xfId="5" applyNumberFormat="1" applyFont="1" applyBorder="1" applyAlignment="1" applyProtection="1">
      <alignment horizontal="right" vertical="center" wrapText="1"/>
      <protection locked="0"/>
    </xf>
    <xf numFmtId="0" fontId="116" fillId="0" borderId="141" xfId="0" applyFont="1" applyBorder="1" applyAlignment="1">
      <alignment horizontal="center" vertical="center" wrapText="1"/>
    </xf>
    <xf numFmtId="0" fontId="116" fillId="0" borderId="142" xfId="0" applyFont="1" applyBorder="1" applyAlignment="1">
      <alignment horizontal="center" vertical="center" wrapText="1"/>
    </xf>
    <xf numFmtId="0" fontId="116" fillId="0" borderId="141"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1" xfId="0" applyFont="1" applyBorder="1" applyAlignment="1">
      <alignment horizontal="left" vertical="center" wrapText="1"/>
    </xf>
    <xf numFmtId="0" fontId="119" fillId="0" borderId="141" xfId="0" applyFont="1" applyBorder="1" applyAlignment="1">
      <alignment horizontal="left" wrapText="1" indent="1"/>
    </xf>
    <xf numFmtId="0" fontId="119" fillId="0" borderId="141" xfId="0" applyFont="1" applyBorder="1" applyAlignment="1">
      <alignment horizontal="left" vertical="center" indent="1"/>
    </xf>
    <xf numFmtId="0" fontId="116" fillId="0" borderId="141" xfId="0" applyFont="1" applyBorder="1" applyAlignment="1">
      <alignment horizontal="left" wrapText="1" indent="1"/>
    </xf>
    <xf numFmtId="0" fontId="116" fillId="0" borderId="141" xfId="0" applyFont="1" applyBorder="1" applyAlignment="1">
      <alignment horizontal="left" indent="1"/>
    </xf>
    <xf numFmtId="0" fontId="116" fillId="0" borderId="141" xfId="0" applyFont="1" applyBorder="1" applyAlignment="1">
      <alignment horizontal="left" wrapText="1" indent="4"/>
    </xf>
    <xf numFmtId="0" fontId="116" fillId="0" borderId="141" xfId="0" applyFont="1" applyBorder="1" applyAlignment="1">
      <alignment horizontal="left" indent="3"/>
    </xf>
    <xf numFmtId="0" fontId="119" fillId="0" borderId="141" xfId="0" applyFont="1" applyBorder="1" applyAlignment="1">
      <alignment horizontal="left" indent="1"/>
    </xf>
    <xf numFmtId="0" fontId="120" fillId="0" borderId="141" xfId="0" applyFont="1" applyBorder="1" applyAlignment="1">
      <alignment horizontal="center" vertical="center" wrapText="1"/>
    </xf>
    <xf numFmtId="0" fontId="116" fillId="80" borderId="141" xfId="0" applyFont="1" applyFill="1" applyBorder="1"/>
    <xf numFmtId="0" fontId="119" fillId="0" borderId="7" xfId="0" applyFont="1" applyBorder="1"/>
    <xf numFmtId="0" fontId="116" fillId="0" borderId="141" xfId="0" applyFont="1" applyBorder="1" applyAlignment="1">
      <alignment horizontal="left" wrapText="1" indent="2"/>
    </xf>
    <xf numFmtId="0" fontId="116" fillId="0" borderId="141" xfId="0" applyFont="1" applyBorder="1" applyAlignment="1">
      <alignment horizontal="left" wrapText="1"/>
    </xf>
    <xf numFmtId="0" fontId="119" fillId="84" borderId="141" xfId="0" applyFont="1" applyFill="1" applyBorder="1"/>
    <xf numFmtId="0" fontId="116" fillId="0" borderId="141"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0"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39" xfId="0" applyFont="1" applyBorder="1" applyAlignment="1">
      <alignment horizontal="center" vertical="center" wrapText="1"/>
    </xf>
    <xf numFmtId="49" fontId="116" fillId="0" borderId="147" xfId="0" applyNumberFormat="1" applyFont="1" applyBorder="1" applyAlignment="1">
      <alignment horizontal="left" wrapText="1" indent="1"/>
    </xf>
    <xf numFmtId="0" fontId="116" fillId="0" borderId="149" xfId="0" applyFont="1" applyBorder="1" applyAlignment="1">
      <alignment horizontal="left" wrapText="1" indent="1"/>
    </xf>
    <xf numFmtId="49" fontId="116" fillId="0" borderId="150" xfId="0" applyNumberFormat="1" applyFont="1" applyBorder="1" applyAlignment="1">
      <alignment horizontal="left" wrapText="1" indent="1"/>
    </xf>
    <xf numFmtId="0" fontId="116" fillId="0" borderId="151" xfId="0" applyFont="1" applyBorder="1" applyAlignment="1">
      <alignment horizontal="left" wrapText="1" indent="1"/>
    </xf>
    <xf numFmtId="49" fontId="116" fillId="0" borderId="151" xfId="0" applyNumberFormat="1" applyFont="1" applyBorder="1" applyAlignment="1">
      <alignment horizontal="left" wrapText="1" indent="3"/>
    </xf>
    <xf numFmtId="49" fontId="116" fillId="0" borderId="150" xfId="0" applyNumberFormat="1" applyFont="1" applyBorder="1" applyAlignment="1">
      <alignment horizontal="left" wrapText="1" indent="3"/>
    </xf>
    <xf numFmtId="49" fontId="116" fillId="0" borderId="151" xfId="0" applyNumberFormat="1" applyFont="1" applyBorder="1" applyAlignment="1">
      <alignment horizontal="left" wrapText="1" indent="2"/>
    </xf>
    <xf numFmtId="49" fontId="116" fillId="0" borderId="150" xfId="0" applyNumberFormat="1" applyFont="1" applyBorder="1" applyAlignment="1">
      <alignment horizontal="left" wrapText="1" indent="2"/>
    </xf>
    <xf numFmtId="49" fontId="116" fillId="0" borderId="150" xfId="0" applyNumberFormat="1" applyFont="1" applyBorder="1" applyAlignment="1">
      <alignment horizontal="left" vertical="top" wrapText="1" indent="2"/>
    </xf>
    <xf numFmtId="49" fontId="116" fillId="0" borderId="150" xfId="0" applyNumberFormat="1" applyFont="1" applyBorder="1" applyAlignment="1">
      <alignment horizontal="left" indent="1"/>
    </xf>
    <xf numFmtId="0" fontId="116" fillId="0" borderId="151" xfId="0" applyFont="1" applyBorder="1" applyAlignment="1">
      <alignment horizontal="left" indent="1"/>
    </xf>
    <xf numFmtId="49" fontId="116" fillId="0" borderId="151" xfId="0" applyNumberFormat="1" applyFont="1" applyBorder="1" applyAlignment="1">
      <alignment horizontal="left" indent="1"/>
    </xf>
    <xf numFmtId="49" fontId="116" fillId="0" borderId="151" xfId="0" applyNumberFormat="1" applyFont="1" applyBorder="1" applyAlignment="1">
      <alignment horizontal="left" indent="3"/>
    </xf>
    <xf numFmtId="49" fontId="116" fillId="0" borderId="150" xfId="0" applyNumberFormat="1" applyFont="1" applyBorder="1" applyAlignment="1">
      <alignment horizontal="left" indent="3"/>
    </xf>
    <xf numFmtId="0" fontId="116" fillId="0" borderId="151" xfId="0" applyFont="1" applyBorder="1" applyAlignment="1">
      <alignment horizontal="left" indent="2"/>
    </xf>
    <xf numFmtId="0" fontId="116" fillId="0" borderId="150" xfId="0" applyFont="1" applyBorder="1" applyAlignment="1">
      <alignment horizontal="left" indent="2"/>
    </xf>
    <xf numFmtId="0" fontId="116" fillId="0" borderId="150" xfId="0" applyFont="1" applyBorder="1" applyAlignment="1">
      <alignment horizontal="left" indent="1"/>
    </xf>
    <xf numFmtId="0" fontId="119" fillId="0" borderId="62" xfId="0" applyFont="1" applyBorder="1"/>
    <xf numFmtId="0" fontId="116" fillId="0" borderId="67" xfId="0" applyFont="1" applyBorder="1"/>
    <xf numFmtId="0" fontId="116" fillId="0" borderId="0" xfId="0" applyFont="1" applyAlignment="1">
      <alignment horizontal="left"/>
    </xf>
    <xf numFmtId="0" fontId="119" fillId="0" borderId="141" xfId="0" applyFont="1" applyBorder="1" applyAlignment="1">
      <alignment horizontal="left" vertical="center" wrapText="1"/>
    </xf>
    <xf numFmtId="0" fontId="9" fillId="0" borderId="0" xfId="0" applyFont="1" applyAlignment="1">
      <alignment wrapText="1"/>
    </xf>
    <xf numFmtId="0" fontId="119" fillId="0" borderId="141"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2" xfId="0" applyFont="1" applyBorder="1" applyAlignment="1">
      <alignment horizontal="left" vertical="center" wrapText="1" indent="1" readingOrder="1"/>
    </xf>
    <xf numFmtId="0" fontId="121" fillId="0" borderId="141" xfId="0" applyFont="1" applyBorder="1" applyAlignment="1">
      <alignment horizontal="left" indent="3"/>
    </xf>
    <xf numFmtId="0" fontId="119" fillId="0" borderId="141" xfId="0" applyFont="1" applyBorder="1" applyAlignment="1">
      <alignment vertical="center" wrapText="1" readingOrder="1"/>
    </xf>
    <xf numFmtId="0" fontId="121" fillId="0" borderId="141" xfId="0" applyFont="1" applyBorder="1" applyAlignment="1">
      <alignment horizontal="left" indent="2"/>
    </xf>
    <xf numFmtId="0" fontId="116" fillId="0" borderId="133" xfId="0" applyFont="1" applyBorder="1" applyAlignment="1">
      <alignment vertical="center" wrapText="1" readingOrder="1"/>
    </xf>
    <xf numFmtId="0" fontId="121" fillId="0" borderId="142" xfId="0" applyFont="1" applyBorder="1" applyAlignment="1">
      <alignment horizontal="left" indent="2"/>
    </xf>
    <xf numFmtId="0" fontId="116" fillId="0" borderId="132" xfId="0" applyFont="1" applyBorder="1" applyAlignment="1">
      <alignment vertical="center" wrapText="1" readingOrder="1"/>
    </xf>
    <xf numFmtId="0" fontId="116" fillId="0" borderId="131" xfId="0" applyFont="1" applyBorder="1" applyAlignment="1">
      <alignment vertical="center" wrapText="1" readingOrder="1"/>
    </xf>
    <xf numFmtId="0" fontId="139" fillId="0" borderId="7" xfId="0" applyFont="1" applyBorder="1"/>
    <xf numFmtId="0" fontId="106" fillId="0" borderId="141" xfId="0" applyFont="1" applyBorder="1" applyAlignment="1">
      <alignment vertical="center" wrapText="1"/>
    </xf>
    <xf numFmtId="0" fontId="106" fillId="0" borderId="141" xfId="0" applyFont="1" applyBorder="1" applyAlignment="1">
      <alignment horizontal="left" vertical="center" wrapText="1"/>
    </xf>
    <xf numFmtId="0" fontId="106" fillId="0" borderId="141" xfId="0" applyFont="1" applyBorder="1" applyAlignment="1">
      <alignment horizontal="left" indent="2"/>
    </xf>
    <xf numFmtId="0" fontId="106" fillId="0" borderId="141" xfId="0" applyFont="1" applyBorder="1" applyAlignment="1">
      <alignment horizontal="left" vertical="center" indent="1"/>
    </xf>
    <xf numFmtId="0" fontId="106" fillId="0" borderId="141" xfId="0" applyFont="1" applyBorder="1" applyAlignment="1">
      <alignment horizontal="left" vertical="center" wrapText="1" indent="1"/>
    </xf>
    <xf numFmtId="0" fontId="106" fillId="0" borderId="141" xfId="0" applyFont="1" applyBorder="1" applyAlignment="1">
      <alignment horizontal="right" vertical="center"/>
    </xf>
    <xf numFmtId="49" fontId="106" fillId="0" borderId="141" xfId="0" applyNumberFormat="1" applyFont="1" applyBorder="1" applyAlignment="1">
      <alignment horizontal="right" vertical="center"/>
    </xf>
    <xf numFmtId="0" fontId="106" fillId="0" borderId="142" xfId="0" applyFont="1" applyBorder="1" applyAlignment="1">
      <alignment horizontal="left" vertical="top" wrapText="1"/>
    </xf>
    <xf numFmtId="49" fontId="106" fillId="0" borderId="141" xfId="0" applyNumberFormat="1" applyFont="1" applyBorder="1" applyAlignment="1">
      <alignment vertical="top" wrapText="1"/>
    </xf>
    <xf numFmtId="49" fontId="106" fillId="0" borderId="141" xfId="0" applyNumberFormat="1" applyFont="1" applyBorder="1" applyAlignment="1">
      <alignment horizontal="left" vertical="top" wrapText="1" indent="2"/>
    </xf>
    <xf numFmtId="49" fontId="106" fillId="0" borderId="141" xfId="0" applyNumberFormat="1" applyFont="1" applyBorder="1" applyAlignment="1">
      <alignment horizontal="left" vertical="center" wrapText="1" indent="3"/>
    </xf>
    <xf numFmtId="49" fontId="106" fillId="0" borderId="141" xfId="0" applyNumberFormat="1" applyFont="1" applyBorder="1" applyAlignment="1">
      <alignment horizontal="left" wrapText="1" indent="2"/>
    </xf>
    <xf numFmtId="49" fontId="106" fillId="0" borderId="141" xfId="0" applyNumberFormat="1" applyFont="1" applyBorder="1" applyAlignment="1">
      <alignment horizontal="left" vertical="top" wrapText="1"/>
    </xf>
    <xf numFmtId="49" fontId="106" fillId="0" borderId="141" xfId="0" applyNumberFormat="1" applyFont="1" applyBorder="1" applyAlignment="1">
      <alignment horizontal="left" wrapText="1" indent="3"/>
    </xf>
    <xf numFmtId="49" fontId="106" fillId="0" borderId="141" xfId="0" applyNumberFormat="1" applyFont="1" applyBorder="1" applyAlignment="1">
      <alignment vertical="center"/>
    </xf>
    <xf numFmtId="49" fontId="106" fillId="0" borderId="141" xfId="0" applyNumberFormat="1" applyFont="1" applyBorder="1" applyAlignment="1">
      <alignment horizontal="left" indent="3"/>
    </xf>
    <xf numFmtId="0" fontId="106" fillId="0" borderId="141" xfId="0" applyFont="1" applyBorder="1" applyAlignment="1">
      <alignment horizontal="left" indent="1"/>
    </xf>
    <xf numFmtId="0" fontId="106" fillId="0" borderId="141" xfId="0" applyFont="1" applyBorder="1" applyAlignment="1">
      <alignment horizontal="left" wrapText="1" indent="2"/>
    </xf>
    <xf numFmtId="0" fontId="106" fillId="0" borderId="141" xfId="0" applyFont="1" applyBorder="1" applyAlignment="1">
      <alignment horizontal="left" vertical="top" wrapText="1"/>
    </xf>
    <xf numFmtId="0" fontId="105" fillId="0" borderId="7" xfId="0" applyFont="1" applyBorder="1" applyAlignment="1">
      <alignment wrapText="1"/>
    </xf>
    <xf numFmtId="0" fontId="106" fillId="0" borderId="141" xfId="0" applyFont="1" applyBorder="1" applyAlignment="1">
      <alignment horizontal="left" vertical="top" wrapText="1" indent="2"/>
    </xf>
    <xf numFmtId="0" fontId="106" fillId="0" borderId="141" xfId="0" applyFont="1" applyBorder="1" applyAlignment="1">
      <alignment horizontal="left" wrapText="1"/>
    </xf>
    <xf numFmtId="0" fontId="106" fillId="0" borderId="141" xfId="12672" applyFont="1" applyBorder="1" applyAlignment="1">
      <alignment horizontal="left" vertical="center" wrapText="1" indent="2"/>
    </xf>
    <xf numFmtId="0" fontId="106" fillId="0" borderId="141" xfId="0" applyFont="1" applyBorder="1" applyAlignment="1">
      <alignment wrapText="1"/>
    </xf>
    <xf numFmtId="0" fontId="106" fillId="0" borderId="141" xfId="0" applyFont="1" applyBorder="1"/>
    <xf numFmtId="0" fontId="106" fillId="0" borderId="141" xfId="12672" applyFont="1" applyBorder="1" applyAlignment="1">
      <alignment horizontal="left" vertical="center" wrapText="1"/>
    </xf>
    <xf numFmtId="0" fontId="105" fillId="0" borderId="141" xfId="0" applyFont="1" applyBorder="1" applyAlignment="1">
      <alignment wrapText="1"/>
    </xf>
    <xf numFmtId="0" fontId="106" fillId="0" borderId="143" xfId="0" applyFont="1" applyBorder="1" applyAlignment="1">
      <alignment horizontal="left" vertical="center" wrapText="1"/>
    </xf>
    <xf numFmtId="0" fontId="106" fillId="3" borderId="141" xfId="5" applyFont="1" applyFill="1" applyBorder="1" applyAlignment="1" applyProtection="1">
      <alignment horizontal="right" vertical="center"/>
      <protection locked="0"/>
    </xf>
    <xf numFmtId="2" fontId="106" fillId="3" borderId="141" xfId="5" applyNumberFormat="1" applyFont="1" applyFill="1" applyBorder="1" applyAlignment="1" applyProtection="1">
      <alignment horizontal="right" vertical="center"/>
      <protection locked="0"/>
    </xf>
    <xf numFmtId="0" fontId="106" fillId="0" borderId="141" xfId="0" applyFont="1" applyBorder="1" applyAlignment="1">
      <alignment vertical="center"/>
    </xf>
    <xf numFmtId="0" fontId="106" fillId="0" borderId="143" xfId="13" applyFont="1" applyBorder="1" applyAlignment="1" applyProtection="1">
      <alignment horizontal="left" vertical="top" wrapText="1"/>
      <protection locked="0"/>
    </xf>
    <xf numFmtId="0" fontId="106" fillId="0" borderId="144" xfId="13" applyFont="1" applyBorder="1" applyAlignment="1" applyProtection="1">
      <alignment horizontal="left" vertical="top" wrapText="1"/>
      <protection locked="0"/>
    </xf>
    <xf numFmtId="0" fontId="106" fillId="0" borderId="142"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2" xfId="0" applyFont="1" applyBorder="1" applyAlignment="1">
      <alignment horizontal="left" indent="2"/>
    </xf>
    <xf numFmtId="0" fontId="106" fillId="0" borderId="133" xfId="0" applyFont="1" applyBorder="1" applyAlignment="1">
      <alignment horizontal="left" vertical="center" wrapText="1" readingOrder="1"/>
    </xf>
    <xf numFmtId="0" fontId="106" fillId="0" borderId="141" xfId="0" applyFont="1" applyBorder="1" applyAlignment="1">
      <alignment horizontal="left" vertical="center" wrapText="1" readingOrder="1"/>
    </xf>
    <xf numFmtId="167" fontId="19" fillId="85" borderId="55" xfId="0" applyNumberFormat="1" applyFont="1" applyFill="1" applyBorder="1" applyAlignment="1">
      <alignment horizontal="center"/>
    </xf>
    <xf numFmtId="0" fontId="2" fillId="0" borderId="15" xfId="0" applyFont="1" applyBorder="1" applyAlignment="1">
      <alignment horizontal="left" vertical="center" wrapText="1" indent="1"/>
    </xf>
    <xf numFmtId="169" fontId="26" fillId="37" borderId="61" xfId="20" applyBorder="1"/>
    <xf numFmtId="193" fontId="4" fillId="0" borderId="151" xfId="0" applyNumberFormat="1" applyFont="1" applyBorder="1" applyAlignment="1" applyProtection="1">
      <alignment vertical="center" wrapText="1"/>
      <protection locked="0"/>
    </xf>
    <xf numFmtId="193" fontId="4" fillId="0" borderId="141" xfId="0" applyNumberFormat="1" applyFont="1" applyBorder="1" applyAlignment="1" applyProtection="1">
      <alignment vertical="center" wrapText="1"/>
      <protection locked="0"/>
    </xf>
    <xf numFmtId="193" fontId="4" fillId="0" borderId="150" xfId="0" applyNumberFormat="1" applyFont="1" applyBorder="1" applyAlignment="1" applyProtection="1">
      <alignment vertical="center" wrapText="1"/>
      <protection locked="0"/>
    </xf>
    <xf numFmtId="193" fontId="17" fillId="2" borderId="151" xfId="0" applyNumberFormat="1" applyFont="1" applyFill="1" applyBorder="1" applyAlignment="1" applyProtection="1">
      <alignment vertical="center"/>
      <protection locked="0"/>
    </xf>
    <xf numFmtId="193" fontId="17" fillId="2" borderId="141" xfId="0" applyNumberFormat="1" applyFont="1" applyFill="1" applyBorder="1" applyAlignment="1" applyProtection="1">
      <alignment vertical="center"/>
      <protection locked="0"/>
    </xf>
    <xf numFmtId="193" fontId="17" fillId="2" borderId="150" xfId="0" applyNumberFormat="1" applyFont="1" applyFill="1" applyBorder="1" applyAlignment="1" applyProtection="1">
      <alignment vertical="center"/>
      <protection locked="0"/>
    </xf>
    <xf numFmtId="193" fontId="9" fillId="2" borderId="151" xfId="0" applyNumberFormat="1" applyFont="1" applyFill="1" applyBorder="1" applyAlignment="1" applyProtection="1">
      <alignment vertical="center"/>
      <protection locked="0"/>
    </xf>
    <xf numFmtId="193" fontId="9" fillId="2" borderId="141" xfId="0" applyNumberFormat="1" applyFont="1" applyFill="1" applyBorder="1" applyAlignment="1" applyProtection="1">
      <alignment vertical="center"/>
      <protection locked="0"/>
    </xf>
    <xf numFmtId="193" fontId="9" fillId="2" borderId="150"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42" xfId="0" applyNumberFormat="1" applyFont="1" applyFill="1" applyBorder="1" applyAlignment="1" applyProtection="1">
      <alignment vertical="center"/>
      <protection locked="0"/>
    </xf>
    <xf numFmtId="0" fontId="11" fillId="0" borderId="97" xfId="17" applyFill="1" applyBorder="1" applyAlignment="1" applyProtection="1">
      <alignment horizontal="left" vertical="top" wrapText="1"/>
    </xf>
    <xf numFmtId="0" fontId="7" fillId="83" borderId="141"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165" fontId="17" fillId="2" borderId="151" xfId="20961" applyNumberFormat="1" applyFont="1" applyFill="1" applyBorder="1" applyAlignment="1" applyProtection="1">
      <alignment vertical="center"/>
      <protection locked="0"/>
    </xf>
    <xf numFmtId="165" fontId="17" fillId="2" borderId="141" xfId="20961" applyNumberFormat="1" applyFont="1" applyFill="1" applyBorder="1" applyAlignment="1" applyProtection="1">
      <alignment vertical="center"/>
      <protection locked="0"/>
    </xf>
    <xf numFmtId="165" fontId="17" fillId="2" borderId="150" xfId="20961" applyNumberFormat="1" applyFont="1" applyFill="1" applyBorder="1" applyAlignment="1" applyProtection="1">
      <alignment vertical="center"/>
      <protection locked="0"/>
    </xf>
    <xf numFmtId="165" fontId="4" fillId="0" borderId="151" xfId="20961" applyNumberFormat="1" applyFont="1" applyBorder="1" applyAlignment="1" applyProtection="1">
      <alignment vertical="center" wrapText="1"/>
      <protection locked="0"/>
    </xf>
    <xf numFmtId="165" fontId="4" fillId="0" borderId="141" xfId="20961" applyNumberFormat="1" applyFont="1" applyBorder="1" applyAlignment="1" applyProtection="1">
      <alignment vertical="center" wrapText="1"/>
      <protection locked="0"/>
    </xf>
    <xf numFmtId="165" fontId="4" fillId="0" borderId="150" xfId="20961" applyNumberFormat="1" applyFont="1" applyBorder="1" applyAlignment="1" applyProtection="1">
      <alignment vertical="center" wrapText="1"/>
      <protection locked="0"/>
    </xf>
    <xf numFmtId="165" fontId="9" fillId="2" borderId="151" xfId="20961" applyNumberFormat="1" applyFont="1" applyFill="1" applyBorder="1" applyAlignment="1" applyProtection="1">
      <alignment vertical="center"/>
      <protection locked="0"/>
    </xf>
    <xf numFmtId="165" fontId="9" fillId="2" borderId="141" xfId="20961" applyNumberFormat="1" applyFont="1" applyFill="1" applyBorder="1" applyAlignment="1" applyProtection="1">
      <alignment vertical="center"/>
      <protection locked="0"/>
    </xf>
    <xf numFmtId="165" fontId="9" fillId="2" borderId="150" xfId="20961" applyNumberFormat="1" applyFont="1" applyFill="1" applyBorder="1" applyAlignment="1" applyProtection="1">
      <alignment vertical="center"/>
      <protection locked="0"/>
    </xf>
    <xf numFmtId="165" fontId="17" fillId="2" borderId="149" xfId="20961" applyNumberFormat="1" applyFont="1" applyFill="1" applyBorder="1" applyAlignment="1" applyProtection="1">
      <alignment vertical="center"/>
      <protection locked="0"/>
    </xf>
    <xf numFmtId="165" fontId="17" fillId="2" borderId="148" xfId="20961" applyNumberFormat="1" applyFont="1" applyFill="1" applyBorder="1" applyAlignment="1" applyProtection="1">
      <alignment vertical="center"/>
      <protection locked="0"/>
    </xf>
    <xf numFmtId="165" fontId="17" fillId="2" borderId="147" xfId="20961" applyNumberFormat="1" applyFont="1" applyFill="1" applyBorder="1" applyAlignment="1" applyProtection="1">
      <alignment vertical="center"/>
      <protection locked="0"/>
    </xf>
    <xf numFmtId="165" fontId="4" fillId="0" borderId="97" xfId="20961" applyNumberFormat="1" applyFont="1" applyBorder="1" applyAlignment="1" applyProtection="1">
      <alignment vertical="center" wrapText="1"/>
      <protection locked="0"/>
    </xf>
    <xf numFmtId="165" fontId="4" fillId="0" borderId="111" xfId="20961" applyNumberFormat="1" applyFont="1" applyBorder="1" applyAlignment="1" applyProtection="1">
      <alignment vertical="center" wrapText="1"/>
      <protection locked="0"/>
    </xf>
    <xf numFmtId="165" fontId="17" fillId="2" borderId="97" xfId="20961" applyNumberFormat="1" applyFont="1" applyFill="1" applyBorder="1" applyAlignment="1" applyProtection="1">
      <alignment vertical="center"/>
      <protection locked="0"/>
    </xf>
    <xf numFmtId="165" fontId="17" fillId="2" borderId="111" xfId="20961" applyNumberFormat="1" applyFont="1" applyFill="1" applyBorder="1" applyAlignment="1" applyProtection="1">
      <alignment vertical="center"/>
      <protection locked="0"/>
    </xf>
    <xf numFmtId="165" fontId="9" fillId="2" borderId="97" xfId="20961" applyNumberFormat="1" applyFont="1" applyFill="1" applyBorder="1" applyAlignment="1" applyProtection="1">
      <alignment vertical="center"/>
      <protection locked="0"/>
    </xf>
    <xf numFmtId="165" fontId="9" fillId="2" borderId="111" xfId="20961" applyNumberFormat="1" applyFont="1" applyFill="1" applyBorder="1" applyAlignment="1" applyProtection="1">
      <alignment vertical="center"/>
      <protection locked="0"/>
    </xf>
    <xf numFmtId="165" fontId="17" fillId="2" borderId="22"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0" fontId="130" fillId="3" borderId="141" xfId="21414" applyFont="1" applyFill="1" applyBorder="1" applyAlignment="1">
      <alignment horizontal="left" vertical="center" wrapText="1"/>
    </xf>
    <xf numFmtId="0" fontId="131" fillId="0" borderId="141" xfId="21414" applyFont="1" applyBorder="1" applyAlignment="1">
      <alignment horizontal="left" vertical="center" wrapText="1" indent="1"/>
    </xf>
    <xf numFmtId="0" fontId="132" fillId="3" borderId="141" xfId="21414" applyFont="1" applyFill="1" applyBorder="1" applyAlignment="1">
      <alignment horizontal="left" vertical="center" wrapText="1"/>
    </xf>
    <xf numFmtId="0" fontId="131" fillId="3" borderId="141" xfId="21414" applyFont="1" applyFill="1" applyBorder="1" applyAlignment="1">
      <alignment horizontal="left" vertical="center" wrapText="1" indent="1"/>
    </xf>
    <xf numFmtId="0" fontId="130" fillId="0" borderId="141" xfId="0" applyFont="1" applyBorder="1" applyAlignment="1">
      <alignment horizontal="left" vertical="center" wrapText="1"/>
    </xf>
    <xf numFmtId="0" fontId="132" fillId="0" borderId="141" xfId="0" applyFont="1" applyBorder="1" applyAlignment="1">
      <alignment horizontal="left" vertical="center" wrapText="1"/>
    </xf>
    <xf numFmtId="0" fontId="133" fillId="3" borderId="141" xfId="0" applyFont="1" applyFill="1" applyBorder="1" applyAlignment="1">
      <alignment horizontal="left" vertical="center" wrapText="1" indent="1"/>
    </xf>
    <xf numFmtId="0" fontId="132" fillId="3" borderId="141" xfId="0" applyFont="1" applyFill="1" applyBorder="1" applyAlignment="1">
      <alignment horizontal="left" vertical="center" wrapText="1"/>
    </xf>
    <xf numFmtId="0" fontId="133" fillId="0" borderId="141" xfId="0" applyFont="1" applyBorder="1" applyAlignment="1">
      <alignment horizontal="left" vertical="center" wrapText="1" indent="1"/>
    </xf>
    <xf numFmtId="0" fontId="133" fillId="0" borderId="141" xfId="21414" applyFont="1" applyBorder="1" applyAlignment="1">
      <alignment horizontal="left" vertical="center" wrapText="1" indent="1"/>
    </xf>
    <xf numFmtId="0" fontId="132" fillId="0" borderId="141" xfId="21414" applyFont="1" applyBorder="1" applyAlignment="1">
      <alignment horizontal="left" vertical="center" wrapText="1"/>
    </xf>
    <xf numFmtId="0" fontId="131" fillId="3" borderId="141" xfId="0" applyFont="1" applyFill="1" applyBorder="1" applyAlignment="1">
      <alignment horizontal="left" vertical="center" wrapText="1" indent="1"/>
    </xf>
    <xf numFmtId="0" fontId="131" fillId="0" borderId="141" xfId="0" applyFont="1" applyBorder="1" applyAlignment="1">
      <alignment horizontal="left" vertical="center" wrapText="1" indent="1"/>
    </xf>
    <xf numFmtId="0" fontId="135" fillId="0" borderId="141" xfId="0" applyFont="1" applyBorder="1" applyAlignment="1">
      <alignment horizontal="left"/>
    </xf>
    <xf numFmtId="0" fontId="132" fillId="0" borderId="141" xfId="0" applyFont="1" applyBorder="1" applyAlignment="1">
      <alignment horizontal="justify" vertical="center" wrapText="1"/>
    </xf>
    <xf numFmtId="0" fontId="130" fillId="0" borderId="141" xfId="0" applyFont="1" applyBorder="1" applyAlignment="1">
      <alignment horizontal="justify" vertical="center" wrapText="1"/>
    </xf>
    <xf numFmtId="0" fontId="132" fillId="3" borderId="141" xfId="0" applyFont="1" applyFill="1" applyBorder="1" applyAlignment="1">
      <alignment horizontal="justify" vertical="center" wrapText="1"/>
    </xf>
    <xf numFmtId="0" fontId="132" fillId="0" borderId="141" xfId="21414" applyFont="1" applyBorder="1" applyAlignment="1">
      <alignment horizontal="justify" vertical="center" wrapText="1"/>
    </xf>
    <xf numFmtId="0" fontId="130" fillId="0" borderId="141" xfId="0" applyFont="1" applyBorder="1" applyAlignment="1">
      <alignment vertical="center" wrapText="1"/>
    </xf>
    <xf numFmtId="0" fontId="132" fillId="0" borderId="141" xfId="0" applyFont="1" applyBorder="1" applyAlignment="1">
      <alignment vertical="center" wrapText="1"/>
    </xf>
    <xf numFmtId="0" fontId="132" fillId="0" borderId="141" xfId="21414" applyFont="1" applyBorder="1" applyAlignment="1">
      <alignment vertical="center" wrapText="1"/>
    </xf>
    <xf numFmtId="165" fontId="4" fillId="0" borderId="97" xfId="20961" applyNumberFormat="1" applyFont="1" applyFill="1" applyBorder="1" applyAlignment="1" applyProtection="1">
      <alignment horizontal="right" vertical="center" wrapText="1"/>
      <protection locked="0"/>
    </xf>
    <xf numFmtId="164" fontId="3" fillId="36" borderId="97" xfId="7" applyNumberFormat="1" applyFont="1" applyFill="1" applyBorder="1"/>
    <xf numFmtId="164" fontId="3" fillId="36" borderId="97" xfId="7" applyNumberFormat="1" applyFont="1" applyFill="1" applyBorder="1" applyAlignment="1">
      <alignment vertical="center"/>
    </xf>
    <xf numFmtId="164" fontId="0" fillId="0" borderId="134" xfId="7" applyNumberFormat="1" applyFont="1" applyBorder="1"/>
    <xf numFmtId="164" fontId="1" fillId="0" borderId="134" xfId="7" applyNumberFormat="1" applyFont="1" applyBorder="1"/>
    <xf numFmtId="164" fontId="0" fillId="36" borderId="134" xfId="7" applyNumberFormat="1" applyFont="1" applyFill="1" applyBorder="1"/>
    <xf numFmtId="164" fontId="3" fillId="36" borderId="134" xfId="7" applyNumberFormat="1" applyFont="1" applyFill="1" applyBorder="1"/>
    <xf numFmtId="164" fontId="1" fillId="0" borderId="97" xfId="7" applyNumberFormat="1" applyFont="1" applyBorder="1"/>
    <xf numFmtId="164" fontId="0" fillId="0" borderId="0" xfId="0" applyNumberFormat="1"/>
    <xf numFmtId="167" fontId="4" fillId="0" borderId="0" xfId="0" applyNumberFormat="1" applyFont="1"/>
    <xf numFmtId="164" fontId="4" fillId="0" borderId="141" xfId="7" applyNumberFormat="1" applyFont="1" applyFill="1" applyBorder="1" applyAlignment="1">
      <alignment vertical="center" wrapText="1"/>
    </xf>
    <xf numFmtId="164" fontId="4" fillId="0" borderId="150" xfId="7" applyNumberFormat="1" applyFont="1" applyFill="1" applyBorder="1" applyAlignment="1">
      <alignment vertical="center" wrapText="1"/>
    </xf>
    <xf numFmtId="164" fontId="4" fillId="0" borderId="141" xfId="7" applyNumberFormat="1" applyFont="1" applyBorder="1" applyAlignment="1">
      <alignment vertical="center"/>
    </xf>
    <xf numFmtId="164" fontId="4" fillId="0" borderId="150" xfId="7" applyNumberFormat="1" applyFont="1" applyBorder="1" applyAlignment="1">
      <alignment vertical="center"/>
    </xf>
    <xf numFmtId="164" fontId="0" fillId="0" borderId="97" xfId="7" applyNumberFormat="1" applyFont="1" applyBorder="1"/>
    <xf numFmtId="164" fontId="0" fillId="0" borderId="97" xfId="7" applyNumberFormat="1" applyFont="1" applyBorder="1" applyAlignment="1">
      <alignment vertical="center"/>
    </xf>
    <xf numFmtId="164" fontId="7" fillId="3" borderId="19" xfId="7" applyNumberFormat="1" applyFont="1" applyFill="1" applyBorder="1" applyAlignment="1" applyProtection="1">
      <alignment vertical="top"/>
      <protection locked="0"/>
    </xf>
    <xf numFmtId="164" fontId="7" fillId="3" borderId="19" xfId="7" applyNumberFormat="1" applyFont="1" applyFill="1" applyBorder="1" applyAlignment="1" applyProtection="1">
      <alignment vertical="top" wrapText="1"/>
      <protection locked="0"/>
    </xf>
    <xf numFmtId="164" fontId="4" fillId="0" borderId="111" xfId="7" applyNumberFormat="1" applyFont="1" applyBorder="1" applyAlignment="1">
      <alignment horizontal="right" vertical="center" wrapText="1"/>
    </xf>
    <xf numFmtId="164" fontId="6" fillId="36" borderId="111" xfId="7" applyNumberFormat="1" applyFont="1" applyFill="1" applyBorder="1" applyAlignment="1">
      <alignment horizontal="right" vertical="center" wrapText="1"/>
    </xf>
    <xf numFmtId="164" fontId="109" fillId="0" borderId="111" xfId="7" applyNumberFormat="1" applyFont="1" applyBorder="1" applyAlignment="1">
      <alignment horizontal="right" vertical="center" wrapText="1"/>
    </xf>
    <xf numFmtId="164" fontId="6" fillId="36" borderId="111" xfId="7" applyNumberFormat="1" applyFont="1" applyFill="1" applyBorder="1" applyAlignment="1">
      <alignment horizontal="center" vertical="center" wrapText="1"/>
    </xf>
    <xf numFmtId="164" fontId="7" fillId="0" borderId="23" xfId="7" applyNumberFormat="1" applyFont="1" applyFill="1" applyBorder="1" applyAlignment="1" applyProtection="1">
      <alignment horizontal="right" vertical="center"/>
    </xf>
    <xf numFmtId="164" fontId="23" fillId="0" borderId="12" xfId="7" applyNumberFormat="1" applyFont="1" applyBorder="1" applyAlignment="1">
      <alignment horizontal="center" vertical="center"/>
    </xf>
    <xf numFmtId="0" fontId="134" fillId="0" borderId="141" xfId="21414" applyFont="1" applyBorder="1" applyAlignment="1">
      <alignment horizontal="center" vertical="center" wrapText="1"/>
    </xf>
    <xf numFmtId="167" fontId="22" fillId="0" borderId="20" xfId="0" applyNumberFormat="1" applyFont="1" applyBorder="1" applyAlignment="1">
      <alignment horizontal="center"/>
    </xf>
    <xf numFmtId="167" fontId="19" fillId="85" borderId="156" xfId="0" applyNumberFormat="1" applyFont="1" applyFill="1" applyBorder="1" applyAlignment="1">
      <alignment horizontal="center"/>
    </xf>
    <xf numFmtId="164" fontId="22" fillId="0" borderId="141" xfId="7" applyNumberFormat="1" applyFont="1" applyBorder="1" applyAlignment="1">
      <alignment horizontal="center" vertical="center"/>
    </xf>
    <xf numFmtId="167" fontId="23" fillId="0" borderId="141" xfId="0" applyNumberFormat="1" applyFont="1" applyBorder="1" applyAlignment="1">
      <alignment horizontal="center"/>
    </xf>
    <xf numFmtId="167" fontId="22" fillId="0" borderId="141" xfId="0" applyNumberFormat="1" applyFont="1" applyBorder="1" applyAlignment="1">
      <alignment horizontal="center"/>
    </xf>
    <xf numFmtId="164" fontId="22" fillId="0" borderId="29" xfId="7" applyNumberFormat="1" applyFont="1" applyBorder="1" applyAlignment="1">
      <alignment horizontal="center" vertical="center"/>
    </xf>
    <xf numFmtId="164" fontId="22" fillId="0" borderId="12" xfId="7" applyNumberFormat="1" applyFont="1" applyBorder="1" applyAlignment="1">
      <alignment horizontal="center" vertical="center"/>
    </xf>
    <xf numFmtId="164" fontId="19" fillId="0" borderId="12" xfId="7" applyNumberFormat="1" applyFont="1" applyBorder="1" applyAlignment="1">
      <alignment horizontal="center" vertical="center"/>
    </xf>
    <xf numFmtId="164" fontId="104" fillId="0" borderId="12" xfId="7" applyNumberFormat="1" applyFont="1" applyBorder="1" applyAlignment="1">
      <alignment horizontal="center" vertical="center"/>
    </xf>
    <xf numFmtId="164" fontId="23" fillId="0" borderId="13" xfId="7" applyNumberFormat="1" applyFont="1" applyBorder="1" applyAlignment="1">
      <alignment horizontal="center" vertical="center"/>
    </xf>
    <xf numFmtId="164" fontId="23" fillId="0" borderId="141" xfId="7" applyNumberFormat="1" applyFont="1" applyBorder="1" applyAlignment="1">
      <alignment horizontal="center" vertical="center"/>
    </xf>
    <xf numFmtId="164" fontId="23" fillId="0" borderId="14" xfId="7" applyNumberFormat="1" applyFont="1" applyBorder="1" applyAlignment="1">
      <alignment horizontal="center" vertical="center"/>
    </xf>
    <xf numFmtId="164" fontId="23" fillId="0" borderId="157" xfId="7" applyNumberFormat="1" applyFont="1" applyBorder="1" applyAlignment="1">
      <alignment horizontal="center" vertical="center"/>
    </xf>
    <xf numFmtId="164" fontId="23" fillId="0" borderId="158" xfId="7" applyNumberFormat="1" applyFont="1" applyBorder="1" applyAlignment="1">
      <alignment horizontal="center" vertical="center"/>
    </xf>
    <xf numFmtId="164" fontId="22" fillId="0" borderId="158" xfId="7" applyNumberFormat="1" applyFont="1" applyBorder="1" applyAlignment="1">
      <alignment horizontal="center" vertical="center"/>
    </xf>
    <xf numFmtId="164" fontId="19" fillId="0" borderId="158" xfId="7" applyNumberFormat="1" applyFont="1" applyBorder="1" applyAlignment="1">
      <alignment vertical="center"/>
    </xf>
    <xf numFmtId="164" fontId="22" fillId="0" borderId="159" xfId="7" applyNumberFormat="1" applyFont="1" applyBorder="1" applyAlignment="1">
      <alignment horizontal="center" vertical="center"/>
    </xf>
    <xf numFmtId="164" fontId="22" fillId="0" borderId="157" xfId="7" applyNumberFormat="1" applyFont="1" applyBorder="1" applyAlignment="1">
      <alignment horizontal="center" vertical="center"/>
    </xf>
    <xf numFmtId="164" fontId="23" fillId="0" borderId="134" xfId="7" applyNumberFormat="1" applyFont="1" applyBorder="1" applyAlignment="1">
      <alignment horizontal="center" vertical="center"/>
    </xf>
    <xf numFmtId="164" fontId="22" fillId="0" borderId="134" xfId="7" applyNumberFormat="1" applyFont="1" applyBorder="1" applyAlignment="1">
      <alignment horizontal="center" vertical="center"/>
    </xf>
    <xf numFmtId="164" fontId="22" fillId="0" borderId="134" xfId="7" applyNumberFormat="1" applyFont="1" applyBorder="1" applyAlignment="1">
      <alignment horizontal="center"/>
    </xf>
    <xf numFmtId="164" fontId="23" fillId="0" borderId="134" xfId="7" applyNumberFormat="1" applyFont="1" applyBorder="1" applyAlignment="1">
      <alignment horizontal="center"/>
    </xf>
    <xf numFmtId="164" fontId="23" fillId="0" borderId="134" xfId="7" applyNumberFormat="1" applyFont="1" applyBorder="1"/>
    <xf numFmtId="43" fontId="23" fillId="0" borderId="0" xfId="0" applyNumberFormat="1" applyFont="1"/>
    <xf numFmtId="43" fontId="4" fillId="0" borderId="3" xfId="7" applyFont="1" applyBorder="1"/>
    <xf numFmtId="43" fontId="4" fillId="0" borderId="8" xfId="7" applyFont="1" applyBorder="1"/>
    <xf numFmtId="10" fontId="113" fillId="79" borderId="97" xfId="20961" applyNumberFormat="1" applyFont="1" applyFill="1" applyBorder="1" applyAlignment="1" applyProtection="1">
      <alignment horizontal="right" vertical="center"/>
    </xf>
    <xf numFmtId="10" fontId="4" fillId="0" borderId="20" xfId="20961" applyNumberFormat="1" applyFont="1" applyBorder="1"/>
    <xf numFmtId="0" fontId="9" fillId="0" borderId="105" xfId="0" applyFont="1" applyBorder="1" applyAlignment="1">
      <alignment vertical="center"/>
    </xf>
    <xf numFmtId="0" fontId="13" fillId="0" borderId="140" xfId="0" applyFont="1" applyBorder="1" applyAlignment="1">
      <alignment wrapText="1"/>
    </xf>
    <xf numFmtId="10" fontId="4" fillId="0" borderId="111" xfId="20961" applyNumberFormat="1" applyFont="1" applyBorder="1"/>
    <xf numFmtId="10" fontId="4" fillId="0" borderId="106" xfId="20961" applyNumberFormat="1" applyFont="1" applyBorder="1"/>
    <xf numFmtId="43" fontId="120" fillId="0" borderId="134" xfId="7" applyFont="1" applyBorder="1"/>
    <xf numFmtId="43" fontId="117" fillId="0" borderId="134" xfId="7" applyFont="1" applyBorder="1"/>
    <xf numFmtId="164" fontId="116" fillId="0" borderId="141" xfId="7" applyNumberFormat="1" applyFont="1" applyBorder="1"/>
    <xf numFmtId="164" fontId="119" fillId="0" borderId="141" xfId="7" applyNumberFormat="1" applyFont="1" applyBorder="1"/>
    <xf numFmtId="164" fontId="120" fillId="0" borderId="141" xfId="7" applyNumberFormat="1" applyFont="1" applyBorder="1"/>
    <xf numFmtId="164" fontId="117" fillId="0" borderId="141" xfId="7" applyNumberFormat="1" applyFont="1" applyBorder="1"/>
    <xf numFmtId="164" fontId="116" fillId="0" borderId="141" xfId="7" applyNumberFormat="1" applyFont="1" applyBorder="1" applyAlignment="1">
      <alignment horizontal="left" indent="1"/>
    </xf>
    <xf numFmtId="164" fontId="119" fillId="0" borderId="141" xfId="0" applyNumberFormat="1" applyFont="1" applyBorder="1"/>
    <xf numFmtId="164" fontId="119" fillId="84" borderId="141" xfId="7" applyNumberFormat="1" applyFont="1" applyFill="1" applyBorder="1"/>
    <xf numFmtId="164" fontId="119" fillId="0" borderId="67" xfId="7" applyNumberFormat="1" applyFont="1" applyBorder="1"/>
    <xf numFmtId="164" fontId="116" fillId="0" borderId="150" xfId="7" applyNumberFormat="1" applyFont="1" applyBorder="1"/>
    <xf numFmtId="164" fontId="116" fillId="0" borderId="151" xfId="7" applyNumberFormat="1" applyFont="1" applyBorder="1" applyAlignment="1">
      <alignment horizontal="left" indent="1"/>
    </xf>
    <xf numFmtId="164" fontId="116" fillId="0" borderId="151" xfId="7" applyNumberFormat="1" applyFont="1" applyBorder="1" applyAlignment="1">
      <alignment horizontal="left" indent="2"/>
    </xf>
    <xf numFmtId="164" fontId="116" fillId="0" borderId="151" xfId="7" applyNumberFormat="1" applyFont="1" applyBorder="1" applyAlignment="1">
      <alignment horizontal="left" indent="3"/>
    </xf>
    <xf numFmtId="164" fontId="116" fillId="81" borderId="151" xfId="7" applyNumberFormat="1" applyFont="1" applyFill="1" applyBorder="1"/>
    <xf numFmtId="164" fontId="116" fillId="81" borderId="141" xfId="7" applyNumberFormat="1" applyFont="1" applyFill="1" applyBorder="1"/>
    <xf numFmtId="164" fontId="116" fillId="81" borderId="150" xfId="7" applyNumberFormat="1" applyFont="1" applyFill="1" applyBorder="1"/>
    <xf numFmtId="164" fontId="116" fillId="0" borderId="151" xfId="7" applyNumberFormat="1" applyFont="1" applyBorder="1" applyAlignment="1">
      <alignment horizontal="left" vertical="top" wrapText="1" indent="2"/>
    </xf>
    <xf numFmtId="164" fontId="116" fillId="0" borderId="151" xfId="7" applyNumberFormat="1" applyFont="1" applyBorder="1" applyAlignment="1">
      <alignment horizontal="left" wrapText="1" indent="3"/>
    </xf>
    <xf numFmtId="164" fontId="116" fillId="0" borderId="151" xfId="7" applyNumberFormat="1" applyFont="1" applyBorder="1" applyAlignment="1">
      <alignment horizontal="left" wrapText="1" indent="2"/>
    </xf>
    <xf numFmtId="164" fontId="116" fillId="0" borderId="151" xfId="7" applyNumberFormat="1" applyFont="1" applyBorder="1" applyAlignment="1">
      <alignment horizontal="left" wrapText="1" indent="1"/>
    </xf>
    <xf numFmtId="164" fontId="116" fillId="0" borderId="149" xfId="7" applyNumberFormat="1" applyFont="1" applyBorder="1" applyAlignment="1">
      <alignment horizontal="left" wrapText="1" indent="1"/>
    </xf>
    <xf numFmtId="164" fontId="116" fillId="0" borderId="148" xfId="7" applyNumberFormat="1" applyFont="1" applyBorder="1"/>
    <xf numFmtId="164" fontId="116" fillId="0" borderId="147" xfId="7" applyNumberFormat="1" applyFont="1" applyBorder="1"/>
    <xf numFmtId="164" fontId="116" fillId="0" borderId="141" xfId="7" applyNumberFormat="1" applyFont="1" applyBorder="1" applyAlignment="1">
      <alignment horizontal="left" vertical="center" wrapText="1"/>
    </xf>
    <xf numFmtId="164" fontId="116" fillId="0" borderId="141" xfId="7" applyNumberFormat="1" applyFont="1" applyBorder="1" applyAlignment="1">
      <alignment horizontal="center" vertical="center" textRotation="90" wrapText="1"/>
    </xf>
    <xf numFmtId="164" fontId="116" fillId="0" borderId="141" xfId="7" applyNumberFormat="1" applyFont="1" applyBorder="1" applyAlignment="1">
      <alignment horizontal="center" vertical="center" wrapText="1"/>
    </xf>
    <xf numFmtId="164" fontId="116" fillId="0" borderId="141" xfId="7" applyNumberFormat="1" applyFont="1" applyBorder="1" applyAlignment="1">
      <alignment horizontal="center" vertical="center"/>
    </xf>
    <xf numFmtId="164" fontId="119" fillId="0" borderId="141" xfId="0" applyNumberFormat="1" applyFont="1" applyBorder="1" applyAlignment="1">
      <alignment horizontal="left" vertical="center" wrapText="1"/>
    </xf>
    <xf numFmtId="164" fontId="121" fillId="0" borderId="141" xfId="7" applyNumberFormat="1" applyFont="1" applyBorder="1"/>
    <xf numFmtId="164" fontId="121" fillId="0" borderId="142" xfId="7" applyNumberFormat="1" applyFont="1" applyBorder="1"/>
    <xf numFmtId="164" fontId="143" fillId="0" borderId="141" xfId="0" applyNumberFormat="1" applyFont="1" applyBorder="1"/>
    <xf numFmtId="164" fontId="139" fillId="0" borderId="0" xfId="0" applyNumberFormat="1" applyFont="1"/>
    <xf numFmtId="164" fontId="117" fillId="0" borderId="0" xfId="0" applyNumberFormat="1" applyFont="1"/>
    <xf numFmtId="43" fontId="117" fillId="0" borderId="0" xfId="7" applyFont="1"/>
    <xf numFmtId="43" fontId="120" fillId="0" borderId="0" xfId="7" applyFont="1"/>
    <xf numFmtId="194" fontId="120" fillId="0" borderId="0" xfId="7" applyNumberFormat="1" applyFont="1"/>
    <xf numFmtId="43" fontId="117" fillId="0" borderId="0" xfId="0" applyNumberFormat="1" applyFont="1"/>
    <xf numFmtId="165" fontId="9" fillId="2" borderId="22" xfId="20961" applyNumberFormat="1" applyFont="1" applyFill="1" applyBorder="1" applyAlignment="1" applyProtection="1">
      <alignment vertical="center"/>
      <protection locked="0"/>
    </xf>
    <xf numFmtId="10" fontId="9" fillId="2" borderId="97" xfId="20961" applyNumberFormat="1" applyFont="1" applyFill="1" applyBorder="1" applyAlignment="1" applyProtection="1">
      <alignment vertical="center"/>
      <protection locked="0"/>
    </xf>
    <xf numFmtId="164" fontId="26" fillId="37" borderId="0" xfId="7" applyNumberFormat="1" applyFont="1" applyFill="1"/>
    <xf numFmtId="164" fontId="4" fillId="0" borderId="52" xfId="7" applyNumberFormat="1" applyFont="1" applyBorder="1" applyAlignment="1">
      <alignment vertical="center"/>
    </xf>
    <xf numFmtId="164" fontId="4" fillId="0" borderId="62" xfId="7" applyNumberFormat="1" applyFont="1" applyBorder="1" applyAlignment="1">
      <alignment vertical="center"/>
    </xf>
    <xf numFmtId="164" fontId="4" fillId="3" borderId="95" xfId="7" applyNumberFormat="1" applyFont="1" applyFill="1" applyBorder="1" applyAlignment="1">
      <alignment vertical="center"/>
    </xf>
    <xf numFmtId="164" fontId="4" fillId="3" borderId="20" xfId="7" applyNumberFormat="1" applyFont="1" applyFill="1" applyBorder="1" applyAlignment="1">
      <alignment vertical="center"/>
    </xf>
    <xf numFmtId="164" fontId="4" fillId="0" borderId="98" xfId="7" applyNumberFormat="1" applyFont="1" applyBorder="1" applyAlignment="1">
      <alignment vertical="center"/>
    </xf>
    <xf numFmtId="164" fontId="4" fillId="0" borderId="111" xfId="7" applyNumberFormat="1" applyFont="1" applyBorder="1" applyAlignment="1">
      <alignment vertical="center"/>
    </xf>
    <xf numFmtId="164" fontId="4" fillId="0" borderId="22" xfId="7" applyNumberFormat="1" applyFont="1" applyBorder="1" applyAlignment="1">
      <alignment vertical="center"/>
    </xf>
    <xf numFmtId="164" fontId="4" fillId="0" borderId="24" xfId="7" applyNumberFormat="1" applyFont="1" applyBorder="1" applyAlignment="1">
      <alignment vertical="center"/>
    </xf>
    <xf numFmtId="164" fontId="4" fillId="0" borderId="23" xfId="7" applyNumberFormat="1" applyFont="1" applyBorder="1" applyAlignment="1">
      <alignment vertical="center"/>
    </xf>
    <xf numFmtId="164" fontId="4" fillId="0" borderId="25" xfId="7" applyNumberFormat="1" applyFont="1" applyBorder="1" applyAlignment="1">
      <alignment vertical="center"/>
    </xf>
    <xf numFmtId="164" fontId="4" fillId="0" borderId="93" xfId="7" applyNumberFormat="1" applyFont="1" applyBorder="1" applyAlignment="1">
      <alignment vertical="center"/>
    </xf>
    <xf numFmtId="10" fontId="4" fillId="0" borderId="91" xfId="20961" applyNumberFormat="1" applyFont="1" applyBorder="1" applyAlignment="1">
      <alignment vertical="center"/>
    </xf>
    <xf numFmtId="164" fontId="4" fillId="0" borderId="17" xfId="7" applyNumberFormat="1" applyFont="1" applyBorder="1" applyAlignment="1">
      <alignment vertical="center"/>
    </xf>
    <xf numFmtId="164" fontId="4" fillId="0" borderId="106" xfId="7" applyNumberFormat="1" applyFont="1" applyBorder="1" applyAlignment="1">
      <alignment vertical="center"/>
    </xf>
    <xf numFmtId="9" fontId="9" fillId="2" borderId="97" xfId="20961" applyFont="1" applyFill="1" applyBorder="1" applyAlignment="1" applyProtection="1">
      <alignment vertical="center"/>
      <protection locked="0"/>
    </xf>
    <xf numFmtId="0" fontId="104" fillId="0" borderId="64" xfId="0" applyFont="1" applyBorder="1" applyAlignment="1">
      <alignment horizontal="left" vertical="center" wrapText="1"/>
    </xf>
    <xf numFmtId="0" fontId="104" fillId="0" borderId="63" xfId="0" applyFont="1" applyBorder="1" applyAlignment="1">
      <alignment horizontal="left" vertical="center" wrapText="1"/>
    </xf>
    <xf numFmtId="0" fontId="141" fillId="0" borderId="154" xfId="0" applyFont="1" applyBorder="1" applyAlignment="1">
      <alignment horizontal="center" vertical="center"/>
    </xf>
    <xf numFmtId="0" fontId="141" fillId="0" borderId="28" xfId="0" applyFont="1" applyBorder="1" applyAlignment="1">
      <alignment horizontal="center" vertical="center"/>
    </xf>
    <xf numFmtId="0" fontId="141" fillId="0" borderId="155" xfId="0" applyFont="1" applyBorder="1" applyAlignment="1">
      <alignment horizontal="center" vertical="center"/>
    </xf>
    <xf numFmtId="0" fontId="142" fillId="0" borderId="154" xfId="0" applyFont="1" applyBorder="1" applyAlignment="1">
      <alignment horizontal="center" wrapText="1"/>
    </xf>
    <xf numFmtId="0" fontId="142" fillId="0" borderId="28" xfId="0" applyFont="1" applyBorder="1" applyAlignment="1">
      <alignment horizontal="center" wrapText="1"/>
    </xf>
    <xf numFmtId="0" fontId="142" fillId="0" borderId="155" xfId="0" applyFont="1" applyBorder="1" applyAlignment="1">
      <alignment horizontal="center" wrapText="1"/>
    </xf>
    <xf numFmtId="164" fontId="0" fillId="0" borderId="98" xfId="7" applyNumberFormat="1" applyFont="1" applyBorder="1" applyAlignment="1">
      <alignment horizontal="center"/>
    </xf>
    <xf numFmtId="164" fontId="0" fillId="0" borderId="95" xfId="7" applyNumberFormat="1" applyFont="1" applyBorder="1" applyAlignment="1">
      <alignment horizontal="center"/>
    </xf>
    <xf numFmtId="164" fontId="0" fillId="0" borderId="96" xfId="7" applyNumberFormat="1" applyFont="1" applyBorder="1" applyAlignment="1">
      <alignment horizontal="center"/>
    </xf>
    <xf numFmtId="164" fontId="0" fillId="0" borderId="135" xfId="7" applyNumberFormat="1" applyFont="1" applyBorder="1" applyAlignment="1">
      <alignment horizontal="center"/>
    </xf>
    <xf numFmtId="164" fontId="0" fillId="0" borderId="136" xfId="7" applyNumberFormat="1" applyFont="1" applyBorder="1" applyAlignment="1">
      <alignment horizontal="center"/>
    </xf>
    <xf numFmtId="164" fontId="0" fillId="0" borderId="137" xfId="7" applyNumberFormat="1" applyFont="1" applyBorder="1" applyAlignment="1">
      <alignment horizontal="center"/>
    </xf>
    <xf numFmtId="0" fontId="0" fillId="0" borderId="134" xfId="0" applyBorder="1" applyAlignment="1">
      <alignment horizontal="center" vertical="center"/>
    </xf>
    <xf numFmtId="0" fontId="128" fillId="0" borderId="92" xfId="0" applyFont="1" applyBorder="1" applyAlignment="1">
      <alignment horizontal="center" vertical="center"/>
    </xf>
    <xf numFmtId="0" fontId="128"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98"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128" fillId="0" borderId="138"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7" xfId="0" applyBorder="1" applyAlignment="1">
      <alignment horizontal="center" vertical="center"/>
    </xf>
    <xf numFmtId="0" fontId="0" fillId="0" borderId="11" xfId="0" applyBorder="1" applyAlignment="1">
      <alignment horizontal="center" vertical="center"/>
    </xf>
    <xf numFmtId="0" fontId="0" fillId="0" borderId="134" xfId="0" applyBorder="1" applyAlignment="1">
      <alignment horizontal="center" vertical="center" wrapText="1"/>
    </xf>
    <xf numFmtId="0" fontId="10" fillId="0" borderId="16" xfId="0" applyFont="1" applyBorder="1" applyAlignment="1">
      <alignment horizontal="center"/>
    </xf>
    <xf numFmtId="0" fontId="10" fillId="0" borderId="17" xfId="0" applyFont="1" applyBorder="1" applyAlignment="1">
      <alignment horizontal="center"/>
    </xf>
    <xf numFmtId="0" fontId="13" fillId="0" borderId="3" xfId="0" applyFont="1" applyBorder="1" applyAlignment="1">
      <alignment wrapText="1"/>
    </xf>
    <xf numFmtId="0" fontId="4" fillId="0" borderId="19" xfId="0" applyFont="1" applyBorder="1"/>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xf>
    <xf numFmtId="0" fontId="4" fillId="0" borderId="20" xfId="0" applyFont="1" applyBorder="1" applyAlignment="1">
      <alignment horizontal="center"/>
    </xf>
    <xf numFmtId="0" fontId="6" fillId="36" borderId="115"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101" fillId="3" borderId="65" xfId="13" applyFont="1" applyFill="1" applyBorder="1" applyAlignment="1" applyProtection="1">
      <alignment horizontal="center" vertical="center" wrapText="1"/>
      <protection locked="0"/>
    </xf>
    <xf numFmtId="0" fontId="101"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5" xfId="1" applyNumberFormat="1" applyFont="1" applyFill="1" applyBorder="1" applyAlignment="1" applyProtection="1">
      <alignment horizontal="center"/>
      <protection locked="0"/>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6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4" xfId="0" applyFont="1" applyBorder="1" applyAlignment="1">
      <alignment horizontal="center"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4" fillId="0" borderId="16" xfId="0" applyFont="1" applyBorder="1" applyAlignment="1">
      <alignment horizontal="center"/>
    </xf>
    <xf numFmtId="0" fontId="4" fillId="0" borderId="17" xfId="0" applyFont="1" applyBorder="1" applyAlignment="1">
      <alignment horizontal="center" vertical="center" wrapText="1"/>
    </xf>
    <xf numFmtId="0" fontId="4" fillId="0" borderId="111" xfId="0" applyFont="1" applyBorder="1" applyAlignment="1">
      <alignment horizontal="center" vertical="center" wrapText="1"/>
    </xf>
    <xf numFmtId="0" fontId="119" fillId="0" borderId="118" xfId="0" applyFont="1" applyBorder="1" applyAlignment="1">
      <alignment horizontal="left" vertical="center" wrapText="1"/>
    </xf>
    <xf numFmtId="0" fontId="119" fillId="0" borderId="119" xfId="0" applyFont="1" applyBorder="1" applyAlignment="1">
      <alignment horizontal="left" vertical="center" wrapText="1"/>
    </xf>
    <xf numFmtId="0" fontId="119" fillId="0" borderId="121"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4" xfId="0" applyFont="1" applyBorder="1" applyAlignment="1">
      <alignment horizontal="left" vertical="center" wrapText="1"/>
    </xf>
    <xf numFmtId="0" fontId="119" fillId="0" borderId="125" xfId="0" applyFont="1" applyBorder="1" applyAlignment="1">
      <alignment horizontal="left" vertical="center" wrapText="1"/>
    </xf>
    <xf numFmtId="0" fontId="120" fillId="0" borderId="140" xfId="0" applyFont="1" applyBorder="1" applyAlignment="1">
      <alignment horizontal="center" vertical="center" wrapText="1"/>
    </xf>
    <xf numFmtId="0" fontId="120" fillId="0" borderId="139" xfId="0" applyFont="1" applyBorder="1" applyAlignment="1">
      <alignment horizontal="center" vertical="center" wrapText="1"/>
    </xf>
    <xf numFmtId="0" fontId="120" fillId="0" borderId="120" xfId="0" applyFont="1" applyBorder="1" applyAlignment="1">
      <alignment horizontal="center" vertical="center" wrapText="1"/>
    </xf>
    <xf numFmtId="0" fontId="120" fillId="0" borderId="52" xfId="0" applyFont="1" applyBorder="1" applyAlignment="1">
      <alignment horizontal="center" vertical="center" wrapText="1"/>
    </xf>
    <xf numFmtId="0" fontId="120" fillId="0" borderId="123"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1"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43" xfId="0" applyFont="1" applyBorder="1" applyAlignment="1">
      <alignment horizontal="center" vertical="center" wrapText="1"/>
    </xf>
    <xf numFmtId="0" fontId="124" fillId="0" borderId="141" xfId="0" applyFont="1" applyBorder="1" applyAlignment="1">
      <alignment horizontal="center" vertical="center"/>
    </xf>
    <xf numFmtId="0" fontId="118" fillId="0" borderId="140" xfId="0" applyFont="1" applyBorder="1" applyAlignment="1">
      <alignment horizontal="center" vertical="center"/>
    </xf>
    <xf numFmtId="0" fontId="118" fillId="0" borderId="145" xfId="0" applyFont="1" applyBorder="1" applyAlignment="1">
      <alignment horizontal="center" vertical="center"/>
    </xf>
    <xf numFmtId="0" fontId="118" fillId="0" borderId="52" xfId="0" applyFont="1" applyBorder="1" applyAlignment="1">
      <alignment horizontal="center" vertical="center"/>
    </xf>
    <xf numFmtId="0" fontId="118" fillId="0" borderId="11" xfId="0" applyFont="1" applyBorder="1" applyAlignment="1">
      <alignment horizontal="center" vertical="center"/>
    </xf>
    <xf numFmtId="0" fontId="119" fillId="0" borderId="141" xfId="0" applyFont="1" applyBorder="1" applyAlignment="1">
      <alignment horizontal="center" vertical="center" wrapText="1"/>
    </xf>
    <xf numFmtId="0" fontId="119" fillId="0" borderId="140"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26"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46"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8"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53"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104" xfId="0" applyFont="1" applyBorder="1" applyAlignment="1">
      <alignment horizontal="center" vertical="center" wrapText="1"/>
    </xf>
    <xf numFmtId="0" fontId="119" fillId="0" borderId="53" xfId="0" applyFont="1" applyBorder="1" applyAlignment="1">
      <alignment horizontal="left" vertical="top" wrapText="1"/>
    </xf>
    <xf numFmtId="0" fontId="119" fillId="0" borderId="104" xfId="0" applyFont="1" applyBorder="1" applyAlignment="1">
      <alignment horizontal="left" vertical="top" wrapText="1"/>
    </xf>
    <xf numFmtId="0" fontId="119" fillId="0" borderId="61" xfId="0" applyFont="1" applyBorder="1" applyAlignment="1">
      <alignment horizontal="left" vertical="top" wrapText="1"/>
    </xf>
    <xf numFmtId="0" fontId="119" fillId="0" borderId="90" xfId="0" applyFont="1" applyBorder="1" applyAlignment="1">
      <alignment horizontal="left" vertical="top" wrapText="1"/>
    </xf>
    <xf numFmtId="0" fontId="119" fillId="0" borderId="117" xfId="0" applyFont="1" applyBorder="1" applyAlignment="1">
      <alignment horizontal="left" vertical="top" wrapText="1"/>
    </xf>
    <xf numFmtId="0" fontId="119" fillId="0" borderId="152" xfId="0" applyFont="1" applyBorder="1" applyAlignment="1">
      <alignment horizontal="left" vertical="top" wrapText="1"/>
    </xf>
    <xf numFmtId="0" fontId="119" fillId="0" borderId="153" xfId="0" applyFont="1" applyBorder="1" applyAlignment="1">
      <alignment horizontal="center" vertical="center" wrapText="1"/>
    </xf>
    <xf numFmtId="0" fontId="119" fillId="0" borderId="67" xfId="0" applyFont="1" applyBorder="1" applyAlignment="1">
      <alignment horizontal="center" vertical="center" wrapText="1"/>
    </xf>
    <xf numFmtId="0" fontId="116" fillId="0" borderId="140" xfId="0" applyFont="1" applyBorder="1" applyAlignment="1">
      <alignment horizontal="center" vertical="top" wrapText="1"/>
    </xf>
    <xf numFmtId="0" fontId="116" fillId="0" borderId="139" xfId="0" applyFont="1" applyBorder="1" applyAlignment="1">
      <alignment horizontal="center" vertical="top" wrapText="1"/>
    </xf>
    <xf numFmtId="0" fontId="116" fillId="0" borderId="146" xfId="0" applyFont="1" applyBorder="1" applyAlignment="1">
      <alignment horizontal="center" vertical="top" wrapText="1"/>
    </xf>
    <xf numFmtId="0" fontId="116" fillId="0" borderId="143" xfId="0" applyFont="1" applyBorder="1" applyAlignment="1">
      <alignment horizontal="center" vertical="top" wrapText="1"/>
    </xf>
    <xf numFmtId="0" fontId="105" fillId="0" borderId="129" xfId="0" applyFont="1" applyBorder="1" applyAlignment="1">
      <alignment horizontal="left" vertical="top" wrapText="1"/>
    </xf>
    <xf numFmtId="0" fontId="105" fillId="0" borderId="130" xfId="0" applyFont="1" applyBorder="1" applyAlignment="1">
      <alignment horizontal="left" vertical="top" wrapText="1"/>
    </xf>
    <xf numFmtId="0" fontId="122" fillId="0" borderId="141" xfId="0" applyFont="1" applyBorder="1" applyAlignment="1">
      <alignment horizontal="center" vertical="center"/>
    </xf>
    <xf numFmtId="0" fontId="121" fillId="0" borderId="141" xfId="0" applyFont="1" applyBorder="1" applyAlignment="1">
      <alignment horizontal="center" vertical="center" wrapText="1"/>
    </xf>
    <xf numFmtId="0" fontId="121" fillId="0" borderId="142" xfId="0" applyFont="1" applyBorder="1" applyAlignment="1">
      <alignment horizontal="center" vertical="center" wrapText="1"/>
    </xf>
    <xf numFmtId="0" fontId="105" fillId="76" borderId="144" xfId="0" applyFont="1" applyFill="1" applyBorder="1" applyAlignment="1">
      <alignment horizontal="center" vertical="center" wrapText="1"/>
    </xf>
    <xf numFmtId="0" fontId="105" fillId="76" borderId="143" xfId="0" applyFont="1" applyFill="1" applyBorder="1" applyAlignment="1">
      <alignment horizontal="center" vertical="center" wrapText="1"/>
    </xf>
    <xf numFmtId="0" fontId="106" fillId="0" borderId="144" xfId="0" applyFont="1" applyBorder="1" applyAlignment="1">
      <alignment horizontal="left" vertical="center" wrapText="1"/>
    </xf>
    <xf numFmtId="0" fontId="106" fillId="0" borderId="143" xfId="0" applyFont="1" applyBorder="1" applyAlignment="1">
      <alignment horizontal="left" vertical="center" wrapText="1"/>
    </xf>
    <xf numFmtId="0" fontId="106" fillId="0" borderId="144" xfId="13" applyFont="1" applyBorder="1" applyAlignment="1" applyProtection="1">
      <alignment horizontal="left" vertical="top" wrapText="1"/>
      <protection locked="0"/>
    </xf>
    <xf numFmtId="0" fontId="106" fillId="0" borderId="143" xfId="13" applyFont="1" applyBorder="1" applyAlignment="1" applyProtection="1">
      <alignment horizontal="left" vertical="top" wrapText="1"/>
      <protection locked="0"/>
    </xf>
    <xf numFmtId="0" fontId="106" fillId="0" borderId="144" xfId="0" applyFont="1" applyBorder="1" applyAlignment="1">
      <alignment horizontal="left" vertical="top" wrapText="1"/>
    </xf>
    <xf numFmtId="0" fontId="106" fillId="0" borderId="143" xfId="0" applyFont="1" applyBorder="1" applyAlignment="1">
      <alignment horizontal="left" vertical="top" wrapText="1"/>
    </xf>
    <xf numFmtId="49" fontId="106" fillId="0" borderId="0" xfId="0" applyNumberFormat="1" applyFont="1" applyAlignment="1">
      <alignment horizontal="center" vertical="center"/>
    </xf>
    <xf numFmtId="0" fontId="106" fillId="0" borderId="141" xfId="0" applyFont="1" applyBorder="1" applyAlignment="1">
      <alignment horizontal="left" vertical="top" wrapText="1"/>
    </xf>
    <xf numFmtId="0" fontId="106" fillId="0" borderId="141" xfId="0" applyFont="1" applyBorder="1" applyAlignment="1">
      <alignment horizontal="left" vertical="center" wrapText="1"/>
    </xf>
    <xf numFmtId="0" fontId="105" fillId="76" borderId="141" xfId="0" applyFont="1" applyFill="1" applyBorder="1" applyAlignment="1">
      <alignment horizontal="center" vertical="center" wrapText="1"/>
    </xf>
    <xf numFmtId="0" fontId="106" fillId="0" borderId="141" xfId="0" applyFont="1" applyBorder="1" applyAlignment="1">
      <alignment horizontal="center"/>
    </xf>
    <xf numFmtId="0" fontId="106" fillId="0" borderId="98" xfId="0" applyFont="1" applyBorder="1" applyAlignment="1">
      <alignment horizontal="left" vertical="center" wrapText="1"/>
    </xf>
    <xf numFmtId="0" fontId="106" fillId="0" borderId="96" xfId="0" applyFont="1" applyBorder="1" applyAlignment="1">
      <alignment horizontal="left" vertical="center" wrapText="1"/>
    </xf>
    <xf numFmtId="0" fontId="105" fillId="0" borderId="141" xfId="0" applyFont="1" applyBorder="1" applyAlignment="1">
      <alignment horizontal="center" vertical="center"/>
    </xf>
    <xf numFmtId="0" fontId="106" fillId="3" borderId="144" xfId="13" applyFont="1" applyFill="1" applyBorder="1" applyAlignment="1" applyProtection="1">
      <alignment horizontal="left" vertical="top" wrapText="1"/>
      <protection locked="0"/>
    </xf>
    <xf numFmtId="0" fontId="106" fillId="3" borderId="143" xfId="13" applyFont="1" applyFill="1" applyBorder="1" applyAlignment="1" applyProtection="1">
      <alignment horizontal="left" vertical="top" wrapText="1"/>
      <protection locked="0"/>
    </xf>
    <xf numFmtId="0" fontId="105" fillId="0" borderId="83" xfId="0" applyFont="1" applyBorder="1" applyAlignment="1">
      <alignment horizontal="center" vertical="center"/>
    </xf>
    <xf numFmtId="0" fontId="105" fillId="76" borderId="80"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1" xfId="0" applyFont="1" applyFill="1" applyBorder="1" applyAlignment="1">
      <alignment horizontal="center" vertical="center" wrapText="1"/>
    </xf>
    <xf numFmtId="0" fontId="106" fillId="77" borderId="98" xfId="0" applyFont="1" applyFill="1" applyBorder="1" applyAlignment="1">
      <alignment vertical="center" wrapText="1"/>
    </xf>
    <xf numFmtId="0" fontId="106" fillId="77" borderId="96" xfId="0" applyFont="1" applyFill="1" applyBorder="1" applyAlignment="1">
      <alignment vertical="center" wrapText="1"/>
    </xf>
    <xf numFmtId="0" fontId="106" fillId="0" borderId="98" xfId="0" applyFont="1" applyBorder="1" applyAlignment="1">
      <alignment vertical="center" wrapText="1"/>
    </xf>
    <xf numFmtId="0" fontId="106" fillId="0" borderId="96" xfId="0" applyFont="1" applyBorder="1" applyAlignment="1">
      <alignment vertical="center" wrapText="1"/>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6" fillId="3" borderId="98"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6" fillId="0" borderId="75" xfId="0" applyFont="1" applyBorder="1" applyAlignment="1">
      <alignment horizontal="left" vertical="center" wrapText="1"/>
    </xf>
    <xf numFmtId="0" fontId="106" fillId="0" borderId="76" xfId="0" applyFont="1" applyBorder="1" applyAlignment="1">
      <alignment horizontal="left"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6" fillId="0" borderId="52"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8" xfId="0" applyFont="1" applyFill="1" applyBorder="1" applyAlignment="1">
      <alignment vertical="center" wrapText="1"/>
    </xf>
    <xf numFmtId="0" fontId="106" fillId="82" borderId="96" xfId="0" applyFont="1" applyFill="1" applyBorder="1" applyAlignment="1">
      <alignment vertical="center" wrapText="1"/>
    </xf>
    <xf numFmtId="0" fontId="106" fillId="82" borderId="135" xfId="0" applyFont="1" applyFill="1" applyBorder="1" applyAlignment="1">
      <alignment horizontal="left" vertical="center" wrapText="1"/>
    </xf>
    <xf numFmtId="0" fontId="106" fillId="82" borderId="136" xfId="0" applyFont="1" applyFill="1" applyBorder="1" applyAlignment="1">
      <alignment horizontal="left" vertical="center" wrapText="1"/>
    </xf>
    <xf numFmtId="0" fontId="106" fillId="82" borderId="137"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3" borderId="98" xfId="0" applyFont="1" applyFill="1" applyBorder="1" applyAlignment="1">
      <alignment vertical="center" wrapText="1"/>
    </xf>
    <xf numFmtId="0" fontId="106" fillId="3" borderId="96" xfId="0" applyFont="1" applyFill="1" applyBorder="1" applyAlignment="1">
      <alignment vertical="center" wrapText="1"/>
    </xf>
    <xf numFmtId="0" fontId="105" fillId="0" borderId="68" xfId="0" applyFont="1" applyBorder="1" applyAlignment="1">
      <alignment horizontal="center" vertical="center"/>
    </xf>
    <xf numFmtId="0" fontId="105" fillId="0" borderId="69" xfId="0" applyFont="1" applyBorder="1" applyAlignment="1">
      <alignment horizontal="center" vertical="center"/>
    </xf>
    <xf numFmtId="0" fontId="105" fillId="0" borderId="70" xfId="0" applyFont="1" applyBorder="1" applyAlignment="1">
      <alignment horizontal="center" vertical="center"/>
    </xf>
    <xf numFmtId="0" fontId="106" fillId="0" borderId="97" xfId="0" applyFont="1" applyBorder="1" applyAlignment="1">
      <alignment horizontal="left" vertical="center" wrapText="1"/>
    </xf>
    <xf numFmtId="0" fontId="126" fillId="3" borderId="98" xfId="0" applyFont="1" applyFill="1" applyBorder="1" applyAlignment="1">
      <alignment vertical="center" wrapText="1"/>
    </xf>
    <xf numFmtId="0" fontId="126" fillId="3" borderId="96" xfId="0" applyFont="1" applyFill="1" applyBorder="1" applyAlignment="1">
      <alignment vertical="center" wrapText="1"/>
    </xf>
    <xf numFmtId="0" fontId="106" fillId="0" borderId="98" xfId="0" applyFont="1" applyBorder="1" applyAlignment="1">
      <alignment horizontal="left"/>
    </xf>
    <xf numFmtId="0" fontId="106" fillId="0" borderId="96" xfId="0" applyFont="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tabSelected="1" zoomScale="85" zoomScaleNormal="85" workbookViewId="0">
      <pane xSplit="1" ySplit="7" topLeftCell="B8" activePane="bottomRight" state="frozen"/>
      <selection activeCell="B8" sqref="B8"/>
      <selection pane="topRight" activeCell="B8" sqref="B8"/>
      <selection pane="bottomLeft" activeCell="B8" sqref="B8"/>
      <selection pane="bottomRight"/>
    </sheetView>
  </sheetViews>
  <sheetFormatPr defaultRowHeight="14.4"/>
  <cols>
    <col min="1" max="1" width="10.21875" style="1" customWidth="1"/>
    <col min="2" max="2" width="153" bestFit="1" customWidth="1"/>
    <col min="3" max="3" width="39.44140625" customWidth="1"/>
    <col min="7" max="7" width="25" customWidth="1"/>
  </cols>
  <sheetData>
    <row r="1" spans="1:3">
      <c r="A1" s="6"/>
      <c r="B1" s="119" t="s">
        <v>159</v>
      </c>
      <c r="C1" s="46"/>
    </row>
    <row r="2" spans="1:3" s="116" customFormat="1">
      <c r="A2" s="160">
        <v>1</v>
      </c>
      <c r="B2" s="117" t="s">
        <v>160</v>
      </c>
      <c r="C2" s="115" t="s">
        <v>964</v>
      </c>
    </row>
    <row r="3" spans="1:3" s="116" customFormat="1">
      <c r="A3" s="160">
        <v>2</v>
      </c>
      <c r="B3" s="118" t="s">
        <v>161</v>
      </c>
      <c r="C3" s="115" t="s">
        <v>965</v>
      </c>
    </row>
    <row r="4" spans="1:3" s="116" customFormat="1">
      <c r="A4" s="160">
        <v>3</v>
      </c>
      <c r="B4" s="118" t="s">
        <v>162</v>
      </c>
      <c r="C4" s="115" t="s">
        <v>966</v>
      </c>
    </row>
    <row r="5" spans="1:3" s="116" customFormat="1">
      <c r="A5" s="161">
        <v>4</v>
      </c>
      <c r="B5" s="121" t="s">
        <v>163</v>
      </c>
      <c r="C5" s="115" t="s">
        <v>967</v>
      </c>
    </row>
    <row r="6" spans="1:3" s="120" customFormat="1" ht="65.25" customHeight="1">
      <c r="A6" s="739" t="s">
        <v>321</v>
      </c>
      <c r="B6" s="740"/>
      <c r="C6" s="740"/>
    </row>
    <row r="7" spans="1:3">
      <c r="A7" s="267" t="s">
        <v>251</v>
      </c>
      <c r="B7" s="268" t="s">
        <v>164</v>
      </c>
    </row>
    <row r="8" spans="1:3">
      <c r="A8" s="269">
        <v>1</v>
      </c>
      <c r="B8" s="265" t="s">
        <v>139</v>
      </c>
    </row>
    <row r="9" spans="1:3">
      <c r="A9" s="269">
        <v>2</v>
      </c>
      <c r="B9" s="265" t="s">
        <v>165</v>
      </c>
    </row>
    <row r="10" spans="1:3">
      <c r="A10" s="269">
        <v>3</v>
      </c>
      <c r="B10" s="265" t="s">
        <v>166</v>
      </c>
    </row>
    <row r="11" spans="1:3">
      <c r="A11" s="269">
        <v>4</v>
      </c>
      <c r="B11" s="265" t="s">
        <v>167</v>
      </c>
    </row>
    <row r="12" spans="1:3">
      <c r="A12" s="269">
        <v>5</v>
      </c>
      <c r="B12" s="265" t="s">
        <v>107</v>
      </c>
    </row>
    <row r="13" spans="1:3">
      <c r="A13" s="269">
        <v>6</v>
      </c>
      <c r="B13" s="270" t="s">
        <v>91</v>
      </c>
    </row>
    <row r="14" spans="1:3">
      <c r="A14" s="269">
        <v>7</v>
      </c>
      <c r="B14" s="265" t="s">
        <v>168</v>
      </c>
    </row>
    <row r="15" spans="1:3">
      <c r="A15" s="269">
        <v>8</v>
      </c>
      <c r="B15" s="265" t="s">
        <v>171</v>
      </c>
    </row>
    <row r="16" spans="1:3">
      <c r="A16" s="269">
        <v>9</v>
      </c>
      <c r="B16" s="265" t="s">
        <v>85</v>
      </c>
    </row>
    <row r="17" spans="1:2">
      <c r="A17" s="271" t="s">
        <v>378</v>
      </c>
      <c r="B17" s="265" t="s">
        <v>358</v>
      </c>
    </row>
    <row r="18" spans="1:2">
      <c r="A18" s="269">
        <v>10</v>
      </c>
      <c r="B18" s="265" t="s">
        <v>172</v>
      </c>
    </row>
    <row r="19" spans="1:2">
      <c r="A19" s="269">
        <v>11</v>
      </c>
      <c r="B19" s="270" t="s">
        <v>155</v>
      </c>
    </row>
    <row r="20" spans="1:2">
      <c r="A20" s="269">
        <v>12</v>
      </c>
      <c r="B20" s="270" t="s">
        <v>152</v>
      </c>
    </row>
    <row r="21" spans="1:2">
      <c r="A21" s="269">
        <v>13</v>
      </c>
      <c r="B21" s="272" t="s">
        <v>297</v>
      </c>
    </row>
    <row r="22" spans="1:2">
      <c r="A22" s="269">
        <v>14</v>
      </c>
      <c r="B22" s="265" t="s">
        <v>351</v>
      </c>
    </row>
    <row r="23" spans="1:2">
      <c r="A23" s="269">
        <v>15</v>
      </c>
      <c r="B23" s="265" t="s">
        <v>74</v>
      </c>
    </row>
    <row r="24" spans="1:2">
      <c r="A24" s="269">
        <v>15.1</v>
      </c>
      <c r="B24" s="265" t="s">
        <v>387</v>
      </c>
    </row>
    <row r="25" spans="1:2">
      <c r="A25" s="269">
        <v>16</v>
      </c>
      <c r="B25" s="265" t="s">
        <v>453</v>
      </c>
    </row>
    <row r="26" spans="1:2">
      <c r="A26" s="269">
        <v>17</v>
      </c>
      <c r="B26" s="265" t="s">
        <v>677</v>
      </c>
    </row>
    <row r="27" spans="1:2">
      <c r="A27" s="269">
        <v>18</v>
      </c>
      <c r="B27" s="265" t="s">
        <v>939</v>
      </c>
    </row>
    <row r="28" spans="1:2">
      <c r="A28" s="269">
        <v>19</v>
      </c>
      <c r="B28" s="265" t="s">
        <v>940</v>
      </c>
    </row>
    <row r="29" spans="1:2">
      <c r="A29" s="269">
        <v>20</v>
      </c>
      <c r="B29" s="265" t="s">
        <v>941</v>
      </c>
    </row>
    <row r="30" spans="1:2">
      <c r="A30" s="269">
        <v>21</v>
      </c>
      <c r="B30" s="265" t="s">
        <v>546</v>
      </c>
    </row>
    <row r="31" spans="1:2">
      <c r="A31" s="269">
        <v>22</v>
      </c>
      <c r="B31" s="265" t="s">
        <v>942</v>
      </c>
    </row>
    <row r="32" spans="1:2" ht="26.4">
      <c r="A32" s="269">
        <v>23</v>
      </c>
      <c r="B32" s="581" t="s">
        <v>938</v>
      </c>
    </row>
    <row r="33" spans="1:2">
      <c r="A33" s="269">
        <v>24</v>
      </c>
      <c r="B33" s="265" t="s">
        <v>943</v>
      </c>
    </row>
    <row r="34" spans="1:2">
      <c r="A34" s="269">
        <v>25</v>
      </c>
      <c r="B34" s="265" t="s">
        <v>944</v>
      </c>
    </row>
    <row r="35" spans="1:2">
      <c r="A35" s="269">
        <v>26</v>
      </c>
      <c r="B35" s="265"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scale="3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56"/>
  <sheetViews>
    <sheetView zoomScaleNormal="100" workbookViewId="0">
      <pane xSplit="1" ySplit="5" topLeftCell="B6" activePane="bottomRight" state="frozen"/>
      <selection activeCell="B8" sqref="B8"/>
      <selection pane="topRight" activeCell="B8" sqref="B8"/>
      <selection pane="bottomLeft" activeCell="B8" sqref="B8"/>
      <selection pane="bottomRight" activeCell="B8" sqref="B8"/>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სს " პაშა ბანკი საქართველო"</v>
      </c>
      <c r="D1" s="1"/>
      <c r="E1" s="1"/>
      <c r="F1" s="1"/>
    </row>
    <row r="2" spans="1:6" s="13" customFormat="1" ht="15.75" customHeight="1">
      <c r="A2" s="13" t="s">
        <v>109</v>
      </c>
      <c r="B2" s="342">
        <f>'1. key ratios'!B2</f>
        <v>45291</v>
      </c>
    </row>
    <row r="3" spans="1:6" s="13" customFormat="1" ht="15.75" customHeight="1"/>
    <row r="4" spans="1:6" ht="15" thickBot="1">
      <c r="A4" s="1" t="s">
        <v>257</v>
      </c>
      <c r="B4" s="23" t="s">
        <v>85</v>
      </c>
    </row>
    <row r="5" spans="1:6">
      <c r="A5" s="77" t="s">
        <v>25</v>
      </c>
      <c r="B5" s="78"/>
      <c r="C5" s="79" t="s">
        <v>26</v>
      </c>
    </row>
    <row r="6" spans="1:6">
      <c r="A6" s="80">
        <v>1</v>
      </c>
      <c r="B6" s="42" t="s">
        <v>27</v>
      </c>
      <c r="C6" s="170">
        <f>SUM(C7:C11)</f>
        <v>111157998.75</v>
      </c>
    </row>
    <row r="7" spans="1:6">
      <c r="A7" s="80">
        <v>2</v>
      </c>
      <c r="B7" s="39" t="s">
        <v>28</v>
      </c>
      <c r="C7" s="642">
        <v>136800000</v>
      </c>
    </row>
    <row r="8" spans="1:6">
      <c r="A8" s="80">
        <v>3</v>
      </c>
      <c r="B8" s="34" t="s">
        <v>29</v>
      </c>
      <c r="C8" s="642"/>
    </row>
    <row r="9" spans="1:6">
      <c r="A9" s="80">
        <v>4</v>
      </c>
      <c r="B9" s="34" t="s">
        <v>30</v>
      </c>
      <c r="C9" s="642"/>
    </row>
    <row r="10" spans="1:6">
      <c r="A10" s="80">
        <v>5</v>
      </c>
      <c r="B10" s="34" t="s">
        <v>31</v>
      </c>
      <c r="C10" s="642"/>
    </row>
    <row r="11" spans="1:6">
      <c r="A11" s="80">
        <v>6</v>
      </c>
      <c r="B11" s="40" t="s">
        <v>32</v>
      </c>
      <c r="C11" s="642">
        <v>-25642001.25</v>
      </c>
    </row>
    <row r="12" spans="1:6" s="2" customFormat="1">
      <c r="A12" s="80">
        <v>7</v>
      </c>
      <c r="B12" s="42" t="s">
        <v>33</v>
      </c>
      <c r="C12" s="171">
        <f>SUM(C13:C28)</f>
        <v>4894842</v>
      </c>
    </row>
    <row r="13" spans="1:6" s="2" customFormat="1">
      <c r="A13" s="80">
        <v>8</v>
      </c>
      <c r="B13" s="41" t="s">
        <v>34</v>
      </c>
      <c r="C13" s="172"/>
    </row>
    <row r="14" spans="1:6" s="2" customFormat="1" ht="27.6">
      <c r="A14" s="80">
        <v>9</v>
      </c>
      <c r="B14" s="35" t="s">
        <v>35</v>
      </c>
      <c r="C14" s="172"/>
    </row>
    <row r="15" spans="1:6" s="2" customFormat="1">
      <c r="A15" s="80">
        <v>10</v>
      </c>
      <c r="B15" s="36" t="s">
        <v>36</v>
      </c>
      <c r="C15" s="643">
        <v>4894842</v>
      </c>
    </row>
    <row r="16" spans="1:6" s="2" customFormat="1">
      <c r="A16" s="80">
        <v>11</v>
      </c>
      <c r="B16" s="37" t="s">
        <v>37</v>
      </c>
      <c r="C16" s="172"/>
    </row>
    <row r="17" spans="1:3" s="2" customFormat="1">
      <c r="A17" s="80">
        <v>12</v>
      </c>
      <c r="B17" s="36" t="s">
        <v>38</v>
      </c>
      <c r="C17" s="172"/>
    </row>
    <row r="18" spans="1:3" s="2" customFormat="1">
      <c r="A18" s="80">
        <v>13</v>
      </c>
      <c r="B18" s="36" t="s">
        <v>39</v>
      </c>
      <c r="C18" s="172"/>
    </row>
    <row r="19" spans="1:3" s="2" customFormat="1">
      <c r="A19" s="80">
        <v>14</v>
      </c>
      <c r="B19" s="36" t="s">
        <v>40</v>
      </c>
      <c r="C19" s="172"/>
    </row>
    <row r="20" spans="1:3" s="2" customFormat="1" ht="27.6">
      <c r="A20" s="80">
        <v>15</v>
      </c>
      <c r="B20" s="36" t="s">
        <v>41</v>
      </c>
      <c r="C20" s="172"/>
    </row>
    <row r="21" spans="1:3" s="2" customFormat="1" ht="27.6">
      <c r="A21" s="80">
        <v>16</v>
      </c>
      <c r="B21" s="35" t="s">
        <v>42</v>
      </c>
      <c r="C21" s="172"/>
    </row>
    <row r="22" spans="1:3" s="2" customFormat="1">
      <c r="A22" s="80">
        <v>17</v>
      </c>
      <c r="B22" s="81" t="s">
        <v>43</v>
      </c>
      <c r="C22" s="172"/>
    </row>
    <row r="23" spans="1:3" s="2" customFormat="1">
      <c r="A23" s="80">
        <v>18</v>
      </c>
      <c r="B23" s="582" t="s">
        <v>726</v>
      </c>
      <c r="C23" s="405"/>
    </row>
    <row r="24" spans="1:3" s="2" customFormat="1" ht="27.6">
      <c r="A24" s="80">
        <v>19</v>
      </c>
      <c r="B24" s="35" t="s">
        <v>44</v>
      </c>
      <c r="C24" s="172"/>
    </row>
    <row r="25" spans="1:3" s="2" customFormat="1" ht="27.6">
      <c r="A25" s="80">
        <v>20</v>
      </c>
      <c r="B25" s="35" t="s">
        <v>45</v>
      </c>
      <c r="C25" s="172"/>
    </row>
    <row r="26" spans="1:3" s="2" customFormat="1" ht="27.6">
      <c r="A26" s="80">
        <v>21</v>
      </c>
      <c r="B26" s="37" t="s">
        <v>46</v>
      </c>
      <c r="C26" s="172"/>
    </row>
    <row r="27" spans="1:3" s="2" customFormat="1">
      <c r="A27" s="80">
        <v>22</v>
      </c>
      <c r="B27" s="37" t="s">
        <v>47</v>
      </c>
      <c r="C27" s="172"/>
    </row>
    <row r="28" spans="1:3" s="2" customFormat="1" ht="27.6">
      <c r="A28" s="80">
        <v>23</v>
      </c>
      <c r="B28" s="37" t="s">
        <v>48</v>
      </c>
      <c r="C28" s="172"/>
    </row>
    <row r="29" spans="1:3" s="2" customFormat="1">
      <c r="A29" s="80">
        <v>24</v>
      </c>
      <c r="B29" s="43" t="s">
        <v>22</v>
      </c>
      <c r="C29" s="171">
        <f>C6-C12</f>
        <v>106263156.75</v>
      </c>
    </row>
    <row r="30" spans="1:3" s="2" customFormat="1">
      <c r="A30" s="82"/>
      <c r="B30" s="38"/>
      <c r="C30" s="172"/>
    </row>
    <row r="31" spans="1:3" s="2" customFormat="1">
      <c r="A31" s="82">
        <v>25</v>
      </c>
      <c r="B31" s="43" t="s">
        <v>49</v>
      </c>
      <c r="C31" s="171">
        <f>C32+C35</f>
        <v>0</v>
      </c>
    </row>
    <row r="32" spans="1:3" s="2" customFormat="1">
      <c r="A32" s="82">
        <v>26</v>
      </c>
      <c r="B32" s="34" t="s">
        <v>50</v>
      </c>
      <c r="C32" s="173">
        <f>C33+C34</f>
        <v>0</v>
      </c>
    </row>
    <row r="33" spans="1:3" s="2" customFormat="1">
      <c r="A33" s="82">
        <v>27</v>
      </c>
      <c r="B33" s="113" t="s">
        <v>51</v>
      </c>
      <c r="C33" s="172"/>
    </row>
    <row r="34" spans="1:3" s="2" customFormat="1">
      <c r="A34" s="82">
        <v>28</v>
      </c>
      <c r="B34" s="113" t="s">
        <v>52</v>
      </c>
      <c r="C34" s="172"/>
    </row>
    <row r="35" spans="1:3" s="2" customFormat="1">
      <c r="A35" s="82">
        <v>29</v>
      </c>
      <c r="B35" s="34" t="s">
        <v>53</v>
      </c>
      <c r="C35" s="172"/>
    </row>
    <row r="36" spans="1:3" s="2" customFormat="1">
      <c r="A36" s="82">
        <v>30</v>
      </c>
      <c r="B36" s="43" t="s">
        <v>54</v>
      </c>
      <c r="C36" s="171">
        <f>SUM(C37:C41)</f>
        <v>0</v>
      </c>
    </row>
    <row r="37" spans="1:3" s="2" customFormat="1">
      <c r="A37" s="82">
        <v>31</v>
      </c>
      <c r="B37" s="35" t="s">
        <v>55</v>
      </c>
      <c r="C37" s="172"/>
    </row>
    <row r="38" spans="1:3" s="2" customFormat="1">
      <c r="A38" s="82">
        <v>32</v>
      </c>
      <c r="B38" s="36" t="s">
        <v>56</v>
      </c>
      <c r="C38" s="172"/>
    </row>
    <row r="39" spans="1:3" s="2" customFormat="1" ht="27.6">
      <c r="A39" s="82">
        <v>33</v>
      </c>
      <c r="B39" s="35" t="s">
        <v>57</v>
      </c>
      <c r="C39" s="172"/>
    </row>
    <row r="40" spans="1:3" s="2" customFormat="1" ht="27.6">
      <c r="A40" s="82">
        <v>34</v>
      </c>
      <c r="B40" s="35" t="s">
        <v>45</v>
      </c>
      <c r="C40" s="172"/>
    </row>
    <row r="41" spans="1:3" s="2" customFormat="1" ht="27.6">
      <c r="A41" s="82">
        <v>35</v>
      </c>
      <c r="B41" s="37" t="s">
        <v>58</v>
      </c>
      <c r="C41" s="172"/>
    </row>
    <row r="42" spans="1:3" s="2" customFormat="1">
      <c r="A42" s="82">
        <v>36</v>
      </c>
      <c r="B42" s="43" t="s">
        <v>23</v>
      </c>
      <c r="C42" s="171">
        <f>C31-C36</f>
        <v>0</v>
      </c>
    </row>
    <row r="43" spans="1:3" s="2" customFormat="1">
      <c r="A43" s="82"/>
      <c r="B43" s="38"/>
      <c r="C43" s="172"/>
    </row>
    <row r="44" spans="1:3" s="2" customFormat="1">
      <c r="A44" s="82">
        <v>37</v>
      </c>
      <c r="B44" s="44" t="s">
        <v>59</v>
      </c>
      <c r="C44" s="171">
        <f>SUM(C45:C47)</f>
        <v>16134927</v>
      </c>
    </row>
    <row r="45" spans="1:3" s="2" customFormat="1">
      <c r="A45" s="82">
        <v>38</v>
      </c>
      <c r="B45" s="34" t="s">
        <v>60</v>
      </c>
      <c r="C45" s="643">
        <v>16134927</v>
      </c>
    </row>
    <row r="46" spans="1:3" s="2" customFormat="1">
      <c r="A46" s="82">
        <v>39</v>
      </c>
      <c r="B46" s="34" t="s">
        <v>61</v>
      </c>
      <c r="C46" s="172"/>
    </row>
    <row r="47" spans="1:3" s="2" customFormat="1">
      <c r="A47" s="82">
        <v>40</v>
      </c>
      <c r="B47" s="583" t="s">
        <v>725</v>
      </c>
      <c r="C47" s="172"/>
    </row>
    <row r="48" spans="1:3" s="2" customFormat="1">
      <c r="A48" s="82">
        <v>41</v>
      </c>
      <c r="B48" s="44" t="s">
        <v>62</v>
      </c>
      <c r="C48" s="171">
        <f>SUM(C49:C52)</f>
        <v>0</v>
      </c>
    </row>
    <row r="49" spans="1:3" s="2" customFormat="1">
      <c r="A49" s="82">
        <v>42</v>
      </c>
      <c r="B49" s="35" t="s">
        <v>63</v>
      </c>
      <c r="C49" s="172"/>
    </row>
    <row r="50" spans="1:3" s="2" customFormat="1">
      <c r="A50" s="82">
        <v>43</v>
      </c>
      <c r="B50" s="36" t="s">
        <v>64</v>
      </c>
      <c r="C50" s="172"/>
    </row>
    <row r="51" spans="1:3" s="2" customFormat="1" ht="27.6">
      <c r="A51" s="82">
        <v>44</v>
      </c>
      <c r="B51" s="35" t="s">
        <v>65</v>
      </c>
      <c r="C51" s="172"/>
    </row>
    <row r="52" spans="1:3" s="2" customFormat="1" ht="27.6">
      <c r="A52" s="82">
        <v>45</v>
      </c>
      <c r="B52" s="35" t="s">
        <v>45</v>
      </c>
      <c r="C52" s="172"/>
    </row>
    <row r="53" spans="1:3" s="2" customFormat="1" ht="15" thickBot="1">
      <c r="A53" s="82">
        <v>46</v>
      </c>
      <c r="B53" s="83" t="s">
        <v>24</v>
      </c>
      <c r="C53" s="174">
        <f>C44-C48</f>
        <v>16134927</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paperSize="9" scale="38" orientation="portrait" r:id="rId1"/>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3"/>
  <sheetViews>
    <sheetView zoomScaleNormal="100" workbookViewId="0">
      <selection activeCell="B8" sqref="B8"/>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108</v>
      </c>
      <c r="B1" s="12" t="str">
        <f>Info!C2</f>
        <v>სს " პაშა ბანკი საქართველო"</v>
      </c>
    </row>
    <row r="2" spans="1:4" s="13" customFormat="1" ht="15.75" customHeight="1">
      <c r="A2" s="13" t="s">
        <v>109</v>
      </c>
      <c r="B2" s="342">
        <f>'1. key ratios'!B2</f>
        <v>45291</v>
      </c>
    </row>
    <row r="3" spans="1:4" s="13" customFormat="1" ht="15.75" customHeight="1"/>
    <row r="4" spans="1:4" ht="14.4" thickBot="1">
      <c r="A4" s="1" t="s">
        <v>357</v>
      </c>
      <c r="B4" s="254" t="s">
        <v>358</v>
      </c>
    </row>
    <row r="5" spans="1:4" s="30" customFormat="1">
      <c r="A5" s="775" t="s">
        <v>359</v>
      </c>
      <c r="B5" s="776"/>
      <c r="C5" s="244" t="s">
        <v>360</v>
      </c>
      <c r="D5" s="245" t="s">
        <v>361</v>
      </c>
    </row>
    <row r="6" spans="1:4" s="255" customFormat="1">
      <c r="A6" s="246">
        <v>1</v>
      </c>
      <c r="B6" s="247" t="s">
        <v>362</v>
      </c>
      <c r="C6" s="247"/>
      <c r="D6" s="248"/>
    </row>
    <row r="7" spans="1:4" s="255" customFormat="1">
      <c r="A7" s="249" t="s">
        <v>363</v>
      </c>
      <c r="B7" s="250" t="s">
        <v>364</v>
      </c>
      <c r="C7" s="298">
        <v>4.4999999999999998E-2</v>
      </c>
      <c r="D7" s="644">
        <f>C7*'5. RWA'!$C$13</f>
        <v>26414515.844999999</v>
      </c>
    </row>
    <row r="8" spans="1:4" s="255" customFormat="1">
      <c r="A8" s="249" t="s">
        <v>365</v>
      </c>
      <c r="B8" s="250" t="s">
        <v>366</v>
      </c>
      <c r="C8" s="299">
        <v>0.06</v>
      </c>
      <c r="D8" s="644">
        <f>C8*'5. RWA'!$C$13</f>
        <v>35219354.460000001</v>
      </c>
    </row>
    <row r="9" spans="1:4" s="255" customFormat="1">
      <c r="A9" s="249" t="s">
        <v>367</v>
      </c>
      <c r="B9" s="250" t="s">
        <v>368</v>
      </c>
      <c r="C9" s="299">
        <v>0.08</v>
      </c>
      <c r="D9" s="644">
        <f>C9*'5. RWA'!$C$13</f>
        <v>46959139.280000001</v>
      </c>
    </row>
    <row r="10" spans="1:4" s="255" customFormat="1">
      <c r="A10" s="246" t="s">
        <v>369</v>
      </c>
      <c r="B10" s="247" t="s">
        <v>370</v>
      </c>
      <c r="C10" s="300"/>
      <c r="D10" s="645"/>
    </row>
    <row r="11" spans="1:4" s="256" customFormat="1">
      <c r="A11" s="251" t="s">
        <v>371</v>
      </c>
      <c r="B11" s="252" t="s">
        <v>433</v>
      </c>
      <c r="C11" s="301">
        <v>2.5000000000000001E-2</v>
      </c>
      <c r="D11" s="646">
        <f>C11*'5. RWA'!$C$13</f>
        <v>14674731.025</v>
      </c>
    </row>
    <row r="12" spans="1:4" s="256" customFormat="1">
      <c r="A12" s="251" t="s">
        <v>372</v>
      </c>
      <c r="B12" s="252" t="s">
        <v>373</v>
      </c>
      <c r="C12" s="301">
        <v>0</v>
      </c>
      <c r="D12" s="646">
        <f>C12*'5. RWA'!$C$13</f>
        <v>0</v>
      </c>
    </row>
    <row r="13" spans="1:4" s="256" customFormat="1">
      <c r="A13" s="251" t="s">
        <v>374</v>
      </c>
      <c r="B13" s="252" t="s">
        <v>375</v>
      </c>
      <c r="C13" s="301"/>
      <c r="D13" s="646">
        <f>C13*'5. RWA'!$C$13</f>
        <v>0</v>
      </c>
    </row>
    <row r="14" spans="1:4" s="255" customFormat="1">
      <c r="A14" s="246" t="s">
        <v>376</v>
      </c>
      <c r="B14" s="247" t="s">
        <v>431</v>
      </c>
      <c r="C14" s="302"/>
      <c r="D14" s="645"/>
    </row>
    <row r="15" spans="1:4" s="255" customFormat="1">
      <c r="A15" s="266" t="s">
        <v>379</v>
      </c>
      <c r="B15" s="252" t="s">
        <v>432</v>
      </c>
      <c r="C15" s="301">
        <v>5.96E-2</v>
      </c>
      <c r="D15" s="646">
        <f>C15*'5. RWA'!$C$13</f>
        <v>34984558.763599999</v>
      </c>
    </row>
    <row r="16" spans="1:4" s="255" customFormat="1">
      <c r="A16" s="266" t="s">
        <v>380</v>
      </c>
      <c r="B16" s="252" t="s">
        <v>382</v>
      </c>
      <c r="C16" s="301">
        <v>7.4099999999999999E-2</v>
      </c>
      <c r="D16" s="646">
        <f>C16*'5. RWA'!$C$13</f>
        <v>43495902.758100003</v>
      </c>
    </row>
    <row r="17" spans="1:4" s="255" customFormat="1">
      <c r="A17" s="266" t="s">
        <v>381</v>
      </c>
      <c r="B17" s="252" t="s">
        <v>429</v>
      </c>
      <c r="C17" s="301">
        <v>9.3200000000000005E-2</v>
      </c>
      <c r="D17" s="646">
        <f>C17*'5. RWA'!$C$13</f>
        <v>54707397.261200003</v>
      </c>
    </row>
    <row r="18" spans="1:4" s="30" customFormat="1">
      <c r="A18" s="777" t="s">
        <v>430</v>
      </c>
      <c r="B18" s="778"/>
      <c r="C18" s="303" t="s">
        <v>360</v>
      </c>
      <c r="D18" s="647" t="s">
        <v>361</v>
      </c>
    </row>
    <row r="19" spans="1:4" s="255" customFormat="1">
      <c r="A19" s="253">
        <v>4</v>
      </c>
      <c r="B19" s="252" t="s">
        <v>22</v>
      </c>
      <c r="C19" s="301">
        <f>C7+C11+C12+C13+C15</f>
        <v>0.12959999999999999</v>
      </c>
      <c r="D19" s="644">
        <f>C19*'5. RWA'!$C$13</f>
        <v>76073805.633599997</v>
      </c>
    </row>
    <row r="20" spans="1:4" s="255" customFormat="1">
      <c r="A20" s="253">
        <v>5</v>
      </c>
      <c r="B20" s="252" t="s">
        <v>86</v>
      </c>
      <c r="C20" s="301">
        <f>C8+C11+C12+C13+C16</f>
        <v>0.15909999999999999</v>
      </c>
      <c r="D20" s="644">
        <f>C20*'5. RWA'!$C$13</f>
        <v>93389988.243100002</v>
      </c>
    </row>
    <row r="21" spans="1:4" s="255" customFormat="1" ht="14.4" thickBot="1">
      <c r="A21" s="257" t="s">
        <v>377</v>
      </c>
      <c r="B21" s="258" t="s">
        <v>85</v>
      </c>
      <c r="C21" s="304">
        <f>C9+C11+C12+C13+C17</f>
        <v>0.19820000000000002</v>
      </c>
      <c r="D21" s="648">
        <f>C21*'5. RWA'!$C$13</f>
        <v>116341267.5662</v>
      </c>
    </row>
    <row r="23" spans="1:4" ht="69">
      <c r="B23" s="17"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scale="3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69"/>
  <sheetViews>
    <sheetView zoomScale="80" zoomScaleNormal="80" workbookViewId="0">
      <pane xSplit="1" ySplit="5" topLeftCell="B6" activePane="bottomRight" state="frozen"/>
      <selection activeCell="B8" sqref="B8"/>
      <selection pane="topRight" activeCell="B8" sqref="B8"/>
      <selection pane="bottomLeft" activeCell="B8" sqref="B8"/>
      <selection pane="bottomRight" activeCell="B8" sqref="B8"/>
    </sheetView>
  </sheetViews>
  <sheetFormatPr defaultRowHeight="14.4"/>
  <cols>
    <col min="1" max="1" width="10.77734375" style="31" customWidth="1"/>
    <col min="2" max="2" width="91.77734375" style="31" customWidth="1"/>
    <col min="3" max="3" width="53.21875" style="31" customWidth="1"/>
    <col min="4" max="4" width="32.21875" style="31" customWidth="1"/>
    <col min="5" max="5" width="9.44140625" customWidth="1"/>
  </cols>
  <sheetData>
    <row r="1" spans="1:6">
      <c r="A1" s="13" t="s">
        <v>108</v>
      </c>
      <c r="B1" s="14" t="str">
        <f>Info!C2</f>
        <v>სს " პაშა ბანკი საქართველო"</v>
      </c>
      <c r="E1" s="1"/>
      <c r="F1" s="1"/>
    </row>
    <row r="2" spans="1:6" s="13" customFormat="1" ht="15.75" customHeight="1">
      <c r="A2" s="13" t="s">
        <v>109</v>
      </c>
      <c r="B2" s="342">
        <f>'1. key ratios'!B2</f>
        <v>45291</v>
      </c>
    </row>
    <row r="3" spans="1:6" s="13" customFormat="1" ht="15.75" customHeight="1">
      <c r="A3" s="20"/>
    </row>
    <row r="4" spans="1:6" s="13" customFormat="1" ht="15.75" customHeight="1" thickBot="1">
      <c r="A4" s="13" t="s">
        <v>258</v>
      </c>
      <c r="B4" s="136" t="s">
        <v>172</v>
      </c>
      <c r="D4" s="138" t="s">
        <v>87</v>
      </c>
    </row>
    <row r="5" spans="1:6" ht="27.6">
      <c r="A5" s="89" t="s">
        <v>25</v>
      </c>
      <c r="B5" s="90" t="s">
        <v>144</v>
      </c>
      <c r="C5" s="91" t="s">
        <v>858</v>
      </c>
      <c r="D5" s="137" t="s">
        <v>173</v>
      </c>
    </row>
    <row r="6" spans="1:6">
      <c r="A6" s="419">
        <v>1</v>
      </c>
      <c r="B6" s="408" t="s">
        <v>843</v>
      </c>
      <c r="C6" s="656">
        <f>SUM(C7:C9)</f>
        <v>101575518.70719999</v>
      </c>
      <c r="D6" s="84"/>
      <c r="E6" s="4"/>
    </row>
    <row r="7" spans="1:6">
      <c r="A7" s="419">
        <v>1.1000000000000001</v>
      </c>
      <c r="B7" s="409" t="s">
        <v>96</v>
      </c>
      <c r="C7" s="649">
        <v>2919174.8731000004</v>
      </c>
      <c r="D7" s="85"/>
      <c r="E7" s="4"/>
    </row>
    <row r="8" spans="1:6">
      <c r="A8" s="419">
        <v>1.2</v>
      </c>
      <c r="B8" s="409" t="s">
        <v>97</v>
      </c>
      <c r="C8" s="649">
        <v>31226313.320999999</v>
      </c>
      <c r="D8" s="85"/>
      <c r="E8" s="4"/>
    </row>
    <row r="9" spans="1:6">
      <c r="A9" s="419">
        <v>1.3</v>
      </c>
      <c r="B9" s="409" t="s">
        <v>98</v>
      </c>
      <c r="C9" s="649">
        <v>67430030.513099998</v>
      </c>
      <c r="D9" s="85"/>
      <c r="E9" s="4"/>
    </row>
    <row r="10" spans="1:6">
      <c r="A10" s="419">
        <v>2</v>
      </c>
      <c r="B10" s="607" t="s">
        <v>730</v>
      </c>
      <c r="C10" s="657">
        <f>C11</f>
        <v>690915.74</v>
      </c>
      <c r="D10" s="85"/>
      <c r="E10" s="4"/>
    </row>
    <row r="11" spans="1:6">
      <c r="A11" s="419">
        <v>2.1</v>
      </c>
      <c r="B11" s="608" t="s">
        <v>731</v>
      </c>
      <c r="C11" s="658">
        <v>690915.74</v>
      </c>
      <c r="D11" s="86"/>
      <c r="E11" s="5"/>
    </row>
    <row r="12" spans="1:6" ht="23.55" customHeight="1">
      <c r="A12" s="419">
        <v>3</v>
      </c>
      <c r="B12" s="609" t="s">
        <v>732</v>
      </c>
      <c r="C12" s="659"/>
      <c r="D12" s="86"/>
      <c r="E12" s="5"/>
    </row>
    <row r="13" spans="1:6" ht="22.95" customHeight="1">
      <c r="A13" s="419">
        <v>4</v>
      </c>
      <c r="B13" s="610" t="s">
        <v>733</v>
      </c>
      <c r="C13" s="659"/>
      <c r="D13" s="86"/>
      <c r="E13" s="5"/>
    </row>
    <row r="14" spans="1:6">
      <c r="A14" s="419">
        <v>5</v>
      </c>
      <c r="B14" s="610" t="s">
        <v>734</v>
      </c>
      <c r="C14" s="659">
        <f>SUM(C15:C17)</f>
        <v>0</v>
      </c>
      <c r="D14" s="86"/>
      <c r="E14" s="5"/>
    </row>
    <row r="15" spans="1:6">
      <c r="A15" s="419">
        <v>5.0999999999999996</v>
      </c>
      <c r="B15" s="611" t="s">
        <v>735</v>
      </c>
      <c r="C15" s="649"/>
      <c r="D15" s="86"/>
      <c r="E15" s="4"/>
    </row>
    <row r="16" spans="1:6">
      <c r="A16" s="419">
        <v>5.2</v>
      </c>
      <c r="B16" s="611" t="s">
        <v>569</v>
      </c>
      <c r="C16" s="649"/>
      <c r="D16" s="85"/>
      <c r="E16" s="4"/>
    </row>
    <row r="17" spans="1:5">
      <c r="A17" s="419">
        <v>5.3</v>
      </c>
      <c r="B17" s="611" t="s">
        <v>736</v>
      </c>
      <c r="C17" s="649"/>
      <c r="D17" s="85"/>
      <c r="E17" s="4"/>
    </row>
    <row r="18" spans="1:5">
      <c r="A18" s="419">
        <v>6</v>
      </c>
      <c r="B18" s="609" t="s">
        <v>737</v>
      </c>
      <c r="C18" s="657">
        <f>SUM(C19:C20)</f>
        <v>401336512.84969991</v>
      </c>
      <c r="D18" s="85"/>
      <c r="E18" s="4"/>
    </row>
    <row r="19" spans="1:5">
      <c r="A19" s="419">
        <v>6.1</v>
      </c>
      <c r="B19" s="611" t="s">
        <v>569</v>
      </c>
      <c r="C19" s="658">
        <v>65230020.842900001</v>
      </c>
      <c r="D19" s="85"/>
      <c r="E19" s="4"/>
    </row>
    <row r="20" spans="1:5">
      <c r="A20" s="419">
        <v>6.2</v>
      </c>
      <c r="B20" s="611" t="s">
        <v>736</v>
      </c>
      <c r="C20" s="658">
        <v>336106492.00679994</v>
      </c>
      <c r="D20" s="85"/>
      <c r="E20" s="4"/>
    </row>
    <row r="21" spans="1:5">
      <c r="A21" s="419">
        <v>7</v>
      </c>
      <c r="B21" s="612" t="s">
        <v>738</v>
      </c>
      <c r="C21" s="659"/>
      <c r="D21" s="85"/>
      <c r="E21" s="4"/>
    </row>
    <row r="22" spans="1:5">
      <c r="A22" s="419">
        <v>8</v>
      </c>
      <c r="B22" s="612" t="s">
        <v>739</v>
      </c>
      <c r="C22" s="657">
        <v>11631520.42</v>
      </c>
      <c r="D22" s="85"/>
      <c r="E22" s="4"/>
    </row>
    <row r="23" spans="1:5">
      <c r="A23" s="419">
        <v>9</v>
      </c>
      <c r="B23" s="610" t="s">
        <v>740</v>
      </c>
      <c r="C23" s="657">
        <f>SUM(C24:C25)</f>
        <v>9048070.0600000005</v>
      </c>
      <c r="D23" s="442"/>
      <c r="E23" s="4"/>
    </row>
    <row r="24" spans="1:5">
      <c r="A24" s="419">
        <v>9.1</v>
      </c>
      <c r="B24" s="613" t="s">
        <v>741</v>
      </c>
      <c r="C24" s="660">
        <v>4969672.78</v>
      </c>
      <c r="D24" s="87"/>
      <c r="E24" s="4"/>
    </row>
    <row r="25" spans="1:5">
      <c r="A25" s="419">
        <v>9.1999999999999993</v>
      </c>
      <c r="B25" s="613" t="s">
        <v>742</v>
      </c>
      <c r="C25" s="661">
        <v>4078397.28</v>
      </c>
      <c r="D25" s="651"/>
      <c r="E25" s="3"/>
    </row>
    <row r="26" spans="1:5">
      <c r="A26" s="419">
        <v>10</v>
      </c>
      <c r="B26" s="610" t="s">
        <v>36</v>
      </c>
      <c r="C26" s="653">
        <f>SUM(C27:C28)</f>
        <v>4894841.96</v>
      </c>
      <c r="D26" s="652" t="s">
        <v>935</v>
      </c>
      <c r="E26" s="4"/>
    </row>
    <row r="27" spans="1:5">
      <c r="A27" s="419">
        <v>10.1</v>
      </c>
      <c r="B27" s="613" t="s">
        <v>743</v>
      </c>
      <c r="C27" s="662"/>
      <c r="D27" s="85"/>
      <c r="E27" s="4"/>
    </row>
    <row r="28" spans="1:5">
      <c r="A28" s="419">
        <v>10.199999999999999</v>
      </c>
      <c r="B28" s="613" t="s">
        <v>744</v>
      </c>
      <c r="C28" s="649">
        <v>4894841.96</v>
      </c>
      <c r="D28" s="85"/>
      <c r="E28" s="4"/>
    </row>
    <row r="29" spans="1:5">
      <c r="A29" s="419">
        <v>11</v>
      </c>
      <c r="B29" s="610" t="s">
        <v>745</v>
      </c>
      <c r="C29" s="657">
        <f>SUM(C30:C31)</f>
        <v>0</v>
      </c>
      <c r="D29" s="85"/>
      <c r="E29" s="4"/>
    </row>
    <row r="30" spans="1:5">
      <c r="A30" s="419">
        <v>11.1</v>
      </c>
      <c r="B30" s="613" t="s">
        <v>746</v>
      </c>
      <c r="C30" s="649"/>
      <c r="D30" s="85"/>
      <c r="E30" s="4"/>
    </row>
    <row r="31" spans="1:5">
      <c r="A31" s="419">
        <v>11.2</v>
      </c>
      <c r="B31" s="613" t="s">
        <v>747</v>
      </c>
      <c r="C31" s="649"/>
      <c r="D31" s="85"/>
      <c r="E31" s="4"/>
    </row>
    <row r="32" spans="1:5">
      <c r="A32" s="419">
        <v>13</v>
      </c>
      <c r="B32" s="610" t="s">
        <v>99</v>
      </c>
      <c r="C32" s="657">
        <v>5531631.4583999999</v>
      </c>
      <c r="D32" s="87"/>
      <c r="E32" s="4"/>
    </row>
    <row r="33" spans="1:5">
      <c r="A33" s="419">
        <v>13.1</v>
      </c>
      <c r="B33" s="614" t="s">
        <v>748</v>
      </c>
      <c r="C33" s="663"/>
      <c r="D33" s="654"/>
      <c r="E33" s="4"/>
    </row>
    <row r="34" spans="1:5">
      <c r="A34" s="419">
        <v>13.2</v>
      </c>
      <c r="B34" s="614" t="s">
        <v>749</v>
      </c>
      <c r="C34" s="664"/>
      <c r="D34" s="654"/>
      <c r="E34" s="4"/>
    </row>
    <row r="35" spans="1:5">
      <c r="A35" s="419">
        <v>14</v>
      </c>
      <c r="B35" s="615" t="s">
        <v>750</v>
      </c>
      <c r="C35" s="665">
        <f>SUM(C6,C10,C12,C13,C14,C18,C21,C22,C23,C26,C29,C32)</f>
        <v>534709011.19529992</v>
      </c>
      <c r="D35" s="654"/>
      <c r="E35" s="4"/>
    </row>
    <row r="36" spans="1:5">
      <c r="A36" s="419"/>
      <c r="B36" s="650" t="s">
        <v>104</v>
      </c>
      <c r="C36" s="666"/>
      <c r="D36" s="654"/>
      <c r="E36" s="4"/>
    </row>
    <row r="37" spans="1:5">
      <c r="A37" s="419">
        <v>15</v>
      </c>
      <c r="B37" s="612" t="s">
        <v>751</v>
      </c>
      <c r="C37" s="667">
        <f>C38</f>
        <v>825800.46</v>
      </c>
      <c r="D37" s="655"/>
      <c r="E37" s="3"/>
    </row>
    <row r="38" spans="1:5">
      <c r="A38" s="419">
        <v>15.1</v>
      </c>
      <c r="B38" s="608" t="s">
        <v>731</v>
      </c>
      <c r="C38" s="663">
        <v>825800.46</v>
      </c>
      <c r="D38" s="654"/>
      <c r="E38" s="4"/>
    </row>
    <row r="39" spans="1:5" ht="20.399999999999999">
      <c r="A39" s="419">
        <v>16</v>
      </c>
      <c r="B39" s="612" t="s">
        <v>752</v>
      </c>
      <c r="C39" s="668"/>
      <c r="D39" s="654"/>
      <c r="E39" s="4"/>
    </row>
    <row r="40" spans="1:5">
      <c r="A40" s="419">
        <v>17</v>
      </c>
      <c r="B40" s="612" t="s">
        <v>753</v>
      </c>
      <c r="C40" s="668">
        <f>SUM(C41:C44)</f>
        <v>382128299.98869997</v>
      </c>
      <c r="D40" s="654"/>
      <c r="E40" s="4"/>
    </row>
    <row r="41" spans="1:5">
      <c r="A41" s="419">
        <v>17.100000000000001</v>
      </c>
      <c r="B41" s="616" t="s">
        <v>754</v>
      </c>
      <c r="C41" s="663">
        <v>356814307.98599994</v>
      </c>
      <c r="D41" s="654"/>
      <c r="E41" s="4"/>
    </row>
    <row r="42" spans="1:5">
      <c r="A42" s="435">
        <v>17.2</v>
      </c>
      <c r="B42" s="606" t="s">
        <v>100</v>
      </c>
      <c r="C42" s="660">
        <v>22179086.976</v>
      </c>
      <c r="D42" s="88"/>
      <c r="E42" s="4"/>
    </row>
    <row r="43" spans="1:5">
      <c r="A43" s="419">
        <v>17.3</v>
      </c>
      <c r="B43" s="616" t="s">
        <v>755</v>
      </c>
      <c r="C43" s="669"/>
      <c r="D43" s="437"/>
      <c r="E43" s="4"/>
    </row>
    <row r="44" spans="1:5">
      <c r="A44" s="419">
        <v>17.399999999999999</v>
      </c>
      <c r="B44" s="616" t="s">
        <v>756</v>
      </c>
      <c r="C44" s="669">
        <v>3134905.0266999998</v>
      </c>
      <c r="D44" s="437"/>
      <c r="E44" s="4"/>
    </row>
    <row r="45" spans="1:5">
      <c r="A45" s="419">
        <v>18</v>
      </c>
      <c r="B45" s="610" t="s">
        <v>757</v>
      </c>
      <c r="C45" s="670">
        <v>1346879.6949</v>
      </c>
      <c r="D45" s="437"/>
      <c r="E45" s="3"/>
    </row>
    <row r="46" spans="1:5">
      <c r="A46" s="419">
        <v>19</v>
      </c>
      <c r="B46" s="610" t="s">
        <v>758</v>
      </c>
      <c r="C46" s="671">
        <f>SUM(C47:C48)</f>
        <v>0</v>
      </c>
      <c r="D46" s="438"/>
    </row>
    <row r="47" spans="1:5">
      <c r="A47" s="419">
        <v>19.100000000000001</v>
      </c>
      <c r="B47" s="617" t="s">
        <v>759</v>
      </c>
      <c r="C47" s="672"/>
      <c r="D47" s="438"/>
    </row>
    <row r="48" spans="1:5">
      <c r="A48" s="419">
        <v>19.2</v>
      </c>
      <c r="B48" s="617" t="s">
        <v>760</v>
      </c>
      <c r="C48" s="672"/>
      <c r="D48" s="438"/>
    </row>
    <row r="49" spans="1:4">
      <c r="A49" s="419">
        <v>20</v>
      </c>
      <c r="B49" s="615" t="s">
        <v>101</v>
      </c>
      <c r="C49" s="671">
        <v>27716206.595400002</v>
      </c>
      <c r="D49" s="652" t="s">
        <v>968</v>
      </c>
    </row>
    <row r="50" spans="1:4">
      <c r="A50" s="419">
        <v>21</v>
      </c>
      <c r="B50" s="607" t="s">
        <v>89</v>
      </c>
      <c r="C50" s="671">
        <v>10378913.702399999</v>
      </c>
      <c r="D50" s="438"/>
    </row>
    <row r="51" spans="1:4">
      <c r="A51" s="419">
        <v>21.1</v>
      </c>
      <c r="B51" s="606" t="s">
        <v>761</v>
      </c>
      <c r="C51" s="672"/>
      <c r="D51" s="438"/>
    </row>
    <row r="52" spans="1:4">
      <c r="A52" s="419">
        <v>22</v>
      </c>
      <c r="B52" s="411" t="s">
        <v>762</v>
      </c>
      <c r="C52" s="671">
        <f>SUM(C37,C39,C40,C45,C46,C49,C50)</f>
        <v>422396100.44139993</v>
      </c>
      <c r="D52" s="438"/>
    </row>
    <row r="53" spans="1:4">
      <c r="A53" s="419"/>
      <c r="B53" s="413" t="s">
        <v>763</v>
      </c>
      <c r="C53" s="673"/>
      <c r="D53" s="438"/>
    </row>
    <row r="54" spans="1:4">
      <c r="A54" s="419">
        <v>23</v>
      </c>
      <c r="B54" s="411" t="s">
        <v>105</v>
      </c>
      <c r="C54" s="670">
        <v>136800000</v>
      </c>
      <c r="D54" s="567" t="s">
        <v>969</v>
      </c>
    </row>
    <row r="55" spans="1:4">
      <c r="A55" s="419">
        <v>24</v>
      </c>
      <c r="B55" s="411" t="s">
        <v>764</v>
      </c>
      <c r="C55" s="670"/>
      <c r="D55" s="438"/>
    </row>
    <row r="56" spans="1:4">
      <c r="A56" s="419">
        <v>25</v>
      </c>
      <c r="B56" s="411" t="s">
        <v>102</v>
      </c>
      <c r="C56" s="670"/>
      <c r="D56" s="438"/>
    </row>
    <row r="57" spans="1:4">
      <c r="A57" s="419">
        <v>26</v>
      </c>
      <c r="B57" s="415" t="s">
        <v>765</v>
      </c>
      <c r="C57" s="670"/>
      <c r="D57" s="438"/>
    </row>
    <row r="58" spans="1:4">
      <c r="A58" s="419">
        <v>27</v>
      </c>
      <c r="B58" s="415" t="s">
        <v>766</v>
      </c>
      <c r="C58" s="670">
        <f>SUM(C59:C60)</f>
        <v>1154910.5</v>
      </c>
      <c r="D58" s="438"/>
    </row>
    <row r="59" spans="1:4">
      <c r="A59" s="419">
        <v>27.1</v>
      </c>
      <c r="B59" s="439" t="s">
        <v>767</v>
      </c>
      <c r="C59" s="669">
        <v>1154910.5</v>
      </c>
      <c r="D59" s="438"/>
    </row>
    <row r="60" spans="1:4">
      <c r="A60" s="419">
        <v>27.2</v>
      </c>
      <c r="B60" s="436" t="s">
        <v>768</v>
      </c>
      <c r="C60" s="669"/>
      <c r="D60" s="438"/>
    </row>
    <row r="61" spans="1:4">
      <c r="A61" s="419">
        <v>28</v>
      </c>
      <c r="B61" s="412" t="s">
        <v>769</v>
      </c>
      <c r="C61" s="670"/>
      <c r="D61" s="438"/>
    </row>
    <row r="62" spans="1:4">
      <c r="A62" s="419">
        <v>29</v>
      </c>
      <c r="B62" s="415" t="s">
        <v>770</v>
      </c>
      <c r="C62" s="670">
        <f>SUM(C63:C65)</f>
        <v>0</v>
      </c>
      <c r="D62" s="438"/>
    </row>
    <row r="63" spans="1:4">
      <c r="A63" s="419">
        <v>29.1</v>
      </c>
      <c r="B63" s="440" t="s">
        <v>771</v>
      </c>
      <c r="C63" s="669"/>
      <c r="D63" s="438"/>
    </row>
    <row r="64" spans="1:4" ht="24" customHeight="1">
      <c r="A64" s="419">
        <v>29.2</v>
      </c>
      <c r="B64" s="439" t="s">
        <v>772</v>
      </c>
      <c r="C64" s="669"/>
      <c r="D64" s="438"/>
    </row>
    <row r="65" spans="1:4" ht="22.05" customHeight="1">
      <c r="A65" s="419">
        <v>29.3</v>
      </c>
      <c r="B65" s="441" t="s">
        <v>773</v>
      </c>
      <c r="C65" s="669"/>
      <c r="D65" s="438"/>
    </row>
    <row r="66" spans="1:4">
      <c r="A66" s="419">
        <v>30</v>
      </c>
      <c r="B66" s="415" t="s">
        <v>103</v>
      </c>
      <c r="C66" s="670">
        <f>-25642001.25+1.5</f>
        <v>-25641999.75</v>
      </c>
      <c r="D66" s="567" t="s">
        <v>970</v>
      </c>
    </row>
    <row r="67" spans="1:4">
      <c r="A67" s="419">
        <v>31</v>
      </c>
      <c r="B67" s="414" t="s">
        <v>774</v>
      </c>
      <c r="C67" s="670">
        <f>SUM(C54,C55,C56,C57,C58,C61,C62,C66)</f>
        <v>112312910.75</v>
      </c>
      <c r="D67" s="438"/>
    </row>
    <row r="68" spans="1:4">
      <c r="A68" s="419">
        <v>32</v>
      </c>
      <c r="B68" s="415" t="s">
        <v>775</v>
      </c>
      <c r="C68" s="670">
        <f>SUM(C52,C67)</f>
        <v>534709011.19139993</v>
      </c>
      <c r="D68" s="438"/>
    </row>
    <row r="69" spans="1:4">
      <c r="C69" s="674"/>
    </row>
  </sheetData>
  <pageMargins left="0.7" right="0.7" top="0.75" bottom="0.75" header="0.3" footer="0.3"/>
  <pageSetup paperSize="9" scale="3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2"/>
  <sheetViews>
    <sheetView zoomScaleNormal="100" workbookViewId="0">
      <pane xSplit="2" ySplit="7" topLeftCell="C8" activePane="bottomRight" state="frozen"/>
      <selection activeCell="B8" sqref="B8"/>
      <selection pane="topRight" activeCell="B8" sqref="B8"/>
      <selection pane="bottomLeft" activeCell="B8" sqref="B8"/>
      <selection pane="bottomRight" activeCell="B8" sqref="B8"/>
    </sheetView>
  </sheetViews>
  <sheetFormatPr defaultColWidth="9.21875" defaultRowHeight="13.8"/>
  <cols>
    <col min="1" max="1" width="10.5546875" style="1" bestFit="1" customWidth="1"/>
    <col min="2" max="2" width="97" style="1" bestFit="1" customWidth="1"/>
    <col min="3" max="3" width="12.44140625" style="1" bestFit="1" customWidth="1"/>
    <col min="4" max="4" width="13.21875" style="1" bestFit="1" customWidth="1"/>
    <col min="5" max="5" width="13.5546875" style="1" bestFit="1" customWidth="1"/>
    <col min="6" max="6" width="13.21875" style="1" bestFit="1" customWidth="1"/>
    <col min="7" max="7" width="9.5546875" style="1" bestFit="1" customWidth="1"/>
    <col min="8" max="8" width="13.21875" style="1" bestFit="1" customWidth="1"/>
    <col min="9" max="9" width="13.5546875" style="1" bestFit="1" customWidth="1"/>
    <col min="10" max="10" width="13.21875" style="1" bestFit="1" customWidth="1"/>
    <col min="11" max="11" width="13.5546875" style="1" bestFit="1" customWidth="1"/>
    <col min="12" max="12" width="13.21875" style="1" bestFit="1" customWidth="1"/>
    <col min="13" max="13" width="14.5546875" style="1" bestFit="1" customWidth="1"/>
    <col min="14" max="14" width="13.5546875" style="1" bestFit="1" customWidth="1"/>
    <col min="15" max="15" width="9.5546875" style="1" bestFit="1" customWidth="1"/>
    <col min="16" max="16" width="13.21875" style="1" bestFit="1" customWidth="1"/>
    <col min="17" max="17" width="12.44140625" style="1" bestFit="1" customWidth="1"/>
    <col min="18" max="18" width="13.21875" style="1" bestFit="1" customWidth="1"/>
    <col min="19" max="19" width="31.5546875" style="1" bestFit="1" customWidth="1"/>
    <col min="20" max="16384" width="9.21875" style="8"/>
  </cols>
  <sheetData>
    <row r="1" spans="1:19">
      <c r="A1" s="1" t="s">
        <v>108</v>
      </c>
      <c r="B1" s="1" t="str">
        <f>Info!C2</f>
        <v>სს " პაშა ბანკი საქართველო"</v>
      </c>
    </row>
    <row r="2" spans="1:19">
      <c r="A2" s="1" t="s">
        <v>109</v>
      </c>
      <c r="B2" s="342">
        <f>'1. key ratios'!B2</f>
        <v>45291</v>
      </c>
    </row>
    <row r="4" spans="1:19" ht="28.2" thickBot="1">
      <c r="A4" s="30" t="s">
        <v>259</v>
      </c>
      <c r="B4" s="198"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91" t="s">
        <v>284</v>
      </c>
      <c r="S5" s="69" t="s">
        <v>285</v>
      </c>
    </row>
    <row r="6" spans="1:19" ht="46.5" customHeight="1">
      <c r="A6" s="92"/>
      <c r="B6" s="783" t="s">
        <v>286</v>
      </c>
      <c r="C6" s="781">
        <v>0</v>
      </c>
      <c r="D6" s="782"/>
      <c r="E6" s="781">
        <v>0.2</v>
      </c>
      <c r="F6" s="782"/>
      <c r="G6" s="781">
        <v>0.35</v>
      </c>
      <c r="H6" s="782"/>
      <c r="I6" s="781">
        <v>0.5</v>
      </c>
      <c r="J6" s="782"/>
      <c r="K6" s="781">
        <v>0.75</v>
      </c>
      <c r="L6" s="782"/>
      <c r="M6" s="781">
        <v>1</v>
      </c>
      <c r="N6" s="782"/>
      <c r="O6" s="781">
        <v>1.5</v>
      </c>
      <c r="P6" s="782"/>
      <c r="Q6" s="781">
        <v>2.5</v>
      </c>
      <c r="R6" s="782"/>
      <c r="S6" s="779" t="s">
        <v>156</v>
      </c>
    </row>
    <row r="7" spans="1:19">
      <c r="A7" s="92"/>
      <c r="B7" s="784"/>
      <c r="C7" s="197" t="s">
        <v>279</v>
      </c>
      <c r="D7" s="197" t="s">
        <v>280</v>
      </c>
      <c r="E7" s="197" t="s">
        <v>279</v>
      </c>
      <c r="F7" s="197" t="s">
        <v>280</v>
      </c>
      <c r="G7" s="197" t="s">
        <v>279</v>
      </c>
      <c r="H7" s="197" t="s">
        <v>280</v>
      </c>
      <c r="I7" s="197" t="s">
        <v>279</v>
      </c>
      <c r="J7" s="197" t="s">
        <v>280</v>
      </c>
      <c r="K7" s="197" t="s">
        <v>279</v>
      </c>
      <c r="L7" s="197" t="s">
        <v>280</v>
      </c>
      <c r="M7" s="197" t="s">
        <v>279</v>
      </c>
      <c r="N7" s="197" t="s">
        <v>280</v>
      </c>
      <c r="O7" s="197" t="s">
        <v>279</v>
      </c>
      <c r="P7" s="197" t="s">
        <v>280</v>
      </c>
      <c r="Q7" s="197" t="s">
        <v>279</v>
      </c>
      <c r="R7" s="197" t="s">
        <v>280</v>
      </c>
      <c r="S7" s="780"/>
    </row>
    <row r="8" spans="1:19">
      <c r="A8" s="72">
        <v>1</v>
      </c>
      <c r="B8" s="112" t="s">
        <v>134</v>
      </c>
      <c r="C8" s="675">
        <v>8882064</v>
      </c>
      <c r="D8" s="675"/>
      <c r="E8" s="675">
        <v>0</v>
      </c>
      <c r="F8" s="676"/>
      <c r="G8" s="675">
        <v>0</v>
      </c>
      <c r="H8" s="675"/>
      <c r="I8" s="675">
        <v>0</v>
      </c>
      <c r="J8" s="675"/>
      <c r="K8" s="675">
        <v>0</v>
      </c>
      <c r="L8" s="675"/>
      <c r="M8" s="675">
        <v>27813649</v>
      </c>
      <c r="N8" s="675"/>
      <c r="O8" s="675">
        <v>0</v>
      </c>
      <c r="P8" s="675"/>
      <c r="Q8" s="675">
        <v>0</v>
      </c>
      <c r="R8" s="676"/>
      <c r="S8" s="201">
        <f>$C$6*SUM(C8:D8)+$E$6*SUM(E8:F8)+$G$6*SUM(G8:H8)+$I$6*SUM(I8:J8)+$K$6*SUM(K8:L8)+$M$6*SUM(M8:N8)+$O$6*SUM(O8:P8)+$Q$6*SUM(Q8:R8)</f>
        <v>27813649</v>
      </c>
    </row>
    <row r="9" spans="1:19">
      <c r="A9" s="72">
        <v>2</v>
      </c>
      <c r="B9" s="112" t="s">
        <v>135</v>
      </c>
      <c r="C9" s="675">
        <v>0</v>
      </c>
      <c r="D9" s="675"/>
      <c r="E9" s="675">
        <v>0</v>
      </c>
      <c r="F9" s="675"/>
      <c r="G9" s="675">
        <v>0</v>
      </c>
      <c r="H9" s="675"/>
      <c r="I9" s="675">
        <v>0</v>
      </c>
      <c r="J9" s="675"/>
      <c r="K9" s="675">
        <v>0</v>
      </c>
      <c r="L9" s="675"/>
      <c r="M9" s="675">
        <v>0</v>
      </c>
      <c r="N9" s="675"/>
      <c r="O9" s="675">
        <v>0</v>
      </c>
      <c r="P9" s="675"/>
      <c r="Q9" s="675">
        <v>0</v>
      </c>
      <c r="R9" s="676"/>
      <c r="S9" s="201">
        <f t="shared" ref="S9:S21" si="0">$C$6*SUM(C9:D9)+$E$6*SUM(E9:F9)+$G$6*SUM(G9:H9)+$I$6*SUM(I9:J9)+$K$6*SUM(K9:L9)+$M$6*SUM(M9:N9)+$O$6*SUM(O9:P9)+$Q$6*SUM(Q9:R9)</f>
        <v>0</v>
      </c>
    </row>
    <row r="10" spans="1:19">
      <c r="A10" s="72">
        <v>3</v>
      </c>
      <c r="B10" s="112" t="s">
        <v>136</v>
      </c>
      <c r="C10" s="675">
        <v>0</v>
      </c>
      <c r="D10" s="675"/>
      <c r="E10" s="675">
        <v>0</v>
      </c>
      <c r="F10" s="675"/>
      <c r="G10" s="675">
        <v>0</v>
      </c>
      <c r="H10" s="675"/>
      <c r="I10" s="675">
        <v>0</v>
      </c>
      <c r="J10" s="675"/>
      <c r="K10" s="675">
        <v>0</v>
      </c>
      <c r="L10" s="675"/>
      <c r="M10" s="675">
        <v>0</v>
      </c>
      <c r="N10" s="675"/>
      <c r="O10" s="675">
        <v>0</v>
      </c>
      <c r="P10" s="675"/>
      <c r="Q10" s="675">
        <v>0</v>
      </c>
      <c r="R10" s="676"/>
      <c r="S10" s="201">
        <f t="shared" si="0"/>
        <v>0</v>
      </c>
    </row>
    <row r="11" spans="1:19">
      <c r="A11" s="72">
        <v>4</v>
      </c>
      <c r="B11" s="112" t="s">
        <v>137</v>
      </c>
      <c r="C11" s="675">
        <v>0</v>
      </c>
      <c r="D11" s="675"/>
      <c r="E11" s="675">
        <v>0</v>
      </c>
      <c r="F11" s="675"/>
      <c r="G11" s="675">
        <v>0</v>
      </c>
      <c r="H11" s="675"/>
      <c r="I11" s="675">
        <v>0</v>
      </c>
      <c r="J11" s="675"/>
      <c r="K11" s="675">
        <v>0</v>
      </c>
      <c r="L11" s="675"/>
      <c r="M11" s="675">
        <v>0</v>
      </c>
      <c r="N11" s="675"/>
      <c r="O11" s="675">
        <v>0</v>
      </c>
      <c r="P11" s="675"/>
      <c r="Q11" s="675">
        <v>0</v>
      </c>
      <c r="R11" s="676"/>
      <c r="S11" s="201">
        <f t="shared" si="0"/>
        <v>0</v>
      </c>
    </row>
    <row r="12" spans="1:19">
      <c r="A12" s="72">
        <v>5</v>
      </c>
      <c r="B12" s="112" t="s">
        <v>949</v>
      </c>
      <c r="C12" s="675">
        <v>0</v>
      </c>
      <c r="D12" s="675"/>
      <c r="E12" s="675">
        <v>0</v>
      </c>
      <c r="F12" s="675"/>
      <c r="G12" s="675">
        <v>0</v>
      </c>
      <c r="H12" s="675"/>
      <c r="I12" s="675">
        <v>0</v>
      </c>
      <c r="J12" s="675"/>
      <c r="K12" s="675">
        <v>0</v>
      </c>
      <c r="L12" s="675"/>
      <c r="M12" s="675">
        <v>0</v>
      </c>
      <c r="N12" s="675"/>
      <c r="O12" s="675">
        <v>0</v>
      </c>
      <c r="P12" s="675"/>
      <c r="Q12" s="675">
        <v>0</v>
      </c>
      <c r="R12" s="676"/>
      <c r="S12" s="201">
        <f t="shared" si="0"/>
        <v>0</v>
      </c>
    </row>
    <row r="13" spans="1:19">
      <c r="A13" s="72">
        <v>6</v>
      </c>
      <c r="B13" s="112" t="s">
        <v>138</v>
      </c>
      <c r="C13" s="675">
        <v>0</v>
      </c>
      <c r="D13" s="675"/>
      <c r="E13" s="675">
        <v>40129674</v>
      </c>
      <c r="F13" s="675"/>
      <c r="G13" s="675">
        <v>0</v>
      </c>
      <c r="H13" s="675"/>
      <c r="I13" s="675">
        <v>27547473</v>
      </c>
      <c r="J13" s="675"/>
      <c r="K13" s="675">
        <v>0</v>
      </c>
      <c r="L13" s="675"/>
      <c r="M13" s="675">
        <v>0</v>
      </c>
      <c r="N13" s="675">
        <v>333297.04129999998</v>
      </c>
      <c r="O13" s="675">
        <v>0</v>
      </c>
      <c r="P13" s="675"/>
      <c r="Q13" s="675">
        <v>0</v>
      </c>
      <c r="R13" s="676"/>
      <c r="S13" s="201">
        <f t="shared" si="0"/>
        <v>22132968.3413</v>
      </c>
    </row>
    <row r="14" spans="1:19">
      <c r="A14" s="72">
        <v>7</v>
      </c>
      <c r="B14" s="112" t="s">
        <v>71</v>
      </c>
      <c r="C14" s="675">
        <v>0</v>
      </c>
      <c r="D14" s="675"/>
      <c r="E14" s="675">
        <v>0</v>
      </c>
      <c r="F14" s="675"/>
      <c r="G14" s="675">
        <v>0</v>
      </c>
      <c r="H14" s="675"/>
      <c r="I14" s="675">
        <v>0</v>
      </c>
      <c r="J14" s="675"/>
      <c r="K14" s="675">
        <v>0</v>
      </c>
      <c r="L14" s="675"/>
      <c r="M14" s="675">
        <v>295113475</v>
      </c>
      <c r="N14" s="675">
        <v>114423.1734</v>
      </c>
      <c r="O14" s="675">
        <v>0</v>
      </c>
      <c r="P14" s="675"/>
      <c r="Q14" s="675">
        <v>0</v>
      </c>
      <c r="R14" s="676"/>
      <c r="S14" s="201">
        <f t="shared" si="0"/>
        <v>295227898.17339998</v>
      </c>
    </row>
    <row r="15" spans="1:19">
      <c r="A15" s="72">
        <v>8</v>
      </c>
      <c r="B15" s="112" t="s">
        <v>72</v>
      </c>
      <c r="C15" s="675">
        <v>0</v>
      </c>
      <c r="D15" s="675"/>
      <c r="E15" s="675">
        <v>0</v>
      </c>
      <c r="F15" s="675"/>
      <c r="G15" s="675">
        <v>0</v>
      </c>
      <c r="H15" s="675"/>
      <c r="I15" s="675">
        <v>0</v>
      </c>
      <c r="J15" s="675"/>
      <c r="K15" s="675">
        <v>60678991</v>
      </c>
      <c r="L15" s="675"/>
      <c r="M15" s="675">
        <v>6559</v>
      </c>
      <c r="N15" s="675">
        <v>57396465.673299998</v>
      </c>
      <c r="O15" s="675">
        <v>0</v>
      </c>
      <c r="P15" s="675"/>
      <c r="Q15" s="675">
        <v>0</v>
      </c>
      <c r="R15" s="676"/>
      <c r="S15" s="201">
        <f t="shared" si="0"/>
        <v>102912267.9233</v>
      </c>
    </row>
    <row r="16" spans="1:19">
      <c r="A16" s="72">
        <v>9</v>
      </c>
      <c r="B16" s="112" t="s">
        <v>950</v>
      </c>
      <c r="C16" s="675">
        <v>0</v>
      </c>
      <c r="D16" s="675"/>
      <c r="E16" s="675">
        <v>0</v>
      </c>
      <c r="F16" s="675"/>
      <c r="G16" s="675">
        <v>0</v>
      </c>
      <c r="H16" s="675"/>
      <c r="I16" s="675">
        <v>0</v>
      </c>
      <c r="J16" s="675"/>
      <c r="K16" s="675">
        <v>0</v>
      </c>
      <c r="L16" s="675"/>
      <c r="M16" s="675">
        <v>0</v>
      </c>
      <c r="N16" s="675"/>
      <c r="O16" s="675">
        <v>0</v>
      </c>
      <c r="P16" s="675"/>
      <c r="Q16" s="675">
        <v>0</v>
      </c>
      <c r="R16" s="676"/>
      <c r="S16" s="201">
        <f t="shared" si="0"/>
        <v>0</v>
      </c>
    </row>
    <row r="17" spans="1:19">
      <c r="A17" s="72">
        <v>10</v>
      </c>
      <c r="B17" s="112" t="s">
        <v>67</v>
      </c>
      <c r="C17" s="675">
        <v>0</v>
      </c>
      <c r="D17" s="675"/>
      <c r="E17" s="675">
        <v>0</v>
      </c>
      <c r="F17" s="675"/>
      <c r="G17" s="675">
        <v>0</v>
      </c>
      <c r="H17" s="675"/>
      <c r="I17" s="675">
        <v>0</v>
      </c>
      <c r="J17" s="675"/>
      <c r="K17" s="675">
        <v>1968202</v>
      </c>
      <c r="L17" s="675"/>
      <c r="M17" s="675">
        <v>38218819</v>
      </c>
      <c r="N17" s="675"/>
      <c r="O17" s="675">
        <v>0</v>
      </c>
      <c r="P17" s="675"/>
      <c r="Q17" s="675">
        <v>0</v>
      </c>
      <c r="R17" s="676"/>
      <c r="S17" s="201">
        <f t="shared" si="0"/>
        <v>39694970.5</v>
      </c>
    </row>
    <row r="18" spans="1:19">
      <c r="A18" s="72">
        <v>11</v>
      </c>
      <c r="B18" s="112" t="s">
        <v>68</v>
      </c>
      <c r="C18" s="675">
        <v>0</v>
      </c>
      <c r="D18" s="675"/>
      <c r="E18" s="675">
        <v>0</v>
      </c>
      <c r="F18" s="675"/>
      <c r="G18" s="675">
        <v>0</v>
      </c>
      <c r="H18" s="675"/>
      <c r="I18" s="675">
        <v>0</v>
      </c>
      <c r="J18" s="675"/>
      <c r="K18" s="675">
        <v>0</v>
      </c>
      <c r="L18" s="675"/>
      <c r="M18" s="675">
        <v>0</v>
      </c>
      <c r="N18" s="675"/>
      <c r="O18" s="675">
        <v>0</v>
      </c>
      <c r="P18" s="675"/>
      <c r="Q18" s="675">
        <v>0</v>
      </c>
      <c r="R18" s="676"/>
      <c r="S18" s="201">
        <f t="shared" si="0"/>
        <v>0</v>
      </c>
    </row>
    <row r="19" spans="1:19">
      <c r="A19" s="72">
        <v>12</v>
      </c>
      <c r="B19" s="112" t="s">
        <v>69</v>
      </c>
      <c r="C19" s="675">
        <v>0</v>
      </c>
      <c r="D19" s="675"/>
      <c r="E19" s="675">
        <v>0</v>
      </c>
      <c r="F19" s="675"/>
      <c r="G19" s="675">
        <v>0</v>
      </c>
      <c r="H19" s="675"/>
      <c r="I19" s="675">
        <v>0</v>
      </c>
      <c r="J19" s="675"/>
      <c r="K19" s="675">
        <v>0</v>
      </c>
      <c r="L19" s="675"/>
      <c r="M19" s="675">
        <v>0</v>
      </c>
      <c r="N19" s="675"/>
      <c r="O19" s="675">
        <v>0</v>
      </c>
      <c r="P19" s="675"/>
      <c r="Q19" s="675">
        <v>0</v>
      </c>
      <c r="R19" s="676"/>
      <c r="S19" s="201">
        <f t="shared" si="0"/>
        <v>0</v>
      </c>
    </row>
    <row r="20" spans="1:19">
      <c r="A20" s="72">
        <v>13</v>
      </c>
      <c r="B20" s="112" t="s">
        <v>70</v>
      </c>
      <c r="C20" s="675">
        <v>0</v>
      </c>
      <c r="D20" s="675"/>
      <c r="E20" s="675">
        <v>0</v>
      </c>
      <c r="F20" s="675"/>
      <c r="G20" s="675">
        <v>0</v>
      </c>
      <c r="H20" s="675"/>
      <c r="I20" s="675">
        <v>0</v>
      </c>
      <c r="J20" s="675"/>
      <c r="K20" s="675">
        <v>0</v>
      </c>
      <c r="L20" s="675"/>
      <c r="M20" s="675">
        <v>0</v>
      </c>
      <c r="N20" s="675"/>
      <c r="O20" s="675">
        <v>0</v>
      </c>
      <c r="P20" s="675"/>
      <c r="Q20" s="675">
        <v>0</v>
      </c>
      <c r="R20" s="676"/>
      <c r="S20" s="201">
        <f t="shared" si="0"/>
        <v>0</v>
      </c>
    </row>
    <row r="21" spans="1:19">
      <c r="A21" s="72">
        <v>14</v>
      </c>
      <c r="B21" s="112" t="s">
        <v>154</v>
      </c>
      <c r="C21" s="675">
        <v>2919175</v>
      </c>
      <c r="D21" s="675"/>
      <c r="E21" s="675">
        <v>0</v>
      </c>
      <c r="F21" s="675"/>
      <c r="G21" s="675">
        <v>0</v>
      </c>
      <c r="H21" s="675"/>
      <c r="I21" s="675">
        <v>0</v>
      </c>
      <c r="J21" s="675"/>
      <c r="K21" s="675">
        <v>0</v>
      </c>
      <c r="L21" s="675"/>
      <c r="M21" s="675">
        <v>22457690</v>
      </c>
      <c r="N21" s="675"/>
      <c r="O21" s="675">
        <v>0</v>
      </c>
      <c r="P21" s="675"/>
      <c r="Q21" s="675">
        <v>4078397</v>
      </c>
      <c r="R21" s="676"/>
      <c r="S21" s="201">
        <f t="shared" si="0"/>
        <v>32653682.5</v>
      </c>
    </row>
    <row r="22" spans="1:19" ht="14.4" thickBot="1">
      <c r="A22" s="55"/>
      <c r="B22" s="96" t="s">
        <v>66</v>
      </c>
      <c r="C22" s="176">
        <f>SUM(C8:C21)</f>
        <v>11801239</v>
      </c>
      <c r="D22" s="176">
        <f t="shared" ref="D22:S22" si="1">SUM(D8:D21)</f>
        <v>0</v>
      </c>
      <c r="E22" s="176">
        <f t="shared" si="1"/>
        <v>40129674</v>
      </c>
      <c r="F22" s="176">
        <f t="shared" si="1"/>
        <v>0</v>
      </c>
      <c r="G22" s="176">
        <f t="shared" si="1"/>
        <v>0</v>
      </c>
      <c r="H22" s="176">
        <f t="shared" si="1"/>
        <v>0</v>
      </c>
      <c r="I22" s="176">
        <f t="shared" si="1"/>
        <v>27547473</v>
      </c>
      <c r="J22" s="176">
        <f t="shared" si="1"/>
        <v>0</v>
      </c>
      <c r="K22" s="176">
        <f t="shared" si="1"/>
        <v>62647193</v>
      </c>
      <c r="L22" s="176">
        <f t="shared" si="1"/>
        <v>0</v>
      </c>
      <c r="M22" s="176">
        <f t="shared" si="1"/>
        <v>383610192</v>
      </c>
      <c r="N22" s="176">
        <f t="shared" si="1"/>
        <v>57844185.887999997</v>
      </c>
      <c r="O22" s="176">
        <f t="shared" si="1"/>
        <v>0</v>
      </c>
      <c r="P22" s="176">
        <f t="shared" si="1"/>
        <v>0</v>
      </c>
      <c r="Q22" s="176">
        <f t="shared" si="1"/>
        <v>4078397</v>
      </c>
      <c r="R22" s="176">
        <f t="shared" si="1"/>
        <v>0</v>
      </c>
      <c r="S22" s="202">
        <f t="shared" si="1"/>
        <v>520435436.43799996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zoomScaleNormal="100" workbookViewId="0">
      <pane xSplit="2" ySplit="6" topLeftCell="C7" activePane="bottomRight" state="frozen"/>
      <selection activeCell="B8" sqref="B8"/>
      <selection pane="topRight" activeCell="B8" sqref="B8"/>
      <selection pane="bottomLeft" activeCell="B8" sqref="B8"/>
      <selection pane="bottomRight" activeCell="B8" sqref="B8"/>
    </sheetView>
  </sheetViews>
  <sheetFormatPr defaultColWidth="9.21875" defaultRowHeight="13.8"/>
  <cols>
    <col min="1" max="1" width="10.5546875" style="1" bestFit="1" customWidth="1"/>
    <col min="2" max="2" width="97" style="1" bestFit="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108</v>
      </c>
      <c r="B1" s="1" t="str">
        <f>Info!C2</f>
        <v>სს " პაშა ბანკი საქართველო"</v>
      </c>
    </row>
    <row r="2" spans="1:22">
      <c r="A2" s="1" t="s">
        <v>109</v>
      </c>
      <c r="B2" s="342">
        <f>'1. key ratios'!B2</f>
        <v>45291</v>
      </c>
    </row>
    <row r="4" spans="1:22" ht="28.2" thickBot="1">
      <c r="A4" s="1" t="s">
        <v>260</v>
      </c>
      <c r="B4" s="198" t="s">
        <v>295</v>
      </c>
      <c r="V4" s="138" t="s">
        <v>87</v>
      </c>
    </row>
    <row r="5" spans="1:22">
      <c r="A5" s="53"/>
      <c r="B5" s="54"/>
      <c r="C5" s="785" t="s">
        <v>116</v>
      </c>
      <c r="D5" s="786"/>
      <c r="E5" s="786"/>
      <c r="F5" s="786"/>
      <c r="G5" s="786"/>
      <c r="H5" s="786"/>
      <c r="I5" s="786"/>
      <c r="J5" s="786"/>
      <c r="K5" s="786"/>
      <c r="L5" s="787"/>
      <c r="M5" s="785" t="s">
        <v>117</v>
      </c>
      <c r="N5" s="786"/>
      <c r="O5" s="786"/>
      <c r="P5" s="786"/>
      <c r="Q5" s="786"/>
      <c r="R5" s="786"/>
      <c r="S5" s="787"/>
      <c r="T5" s="790" t="s">
        <v>293</v>
      </c>
      <c r="U5" s="790" t="s">
        <v>292</v>
      </c>
      <c r="V5" s="788" t="s">
        <v>118</v>
      </c>
    </row>
    <row r="6" spans="1:22" s="30" customFormat="1" ht="138">
      <c r="A6" s="70"/>
      <c r="B6" s="114"/>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791"/>
      <c r="U6" s="791"/>
      <c r="V6" s="789"/>
    </row>
    <row r="7" spans="1:22">
      <c r="A7" s="95">
        <v>1</v>
      </c>
      <c r="B7" s="112" t="s">
        <v>134</v>
      </c>
      <c r="C7" s="177"/>
      <c r="D7" s="175"/>
      <c r="E7" s="175"/>
      <c r="F7" s="175"/>
      <c r="G7" s="175"/>
      <c r="H7" s="175"/>
      <c r="I7" s="175"/>
      <c r="J7" s="175"/>
      <c r="K7" s="175"/>
      <c r="L7" s="178"/>
      <c r="M7" s="177"/>
      <c r="N7" s="175"/>
      <c r="O7" s="175"/>
      <c r="P7" s="175"/>
      <c r="Q7" s="175"/>
      <c r="R7" s="175"/>
      <c r="S7" s="178"/>
      <c r="T7" s="195"/>
      <c r="U7" s="194"/>
      <c r="V7" s="179">
        <f>SUM(C7:S7)</f>
        <v>0</v>
      </c>
    </row>
    <row r="8" spans="1:22">
      <c r="A8" s="95">
        <v>2</v>
      </c>
      <c r="B8" s="112" t="s">
        <v>135</v>
      </c>
      <c r="C8" s="177"/>
      <c r="D8" s="175"/>
      <c r="E8" s="175"/>
      <c r="F8" s="175"/>
      <c r="G8" s="175"/>
      <c r="H8" s="175"/>
      <c r="I8" s="175"/>
      <c r="J8" s="175"/>
      <c r="K8" s="175"/>
      <c r="L8" s="178"/>
      <c r="M8" s="177"/>
      <c r="N8" s="175"/>
      <c r="O8" s="175"/>
      <c r="P8" s="175"/>
      <c r="Q8" s="175"/>
      <c r="R8" s="175"/>
      <c r="S8" s="178"/>
      <c r="T8" s="194"/>
      <c r="U8" s="194"/>
      <c r="V8" s="179">
        <f t="shared" ref="V8:V20" si="0">SUM(C8:S8)</f>
        <v>0</v>
      </c>
    </row>
    <row r="9" spans="1:22">
      <c r="A9" s="95">
        <v>3</v>
      </c>
      <c r="B9" s="112" t="s">
        <v>136</v>
      </c>
      <c r="C9" s="177"/>
      <c r="D9" s="175"/>
      <c r="E9" s="175"/>
      <c r="F9" s="175"/>
      <c r="G9" s="175"/>
      <c r="H9" s="175"/>
      <c r="I9" s="175"/>
      <c r="J9" s="175"/>
      <c r="K9" s="175"/>
      <c r="L9" s="178"/>
      <c r="M9" s="177"/>
      <c r="N9" s="175"/>
      <c r="O9" s="175"/>
      <c r="P9" s="175"/>
      <c r="Q9" s="175"/>
      <c r="R9" s="175"/>
      <c r="S9" s="178"/>
      <c r="T9" s="194"/>
      <c r="U9" s="194"/>
      <c r="V9" s="179">
        <f>SUM(C9:S9)</f>
        <v>0</v>
      </c>
    </row>
    <row r="10" spans="1:22">
      <c r="A10" s="95">
        <v>4</v>
      </c>
      <c r="B10" s="112" t="s">
        <v>137</v>
      </c>
      <c r="C10" s="177"/>
      <c r="D10" s="175"/>
      <c r="E10" s="175"/>
      <c r="F10" s="175"/>
      <c r="G10" s="175"/>
      <c r="H10" s="175"/>
      <c r="I10" s="175"/>
      <c r="J10" s="175"/>
      <c r="K10" s="175"/>
      <c r="L10" s="178"/>
      <c r="M10" s="177"/>
      <c r="N10" s="175"/>
      <c r="O10" s="175"/>
      <c r="P10" s="175"/>
      <c r="Q10" s="175"/>
      <c r="R10" s="175"/>
      <c r="S10" s="178"/>
      <c r="T10" s="194"/>
      <c r="U10" s="194"/>
      <c r="V10" s="179">
        <f t="shared" si="0"/>
        <v>0</v>
      </c>
    </row>
    <row r="11" spans="1:22">
      <c r="A11" s="95">
        <v>5</v>
      </c>
      <c r="B11" s="112" t="s">
        <v>949</v>
      </c>
      <c r="C11" s="177"/>
      <c r="D11" s="175"/>
      <c r="E11" s="175"/>
      <c r="F11" s="175"/>
      <c r="G11" s="175"/>
      <c r="H11" s="175"/>
      <c r="I11" s="175"/>
      <c r="J11" s="175"/>
      <c r="K11" s="175"/>
      <c r="L11" s="178"/>
      <c r="M11" s="177"/>
      <c r="N11" s="175"/>
      <c r="O11" s="175"/>
      <c r="P11" s="175"/>
      <c r="Q11" s="175"/>
      <c r="R11" s="175"/>
      <c r="S11" s="178"/>
      <c r="T11" s="194"/>
      <c r="U11" s="194"/>
      <c r="V11" s="179">
        <f t="shared" si="0"/>
        <v>0</v>
      </c>
    </row>
    <row r="12" spans="1:22">
      <c r="A12" s="95">
        <v>6</v>
      </c>
      <c r="B12" s="112" t="s">
        <v>138</v>
      </c>
      <c r="C12" s="177"/>
      <c r="D12" s="175"/>
      <c r="E12" s="175"/>
      <c r="F12" s="175"/>
      <c r="G12" s="175"/>
      <c r="H12" s="175"/>
      <c r="I12" s="175"/>
      <c r="J12" s="175"/>
      <c r="K12" s="175"/>
      <c r="L12" s="178"/>
      <c r="M12" s="177"/>
      <c r="N12" s="175"/>
      <c r="O12" s="175"/>
      <c r="P12" s="175"/>
      <c r="Q12" s="175"/>
      <c r="R12" s="175"/>
      <c r="S12" s="178"/>
      <c r="T12" s="194"/>
      <c r="U12" s="194"/>
      <c r="V12" s="179">
        <f t="shared" si="0"/>
        <v>0</v>
      </c>
    </row>
    <row r="13" spans="1:22">
      <c r="A13" s="95">
        <v>7</v>
      </c>
      <c r="B13" s="112" t="s">
        <v>71</v>
      </c>
      <c r="C13" s="177"/>
      <c r="D13" s="175">
        <v>3228793</v>
      </c>
      <c r="E13" s="175"/>
      <c r="F13" s="175"/>
      <c r="G13" s="175"/>
      <c r="H13" s="175"/>
      <c r="I13" s="175"/>
      <c r="J13" s="175"/>
      <c r="K13" s="175"/>
      <c r="L13" s="178"/>
      <c r="M13" s="177"/>
      <c r="N13" s="175"/>
      <c r="O13" s="175"/>
      <c r="P13" s="175"/>
      <c r="Q13" s="175"/>
      <c r="R13" s="175"/>
      <c r="S13" s="178"/>
      <c r="T13" s="194"/>
      <c r="U13" s="194"/>
      <c r="V13" s="179">
        <f t="shared" si="0"/>
        <v>3228793</v>
      </c>
    </row>
    <row r="14" spans="1:22">
      <c r="A14" s="95">
        <v>8</v>
      </c>
      <c r="B14" s="112" t="s">
        <v>72</v>
      </c>
      <c r="C14" s="177"/>
      <c r="D14" s="175">
        <v>107788</v>
      </c>
      <c r="E14" s="175"/>
      <c r="F14" s="175"/>
      <c r="G14" s="175"/>
      <c r="H14" s="175"/>
      <c r="I14" s="175"/>
      <c r="J14" s="175"/>
      <c r="K14" s="175"/>
      <c r="L14" s="178"/>
      <c r="M14" s="177"/>
      <c r="N14" s="175"/>
      <c r="O14" s="175"/>
      <c r="P14" s="175"/>
      <c r="Q14" s="175"/>
      <c r="R14" s="175"/>
      <c r="S14" s="178"/>
      <c r="T14" s="194"/>
      <c r="U14" s="194"/>
      <c r="V14" s="179">
        <f t="shared" si="0"/>
        <v>107788</v>
      </c>
    </row>
    <row r="15" spans="1:22">
      <c r="A15" s="95">
        <v>9</v>
      </c>
      <c r="B15" s="112" t="s">
        <v>950</v>
      </c>
      <c r="C15" s="177"/>
      <c r="D15" s="175"/>
      <c r="E15" s="175"/>
      <c r="F15" s="175"/>
      <c r="G15" s="175"/>
      <c r="H15" s="175"/>
      <c r="I15" s="175"/>
      <c r="J15" s="175"/>
      <c r="K15" s="175"/>
      <c r="L15" s="178"/>
      <c r="M15" s="177"/>
      <c r="N15" s="175"/>
      <c r="O15" s="175"/>
      <c r="P15" s="175"/>
      <c r="Q15" s="175"/>
      <c r="R15" s="175"/>
      <c r="S15" s="178"/>
      <c r="T15" s="194"/>
      <c r="U15" s="194"/>
      <c r="V15" s="179">
        <f t="shared" si="0"/>
        <v>0</v>
      </c>
    </row>
    <row r="16" spans="1:22">
      <c r="A16" s="95">
        <v>10</v>
      </c>
      <c r="B16" s="112" t="s">
        <v>67</v>
      </c>
      <c r="C16" s="177"/>
      <c r="D16" s="175"/>
      <c r="E16" s="175"/>
      <c r="F16" s="175"/>
      <c r="G16" s="175"/>
      <c r="H16" s="175"/>
      <c r="I16" s="175"/>
      <c r="J16" s="175"/>
      <c r="K16" s="175"/>
      <c r="L16" s="178"/>
      <c r="M16" s="177"/>
      <c r="N16" s="175"/>
      <c r="O16" s="175"/>
      <c r="P16" s="175"/>
      <c r="Q16" s="175"/>
      <c r="R16" s="175"/>
      <c r="S16" s="178"/>
      <c r="T16" s="194"/>
      <c r="U16" s="194"/>
      <c r="V16" s="179">
        <f t="shared" si="0"/>
        <v>0</v>
      </c>
    </row>
    <row r="17" spans="1:22">
      <c r="A17" s="95">
        <v>11</v>
      </c>
      <c r="B17" s="112" t="s">
        <v>68</v>
      </c>
      <c r="C17" s="177"/>
      <c r="D17" s="175"/>
      <c r="E17" s="175"/>
      <c r="F17" s="175"/>
      <c r="G17" s="175"/>
      <c r="H17" s="175"/>
      <c r="I17" s="175"/>
      <c r="J17" s="175"/>
      <c r="K17" s="175"/>
      <c r="L17" s="178"/>
      <c r="M17" s="177"/>
      <c r="N17" s="175"/>
      <c r="O17" s="175"/>
      <c r="P17" s="175"/>
      <c r="Q17" s="175"/>
      <c r="R17" s="175"/>
      <c r="S17" s="178"/>
      <c r="T17" s="194"/>
      <c r="U17" s="194"/>
      <c r="V17" s="179">
        <f t="shared" si="0"/>
        <v>0</v>
      </c>
    </row>
    <row r="18" spans="1:22">
      <c r="A18" s="95">
        <v>12</v>
      </c>
      <c r="B18" s="112" t="s">
        <v>69</v>
      </c>
      <c r="C18" s="177"/>
      <c r="D18" s="175"/>
      <c r="E18" s="175"/>
      <c r="F18" s="175"/>
      <c r="G18" s="175"/>
      <c r="H18" s="175"/>
      <c r="I18" s="175"/>
      <c r="J18" s="175"/>
      <c r="K18" s="175"/>
      <c r="L18" s="178"/>
      <c r="M18" s="177"/>
      <c r="N18" s="175"/>
      <c r="O18" s="175"/>
      <c r="P18" s="175"/>
      <c r="Q18" s="175"/>
      <c r="R18" s="175"/>
      <c r="S18" s="178"/>
      <c r="T18" s="194"/>
      <c r="U18" s="194"/>
      <c r="V18" s="179">
        <f t="shared" si="0"/>
        <v>0</v>
      </c>
    </row>
    <row r="19" spans="1:22">
      <c r="A19" s="95">
        <v>13</v>
      </c>
      <c r="B19" s="112" t="s">
        <v>70</v>
      </c>
      <c r="C19" s="177"/>
      <c r="D19" s="175"/>
      <c r="E19" s="175"/>
      <c r="F19" s="175"/>
      <c r="G19" s="175"/>
      <c r="H19" s="175"/>
      <c r="I19" s="175"/>
      <c r="J19" s="175"/>
      <c r="K19" s="175"/>
      <c r="L19" s="178"/>
      <c r="M19" s="177"/>
      <c r="N19" s="175"/>
      <c r="O19" s="175"/>
      <c r="P19" s="175"/>
      <c r="Q19" s="175"/>
      <c r="R19" s="175"/>
      <c r="S19" s="178"/>
      <c r="T19" s="194"/>
      <c r="U19" s="194"/>
      <c r="V19" s="179">
        <f t="shared" si="0"/>
        <v>0</v>
      </c>
    </row>
    <row r="20" spans="1:22">
      <c r="A20" s="95">
        <v>14</v>
      </c>
      <c r="B20" s="112" t="s">
        <v>154</v>
      </c>
      <c r="C20" s="177"/>
      <c r="D20" s="175"/>
      <c r="E20" s="175"/>
      <c r="F20" s="175"/>
      <c r="G20" s="175"/>
      <c r="H20" s="175"/>
      <c r="I20" s="175"/>
      <c r="J20" s="175"/>
      <c r="K20" s="175"/>
      <c r="L20" s="178"/>
      <c r="M20" s="177"/>
      <c r="N20" s="175"/>
      <c r="O20" s="175"/>
      <c r="P20" s="175"/>
      <c r="Q20" s="175"/>
      <c r="R20" s="175"/>
      <c r="S20" s="178"/>
      <c r="T20" s="194"/>
      <c r="U20" s="194"/>
      <c r="V20" s="179">
        <f t="shared" si="0"/>
        <v>0</v>
      </c>
    </row>
    <row r="21" spans="1:22" ht="14.4" thickBot="1">
      <c r="A21" s="55"/>
      <c r="B21" s="56" t="s">
        <v>66</v>
      </c>
      <c r="C21" s="180">
        <f>SUM(C7:C20)</f>
        <v>0</v>
      </c>
      <c r="D21" s="176">
        <f t="shared" ref="D21:V21" si="1">SUM(D7:D20)</f>
        <v>3336581</v>
      </c>
      <c r="E21" s="176">
        <f t="shared" si="1"/>
        <v>0</v>
      </c>
      <c r="F21" s="176">
        <f t="shared" si="1"/>
        <v>0</v>
      </c>
      <c r="G21" s="176">
        <f t="shared" si="1"/>
        <v>0</v>
      </c>
      <c r="H21" s="176">
        <f t="shared" si="1"/>
        <v>0</v>
      </c>
      <c r="I21" s="176">
        <f t="shared" si="1"/>
        <v>0</v>
      </c>
      <c r="J21" s="176">
        <f t="shared" si="1"/>
        <v>0</v>
      </c>
      <c r="K21" s="176">
        <f t="shared" si="1"/>
        <v>0</v>
      </c>
      <c r="L21" s="181">
        <f t="shared" si="1"/>
        <v>0</v>
      </c>
      <c r="M21" s="180">
        <f t="shared" si="1"/>
        <v>0</v>
      </c>
      <c r="N21" s="176">
        <f t="shared" si="1"/>
        <v>0</v>
      </c>
      <c r="O21" s="176">
        <f t="shared" si="1"/>
        <v>0</v>
      </c>
      <c r="P21" s="176">
        <f t="shared" si="1"/>
        <v>0</v>
      </c>
      <c r="Q21" s="176">
        <f t="shared" si="1"/>
        <v>0</v>
      </c>
      <c r="R21" s="176">
        <f t="shared" si="1"/>
        <v>0</v>
      </c>
      <c r="S21" s="181">
        <f t="shared" si="1"/>
        <v>0</v>
      </c>
      <c r="T21" s="181">
        <f>SUM(T7:T20)</f>
        <v>0</v>
      </c>
      <c r="U21" s="181">
        <f t="shared" si="1"/>
        <v>0</v>
      </c>
      <c r="V21" s="182">
        <f t="shared" si="1"/>
        <v>3336581</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8"/>
  <sheetViews>
    <sheetView zoomScaleNormal="100"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108</v>
      </c>
      <c r="B1" s="1" t="str">
        <f>Info!C2</f>
        <v>სს " პაშა ბანკი საქართველო"</v>
      </c>
    </row>
    <row r="2" spans="1:9">
      <c r="A2" s="1" t="s">
        <v>109</v>
      </c>
      <c r="B2" s="342">
        <f>'1. key ratios'!B2</f>
        <v>45291</v>
      </c>
    </row>
    <row r="4" spans="1:9" ht="14.4" thickBot="1">
      <c r="A4" s="1" t="s">
        <v>261</v>
      </c>
      <c r="B4" s="23" t="s">
        <v>296</v>
      </c>
    </row>
    <row r="5" spans="1:9">
      <c r="A5" s="53"/>
      <c r="B5" s="93"/>
      <c r="C5" s="97" t="s">
        <v>0</v>
      </c>
      <c r="D5" s="97" t="s">
        <v>1</v>
      </c>
      <c r="E5" s="97" t="s">
        <v>2</v>
      </c>
      <c r="F5" s="97" t="s">
        <v>3</v>
      </c>
      <c r="G5" s="193" t="s">
        <v>4</v>
      </c>
      <c r="H5" s="98" t="s">
        <v>5</v>
      </c>
      <c r="I5" s="18"/>
    </row>
    <row r="6" spans="1:9" ht="15" customHeight="1">
      <c r="A6" s="92"/>
      <c r="B6" s="16"/>
      <c r="C6" s="783" t="s">
        <v>288</v>
      </c>
      <c r="D6" s="794" t="s">
        <v>309</v>
      </c>
      <c r="E6" s="795"/>
      <c r="F6" s="783" t="s">
        <v>315</v>
      </c>
      <c r="G6" s="783" t="s">
        <v>316</v>
      </c>
      <c r="H6" s="792" t="s">
        <v>290</v>
      </c>
      <c r="I6" s="18"/>
    </row>
    <row r="7" spans="1:9" ht="69">
      <c r="A7" s="92"/>
      <c r="B7" s="16"/>
      <c r="C7" s="784"/>
      <c r="D7" s="196" t="s">
        <v>291</v>
      </c>
      <c r="E7" s="196" t="s">
        <v>289</v>
      </c>
      <c r="F7" s="784"/>
      <c r="G7" s="784"/>
      <c r="H7" s="793"/>
      <c r="I7" s="18"/>
    </row>
    <row r="8" spans="1:9">
      <c r="A8" s="45">
        <v>1</v>
      </c>
      <c r="B8" s="112" t="s">
        <v>134</v>
      </c>
      <c r="C8" s="175">
        <v>36695713</v>
      </c>
      <c r="D8" s="175"/>
      <c r="E8" s="175"/>
      <c r="F8" s="175">
        <v>27813649</v>
      </c>
      <c r="G8" s="192">
        <v>27813649</v>
      </c>
      <c r="H8" s="199">
        <f>G8/(C8+E8)</f>
        <v>0.75795363343941569</v>
      </c>
    </row>
    <row r="9" spans="1:9" ht="15" customHeight="1">
      <c r="A9" s="45">
        <v>2</v>
      </c>
      <c r="B9" s="112" t="s">
        <v>135</v>
      </c>
      <c r="C9" s="175">
        <v>0</v>
      </c>
      <c r="D9" s="175"/>
      <c r="E9" s="175"/>
      <c r="F9" s="175">
        <v>0</v>
      </c>
      <c r="G9" s="192">
        <v>0</v>
      </c>
      <c r="H9" s="199" t="e">
        <f t="shared" ref="H9:H21" si="0">G9/(C9+E9)</f>
        <v>#DIV/0!</v>
      </c>
    </row>
    <row r="10" spans="1:9">
      <c r="A10" s="45">
        <v>3</v>
      </c>
      <c r="B10" s="112" t="s">
        <v>136</v>
      </c>
      <c r="C10" s="175">
        <v>0</v>
      </c>
      <c r="D10" s="175"/>
      <c r="E10" s="175"/>
      <c r="F10" s="175">
        <v>0</v>
      </c>
      <c r="G10" s="192">
        <v>0</v>
      </c>
      <c r="H10" s="199" t="e">
        <f t="shared" si="0"/>
        <v>#DIV/0!</v>
      </c>
    </row>
    <row r="11" spans="1:9">
      <c r="A11" s="45">
        <v>4</v>
      </c>
      <c r="B11" s="112" t="s">
        <v>137</v>
      </c>
      <c r="C11" s="175">
        <v>0</v>
      </c>
      <c r="D11" s="175"/>
      <c r="E11" s="175"/>
      <c r="F11" s="175">
        <v>0</v>
      </c>
      <c r="G11" s="192">
        <v>0</v>
      </c>
      <c r="H11" s="199" t="e">
        <f t="shared" si="0"/>
        <v>#DIV/0!</v>
      </c>
    </row>
    <row r="12" spans="1:9">
      <c r="A12" s="45">
        <v>5</v>
      </c>
      <c r="B12" s="112" t="s">
        <v>949</v>
      </c>
      <c r="C12" s="175">
        <v>0</v>
      </c>
      <c r="D12" s="175"/>
      <c r="E12" s="175"/>
      <c r="F12" s="175">
        <v>0</v>
      </c>
      <c r="G12" s="192">
        <v>0</v>
      </c>
      <c r="H12" s="199" t="e">
        <f t="shared" si="0"/>
        <v>#DIV/0!</v>
      </c>
    </row>
    <row r="13" spans="1:9">
      <c r="A13" s="45">
        <v>6</v>
      </c>
      <c r="B13" s="112" t="s">
        <v>138</v>
      </c>
      <c r="C13" s="175">
        <v>67677148</v>
      </c>
      <c r="D13" s="175">
        <v>666594.08279999997</v>
      </c>
      <c r="E13" s="175">
        <v>333297.04129999998</v>
      </c>
      <c r="F13" s="175">
        <v>22132969.041299999</v>
      </c>
      <c r="G13" s="192">
        <v>22132969.041299999</v>
      </c>
      <c r="H13" s="199">
        <f t="shared" si="0"/>
        <v>0.32543485089473445</v>
      </c>
    </row>
    <row r="14" spans="1:9">
      <c r="A14" s="45">
        <v>7</v>
      </c>
      <c r="B14" s="112" t="s">
        <v>71</v>
      </c>
      <c r="C14" s="175">
        <v>295113475</v>
      </c>
      <c r="D14" s="175">
        <v>71467722.802300006</v>
      </c>
      <c r="E14" s="175">
        <v>114423.1734</v>
      </c>
      <c r="F14" s="175">
        <v>295227898.17339998</v>
      </c>
      <c r="G14" s="192">
        <v>291999105.17339998</v>
      </c>
      <c r="H14" s="199">
        <f>G14/(C14+E14)</f>
        <v>0.98906338791158688</v>
      </c>
    </row>
    <row r="15" spans="1:9">
      <c r="A15" s="45">
        <v>8</v>
      </c>
      <c r="B15" s="112" t="s">
        <v>72</v>
      </c>
      <c r="C15" s="175">
        <v>60685550</v>
      </c>
      <c r="D15" s="175">
        <v>111417802.11570001</v>
      </c>
      <c r="E15" s="175">
        <v>57396465.673299998</v>
      </c>
      <c r="F15" s="175">
        <v>102912267.6733</v>
      </c>
      <c r="G15" s="192">
        <v>102804479.6733</v>
      </c>
      <c r="H15" s="199">
        <f t="shared" si="0"/>
        <v>0.87061928175185732</v>
      </c>
    </row>
    <row r="16" spans="1:9">
      <c r="A16" s="45">
        <v>9</v>
      </c>
      <c r="B16" s="112" t="s">
        <v>950</v>
      </c>
      <c r="C16" s="175">
        <v>0</v>
      </c>
      <c r="D16" s="175">
        <v>0</v>
      </c>
      <c r="E16" s="175">
        <v>0</v>
      </c>
      <c r="F16" s="175">
        <v>0</v>
      </c>
      <c r="G16" s="192">
        <v>0</v>
      </c>
      <c r="H16" s="199" t="e">
        <f t="shared" si="0"/>
        <v>#DIV/0!</v>
      </c>
    </row>
    <row r="17" spans="1:8">
      <c r="A17" s="45">
        <v>10</v>
      </c>
      <c r="B17" s="112" t="s">
        <v>67</v>
      </c>
      <c r="C17" s="175">
        <v>40187022</v>
      </c>
      <c r="D17" s="175"/>
      <c r="E17" s="175"/>
      <c r="F17" s="175">
        <v>39694971</v>
      </c>
      <c r="G17" s="192">
        <v>39694971</v>
      </c>
      <c r="H17" s="199">
        <f t="shared" si="0"/>
        <v>0.98775597256248548</v>
      </c>
    </row>
    <row r="18" spans="1:8">
      <c r="A18" s="45">
        <v>11</v>
      </c>
      <c r="B18" s="112" t="s">
        <v>68</v>
      </c>
      <c r="C18" s="175">
        <v>0</v>
      </c>
      <c r="D18" s="175"/>
      <c r="E18" s="175"/>
      <c r="F18" s="175">
        <v>0</v>
      </c>
      <c r="G18" s="192">
        <v>0</v>
      </c>
      <c r="H18" s="199" t="e">
        <f t="shared" si="0"/>
        <v>#DIV/0!</v>
      </c>
    </row>
    <row r="19" spans="1:8">
      <c r="A19" s="45">
        <v>12</v>
      </c>
      <c r="B19" s="112" t="s">
        <v>69</v>
      </c>
      <c r="C19" s="175">
        <v>0</v>
      </c>
      <c r="D19" s="175"/>
      <c r="E19" s="175"/>
      <c r="F19" s="175">
        <v>0</v>
      </c>
      <c r="G19" s="192">
        <v>0</v>
      </c>
      <c r="H19" s="199" t="e">
        <f t="shared" si="0"/>
        <v>#DIV/0!</v>
      </c>
    </row>
    <row r="20" spans="1:8">
      <c r="A20" s="45">
        <v>13</v>
      </c>
      <c r="B20" s="112" t="s">
        <v>70</v>
      </c>
      <c r="C20" s="175">
        <v>0</v>
      </c>
      <c r="D20" s="175"/>
      <c r="E20" s="175"/>
      <c r="F20" s="175">
        <v>0</v>
      </c>
      <c r="G20" s="192">
        <v>0</v>
      </c>
      <c r="H20" s="199" t="e">
        <f t="shared" si="0"/>
        <v>#DIV/0!</v>
      </c>
    </row>
    <row r="21" spans="1:8">
      <c r="A21" s="45">
        <v>14</v>
      </c>
      <c r="B21" s="112" t="s">
        <v>154</v>
      </c>
      <c r="C21" s="175">
        <v>29455262</v>
      </c>
      <c r="D21" s="175"/>
      <c r="E21" s="175"/>
      <c r="F21" s="175">
        <v>32653683</v>
      </c>
      <c r="G21" s="192">
        <v>32653683</v>
      </c>
      <c r="H21" s="199">
        <f t="shared" si="0"/>
        <v>1.1085857257015741</v>
      </c>
    </row>
    <row r="22" spans="1:8" ht="14.4" thickBot="1">
      <c r="A22" s="94"/>
      <c r="B22" s="99" t="s">
        <v>66</v>
      </c>
      <c r="C22" s="176">
        <f>SUM(C8:C21)</f>
        <v>529814170</v>
      </c>
      <c r="D22" s="176">
        <f>SUM(D8:D21)</f>
        <v>183552119.00080001</v>
      </c>
      <c r="E22" s="176">
        <f>SUM(E8:E21)</f>
        <v>57844185.887999997</v>
      </c>
      <c r="F22" s="176">
        <f>SUM(F8:F21)</f>
        <v>520435437.88800001</v>
      </c>
      <c r="G22" s="176">
        <f>SUM(G8:G21)</f>
        <v>517098856.88800001</v>
      </c>
      <c r="H22" s="200">
        <f>G22/(C22+E22)</f>
        <v>0.87993108871330727</v>
      </c>
    </row>
    <row r="28" spans="1:8" ht="10.5" customHeight="1"/>
  </sheetData>
  <mergeCells count="5">
    <mergeCell ref="C6:C7"/>
    <mergeCell ref="F6:F7"/>
    <mergeCell ref="G6:G7"/>
    <mergeCell ref="H6:H7"/>
    <mergeCell ref="D6:E6"/>
  </mergeCells>
  <pageMargins left="0.7" right="0.7" top="0.75" bottom="0.75" header="0.3" footer="0.3"/>
  <pageSetup paperSize="9" scale="3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8"/>
  <sheetViews>
    <sheetView zoomScale="90" zoomScaleNormal="90" workbookViewId="0">
      <pane xSplit="2" ySplit="6" topLeftCell="C7" activePane="bottomRight" state="frozen"/>
      <selection activeCell="B8" sqref="B8"/>
      <selection pane="topRight" activeCell="B8" sqref="B8"/>
      <selection pane="bottomLeft" activeCell="B8" sqref="B8"/>
      <selection pane="bottomRight" activeCell="B8" sqref="B8"/>
    </sheetView>
  </sheetViews>
  <sheetFormatPr defaultColWidth="9.21875" defaultRowHeight="13.8"/>
  <cols>
    <col min="1" max="1" width="10.5546875" style="1" bestFit="1" customWidth="1"/>
    <col min="2" max="2" width="104.21875" style="1" customWidth="1"/>
    <col min="3" max="11" width="12.77734375" style="1" customWidth="1"/>
    <col min="12" max="16384" width="9.21875" style="1"/>
  </cols>
  <sheetData>
    <row r="1" spans="1:11">
      <c r="A1" s="1" t="s">
        <v>108</v>
      </c>
      <c r="B1" s="1" t="str">
        <f>Info!C2</f>
        <v>სს " პაშა ბანკი საქართველო"</v>
      </c>
    </row>
    <row r="2" spans="1:11">
      <c r="A2" s="1" t="s">
        <v>109</v>
      </c>
      <c r="B2" s="342">
        <f>'1. key ratios'!B2</f>
        <v>45291</v>
      </c>
    </row>
    <row r="4" spans="1:11" ht="14.4" thickBot="1">
      <c r="A4" s="1" t="s">
        <v>352</v>
      </c>
      <c r="B4" s="23" t="s">
        <v>351</v>
      </c>
    </row>
    <row r="5" spans="1:11" ht="30" customHeight="1">
      <c r="A5" s="799"/>
      <c r="B5" s="800"/>
      <c r="C5" s="797" t="s">
        <v>384</v>
      </c>
      <c r="D5" s="797"/>
      <c r="E5" s="797"/>
      <c r="F5" s="797" t="s">
        <v>385</v>
      </c>
      <c r="G5" s="797"/>
      <c r="H5" s="797"/>
      <c r="I5" s="797" t="s">
        <v>386</v>
      </c>
      <c r="J5" s="797"/>
      <c r="K5" s="798"/>
    </row>
    <row r="6" spans="1:11">
      <c r="A6" s="225"/>
      <c r="B6" s="226"/>
      <c r="C6" s="227" t="s">
        <v>26</v>
      </c>
      <c r="D6" s="227" t="s">
        <v>90</v>
      </c>
      <c r="E6" s="227" t="s">
        <v>66</v>
      </c>
      <c r="F6" s="227" t="s">
        <v>26</v>
      </c>
      <c r="G6" s="227" t="s">
        <v>90</v>
      </c>
      <c r="H6" s="227" t="s">
        <v>66</v>
      </c>
      <c r="I6" s="227" t="s">
        <v>26</v>
      </c>
      <c r="J6" s="227" t="s">
        <v>90</v>
      </c>
      <c r="K6" s="229" t="s">
        <v>66</v>
      </c>
    </row>
    <row r="7" spans="1:11">
      <c r="A7" s="230" t="s">
        <v>322</v>
      </c>
      <c r="B7" s="224"/>
      <c r="C7" s="224"/>
      <c r="D7" s="224"/>
      <c r="E7" s="224"/>
      <c r="F7" s="224"/>
      <c r="G7" s="224"/>
      <c r="H7" s="224"/>
      <c r="I7" s="224"/>
      <c r="J7" s="224"/>
      <c r="K7" s="231"/>
    </row>
    <row r="8" spans="1:11">
      <c r="A8" s="223">
        <v>1</v>
      </c>
      <c r="B8" s="208" t="s">
        <v>322</v>
      </c>
      <c r="C8" s="723"/>
      <c r="D8" s="723"/>
      <c r="E8" s="723"/>
      <c r="F8" s="724">
        <v>66099278.68257501</v>
      </c>
      <c r="G8" s="724">
        <v>74417582.07927607</v>
      </c>
      <c r="H8" s="724">
        <v>140516860.76185107</v>
      </c>
      <c r="I8" s="724">
        <v>44003263.604456536</v>
      </c>
      <c r="J8" s="724">
        <v>38346679.442760848</v>
      </c>
      <c r="K8" s="725">
        <v>82349943.047217369</v>
      </c>
    </row>
    <row r="9" spans="1:11">
      <c r="A9" s="230" t="s">
        <v>323</v>
      </c>
      <c r="B9" s="224"/>
      <c r="C9" s="726"/>
      <c r="D9" s="726"/>
      <c r="E9" s="726"/>
      <c r="F9" s="726"/>
      <c r="G9" s="726"/>
      <c r="H9" s="726"/>
      <c r="I9" s="726"/>
      <c r="J9" s="726"/>
      <c r="K9" s="727"/>
    </row>
    <row r="10" spans="1:11">
      <c r="A10" s="232">
        <v>2</v>
      </c>
      <c r="B10" s="209" t="s">
        <v>324</v>
      </c>
      <c r="C10" s="358">
        <v>16190158.799826093</v>
      </c>
      <c r="D10" s="728">
        <v>36751699.059673913</v>
      </c>
      <c r="E10" s="728">
        <v>52941857.859500006</v>
      </c>
      <c r="F10" s="728">
        <v>1804045.6667065208</v>
      </c>
      <c r="G10" s="728">
        <v>9848845.4594050124</v>
      </c>
      <c r="H10" s="728">
        <v>11652891.126111533</v>
      </c>
      <c r="I10" s="728">
        <v>480711.58497282612</v>
      </c>
      <c r="J10" s="728">
        <v>2371644.1829255982</v>
      </c>
      <c r="K10" s="729">
        <v>2852355.767898425</v>
      </c>
    </row>
    <row r="11" spans="1:11">
      <c r="A11" s="232">
        <v>3</v>
      </c>
      <c r="B11" s="209" t="s">
        <v>325</v>
      </c>
      <c r="C11" s="358">
        <v>93653968.91845654</v>
      </c>
      <c r="D11" s="728">
        <v>227976069.89703372</v>
      </c>
      <c r="E11" s="728">
        <v>321630038.81549025</v>
      </c>
      <c r="F11" s="728">
        <v>28953882.651891295</v>
      </c>
      <c r="G11" s="728">
        <v>27059225.523658209</v>
      </c>
      <c r="H11" s="728">
        <v>56013108.175549515</v>
      </c>
      <c r="I11" s="728">
        <v>23435147.877338048</v>
      </c>
      <c r="J11" s="728">
        <v>20766173.172907073</v>
      </c>
      <c r="K11" s="729">
        <v>44201321.050245121</v>
      </c>
    </row>
    <row r="12" spans="1:11">
      <c r="A12" s="232">
        <v>4</v>
      </c>
      <c r="B12" s="209" t="s">
        <v>326</v>
      </c>
      <c r="C12" s="358">
        <v>760869.56521739135</v>
      </c>
      <c r="D12" s="728">
        <v>0</v>
      </c>
      <c r="E12" s="728">
        <v>760869.56521739135</v>
      </c>
      <c r="F12" s="728">
        <v>0</v>
      </c>
      <c r="G12" s="728">
        <v>0</v>
      </c>
      <c r="H12" s="728">
        <v>0</v>
      </c>
      <c r="I12" s="728">
        <v>0</v>
      </c>
      <c r="J12" s="728">
        <v>0</v>
      </c>
      <c r="K12" s="729">
        <v>0</v>
      </c>
    </row>
    <row r="13" spans="1:11">
      <c r="A13" s="232">
        <v>5</v>
      </c>
      <c r="B13" s="209" t="s">
        <v>327</v>
      </c>
      <c r="C13" s="358">
        <v>117904921.41597831</v>
      </c>
      <c r="D13" s="728">
        <v>46926765.634854347</v>
      </c>
      <c r="E13" s="728">
        <v>164831687.0508326</v>
      </c>
      <c r="F13" s="728">
        <v>21394432.093632605</v>
      </c>
      <c r="G13" s="728">
        <v>6869359.8066335022</v>
      </c>
      <c r="H13" s="728">
        <v>28263791.900266103</v>
      </c>
      <c r="I13" s="728">
        <v>6801645.7463641306</v>
      </c>
      <c r="J13" s="728">
        <v>3288605.4056328265</v>
      </c>
      <c r="K13" s="729">
        <v>10090251.151996957</v>
      </c>
    </row>
    <row r="14" spans="1:11">
      <c r="A14" s="232">
        <v>6</v>
      </c>
      <c r="B14" s="209" t="s">
        <v>342</v>
      </c>
      <c r="C14" s="358">
        <v>0</v>
      </c>
      <c r="D14" s="728">
        <v>0</v>
      </c>
      <c r="E14" s="728">
        <v>0</v>
      </c>
      <c r="F14" s="728">
        <v>0</v>
      </c>
      <c r="G14" s="728">
        <v>0</v>
      </c>
      <c r="H14" s="728">
        <v>0</v>
      </c>
      <c r="I14" s="728">
        <v>0</v>
      </c>
      <c r="J14" s="728">
        <v>0</v>
      </c>
      <c r="K14" s="729">
        <v>0</v>
      </c>
    </row>
    <row r="15" spans="1:11">
      <c r="A15" s="232">
        <v>7</v>
      </c>
      <c r="B15" s="209" t="s">
        <v>329</v>
      </c>
      <c r="C15" s="358">
        <v>5346500.9744565245</v>
      </c>
      <c r="D15" s="728">
        <v>10350401.857989134</v>
      </c>
      <c r="E15" s="728">
        <v>15696902.83244564</v>
      </c>
      <c r="F15" s="728">
        <v>334014.69239130442</v>
      </c>
      <c r="G15" s="728">
        <v>1959269.8518434777</v>
      </c>
      <c r="H15" s="728">
        <v>2293284.5442347829</v>
      </c>
      <c r="I15" s="728">
        <v>326666.99750000006</v>
      </c>
      <c r="J15" s="728">
        <v>1837908.0473978254</v>
      </c>
      <c r="K15" s="729">
        <v>2164575.0448978264</v>
      </c>
    </row>
    <row r="16" spans="1:11">
      <c r="A16" s="232">
        <v>8</v>
      </c>
      <c r="B16" s="210" t="s">
        <v>330</v>
      </c>
      <c r="C16" s="358">
        <f t="shared" ref="C16:H16" si="0">SUM(C10:C15)</f>
        <v>233856419.67393485</v>
      </c>
      <c r="D16" s="728">
        <f t="shared" si="0"/>
        <v>322004936.44955111</v>
      </c>
      <c r="E16" s="728">
        <f t="shared" si="0"/>
        <v>555861356.1234858</v>
      </c>
      <c r="F16" s="728">
        <f t="shared" si="0"/>
        <v>52486375.104621723</v>
      </c>
      <c r="G16" s="728">
        <f t="shared" si="0"/>
        <v>45736700.6415402</v>
      </c>
      <c r="H16" s="728">
        <f t="shared" si="0"/>
        <v>98223075.746161938</v>
      </c>
      <c r="I16" s="728">
        <f t="shared" ref="I16:K16" si="1">SUM(I10:I15)</f>
        <v>31044172.206175003</v>
      </c>
      <c r="J16" s="728">
        <f t="shared" si="1"/>
        <v>28264330.808863323</v>
      </c>
      <c r="K16" s="729">
        <f t="shared" si="1"/>
        <v>59308503.015038326</v>
      </c>
    </row>
    <row r="17" spans="1:11">
      <c r="A17" s="230" t="s">
        <v>331</v>
      </c>
      <c r="B17" s="224"/>
      <c r="C17" s="726"/>
      <c r="D17" s="726"/>
      <c r="E17" s="726"/>
      <c r="F17" s="726"/>
      <c r="G17" s="726"/>
      <c r="H17" s="726"/>
      <c r="I17" s="726"/>
      <c r="J17" s="726"/>
      <c r="K17" s="727"/>
    </row>
    <row r="18" spans="1:11">
      <c r="A18" s="232">
        <v>9</v>
      </c>
      <c r="B18" s="209" t="s">
        <v>332</v>
      </c>
      <c r="C18" s="358">
        <v>0</v>
      </c>
      <c r="D18" s="728">
        <v>0</v>
      </c>
      <c r="E18" s="728">
        <v>0</v>
      </c>
      <c r="F18" s="728">
        <v>0</v>
      </c>
      <c r="G18" s="728">
        <v>0</v>
      </c>
      <c r="H18" s="728">
        <v>0</v>
      </c>
      <c r="I18" s="728">
        <v>0</v>
      </c>
      <c r="J18" s="728">
        <v>0</v>
      </c>
      <c r="K18" s="729">
        <v>0</v>
      </c>
    </row>
    <row r="19" spans="1:11">
      <c r="A19" s="232">
        <v>10</v>
      </c>
      <c r="B19" s="209" t="s">
        <v>333</v>
      </c>
      <c r="C19" s="358">
        <v>152423093.84296775</v>
      </c>
      <c r="D19" s="728">
        <v>201535191.80096486</v>
      </c>
      <c r="E19" s="728">
        <v>353958285.64393294</v>
      </c>
      <c r="F19" s="728">
        <v>19255835.329219237</v>
      </c>
      <c r="G19" s="728">
        <v>2520396.6374172117</v>
      </c>
      <c r="H19" s="728">
        <v>21776231.966636457</v>
      </c>
      <c r="I19" s="728">
        <v>41755834.100885026</v>
      </c>
      <c r="J19" s="728">
        <v>45190183.221001975</v>
      </c>
      <c r="K19" s="729">
        <v>86946017.321887001</v>
      </c>
    </row>
    <row r="20" spans="1:11">
      <c r="A20" s="232">
        <v>11</v>
      </c>
      <c r="B20" s="209" t="s">
        <v>334</v>
      </c>
      <c r="C20" s="358">
        <v>19033873.444694567</v>
      </c>
      <c r="D20" s="728">
        <v>9754248.8651978225</v>
      </c>
      <c r="E20" s="728">
        <v>28788122.309892379</v>
      </c>
      <c r="F20" s="728">
        <v>157052.30934782609</v>
      </c>
      <c r="G20" s="728">
        <v>615513.75343152171</v>
      </c>
      <c r="H20" s="728">
        <v>772566.06277934753</v>
      </c>
      <c r="I20" s="728">
        <v>158253.80934782609</v>
      </c>
      <c r="J20" s="728">
        <v>627326.33709239122</v>
      </c>
      <c r="K20" s="729">
        <v>785580.14644021704</v>
      </c>
    </row>
    <row r="21" spans="1:11" ht="14.4" thickBot="1">
      <c r="A21" s="146">
        <v>12</v>
      </c>
      <c r="B21" s="233" t="s">
        <v>335</v>
      </c>
      <c r="C21" s="730">
        <f t="shared" ref="C21:H21" si="2">SUM(C18:C20)</f>
        <v>171456967.28766233</v>
      </c>
      <c r="D21" s="731">
        <f t="shared" si="2"/>
        <v>211289440.66616267</v>
      </c>
      <c r="E21" s="730">
        <f t="shared" si="2"/>
        <v>382746407.95382529</v>
      </c>
      <c r="F21" s="731">
        <f t="shared" si="2"/>
        <v>19412887.638567064</v>
      </c>
      <c r="G21" s="731">
        <f t="shared" si="2"/>
        <v>3135910.3908487335</v>
      </c>
      <c r="H21" s="731">
        <f t="shared" si="2"/>
        <v>22548798.029415805</v>
      </c>
      <c r="I21" s="731">
        <f t="shared" ref="I21:K21" si="3">SUM(I18:I20)</f>
        <v>41914087.910232849</v>
      </c>
      <c r="J21" s="731">
        <f t="shared" si="3"/>
        <v>45817509.558094367</v>
      </c>
      <c r="K21" s="732">
        <f t="shared" si="3"/>
        <v>87731597.468327224</v>
      </c>
    </row>
    <row r="22" spans="1:11" ht="38.25" customHeight="1" thickBot="1">
      <c r="A22" s="221"/>
      <c r="B22" s="222"/>
      <c r="C22" s="222"/>
      <c r="D22" s="222"/>
      <c r="E22" s="222"/>
      <c r="F22" s="796" t="s">
        <v>336</v>
      </c>
      <c r="G22" s="797"/>
      <c r="H22" s="797"/>
      <c r="I22" s="796" t="s">
        <v>337</v>
      </c>
      <c r="J22" s="797"/>
      <c r="K22" s="798"/>
    </row>
    <row r="23" spans="1:11">
      <c r="A23" s="214">
        <v>13</v>
      </c>
      <c r="B23" s="211" t="s">
        <v>322</v>
      </c>
      <c r="C23" s="220"/>
      <c r="D23" s="220"/>
      <c r="E23" s="220"/>
      <c r="F23" s="733">
        <f>F8</f>
        <v>66099278.68257501</v>
      </c>
      <c r="G23" s="733">
        <f>G8</f>
        <v>74417582.07927607</v>
      </c>
      <c r="H23" s="733">
        <f>H8</f>
        <v>140516860.76185107</v>
      </c>
      <c r="I23" s="733">
        <v>44003263.604456536</v>
      </c>
      <c r="J23" s="733">
        <v>38346679.442760848</v>
      </c>
      <c r="K23" s="736">
        <v>82349943.047217369</v>
      </c>
    </row>
    <row r="24" spans="1:11" ht="14.4" thickBot="1">
      <c r="A24" s="215">
        <v>14</v>
      </c>
      <c r="B24" s="212" t="s">
        <v>338</v>
      </c>
      <c r="C24" s="234"/>
      <c r="D24" s="218"/>
      <c r="E24" s="219"/>
      <c r="F24" s="734">
        <f>MAX(F16-F21,F16*0.25)</f>
        <v>33073487.466054659</v>
      </c>
      <c r="G24" s="734">
        <f t="shared" ref="G24:H24" si="4">MAX(G16-G21,G16*0.25)</f>
        <v>42600790.250691466</v>
      </c>
      <c r="H24" s="734">
        <f t="shared" si="4"/>
        <v>75674277.716746137</v>
      </c>
      <c r="I24" s="734">
        <v>7761043.0515437508</v>
      </c>
      <c r="J24" s="734">
        <v>7066082.7022158308</v>
      </c>
      <c r="K24" s="737">
        <v>14827125.753759582</v>
      </c>
    </row>
    <row r="25" spans="1:11" ht="14.4" thickBot="1">
      <c r="A25" s="216">
        <v>15</v>
      </c>
      <c r="B25" s="213" t="s">
        <v>339</v>
      </c>
      <c r="C25" s="217"/>
      <c r="D25" s="217"/>
      <c r="E25" s="217"/>
      <c r="F25" s="735">
        <f>F23/F24</f>
        <v>1.9985578705728186</v>
      </c>
      <c r="G25" s="735">
        <f t="shared" ref="G25:K25" si="5">G23/G24</f>
        <v>1.7468591930185655</v>
      </c>
      <c r="H25" s="735">
        <f t="shared" si="5"/>
        <v>1.8568642476881649</v>
      </c>
      <c r="I25" s="735">
        <f t="shared" si="5"/>
        <v>5.6697615658379625</v>
      </c>
      <c r="J25" s="735">
        <f t="shared" si="5"/>
        <v>5.4268653593221927</v>
      </c>
      <c r="K25" s="735">
        <f t="shared" si="5"/>
        <v>5.5540058413773572</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scale="3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2"/>
  <sheetViews>
    <sheetView zoomScaleNormal="100" workbookViewId="0">
      <pane xSplit="1" ySplit="5" topLeftCell="B6" activePane="bottomRight" state="frozen"/>
      <selection activeCell="B8" sqref="B8"/>
      <selection pane="topRight" activeCell="B8" sqref="B8"/>
      <selection pane="bottomLeft" activeCell="B8" sqref="B8"/>
      <selection pane="bottomRight" activeCell="B8" sqref="B8"/>
    </sheetView>
  </sheetViews>
  <sheetFormatPr defaultColWidth="9.21875" defaultRowHeight="13.8"/>
  <cols>
    <col min="1" max="1" width="10.5546875" style="31" bestFit="1" customWidth="1"/>
    <col min="2" max="2" width="95" style="31" customWidth="1"/>
    <col min="3" max="3" width="12.5546875" style="31" bestFit="1" customWidth="1"/>
    <col min="4" max="4" width="10" style="31" bestFit="1" customWidth="1"/>
    <col min="5" max="5" width="18.21875" style="31" bestFit="1" customWidth="1"/>
    <col min="6" max="13" width="10.77734375" style="31" customWidth="1"/>
    <col min="14" max="14" width="31" style="31" bestFit="1" customWidth="1"/>
    <col min="15" max="16384" width="9.21875" style="8"/>
  </cols>
  <sheetData>
    <row r="1" spans="1:14">
      <c r="A1" s="1" t="s">
        <v>108</v>
      </c>
      <c r="B1" s="31" t="str">
        <f>Info!C2</f>
        <v>სს " პაშა ბანკი საქართველო"</v>
      </c>
    </row>
    <row r="2" spans="1:14" ht="14.25" customHeight="1">
      <c r="A2" s="31" t="s">
        <v>109</v>
      </c>
      <c r="B2" s="342">
        <f>'1. key ratios'!B2</f>
        <v>45291</v>
      </c>
    </row>
    <row r="3" spans="1:14" ht="14.25" customHeight="1"/>
    <row r="4" spans="1:14" ht="14.4" thickBot="1">
      <c r="A4" s="1" t="s">
        <v>262</v>
      </c>
      <c r="B4" s="47" t="s">
        <v>74</v>
      </c>
    </row>
    <row r="5" spans="1:14" s="19" customFormat="1">
      <c r="A5" s="108"/>
      <c r="B5" s="109"/>
      <c r="C5" s="110" t="s">
        <v>0</v>
      </c>
      <c r="D5" s="110" t="s">
        <v>1</v>
      </c>
      <c r="E5" s="110" t="s">
        <v>2</v>
      </c>
      <c r="F5" s="110" t="s">
        <v>3</v>
      </c>
      <c r="G5" s="110" t="s">
        <v>4</v>
      </c>
      <c r="H5" s="110" t="s">
        <v>5</v>
      </c>
      <c r="I5" s="110" t="s">
        <v>145</v>
      </c>
      <c r="J5" s="110" t="s">
        <v>146</v>
      </c>
      <c r="K5" s="110" t="s">
        <v>147</v>
      </c>
      <c r="L5" s="110" t="s">
        <v>148</v>
      </c>
      <c r="M5" s="110" t="s">
        <v>149</v>
      </c>
      <c r="N5" s="111" t="s">
        <v>150</v>
      </c>
    </row>
    <row r="6" spans="1:14" ht="41.4">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83">
        <f>SUM(C8:C13)</f>
        <v>106534568</v>
      </c>
      <c r="D7" s="57"/>
      <c r="E7" s="186">
        <f t="shared" ref="E7:M7" si="0">SUM(E8:E13)</f>
        <v>2130691.36</v>
      </c>
      <c r="F7" s="183">
        <f>SUM(F8:F13)</f>
        <v>0</v>
      </c>
      <c r="G7" s="183">
        <f t="shared" si="0"/>
        <v>0</v>
      </c>
      <c r="H7" s="183">
        <f t="shared" si="0"/>
        <v>0</v>
      </c>
      <c r="I7" s="183">
        <f t="shared" si="0"/>
        <v>0</v>
      </c>
      <c r="J7" s="183">
        <f t="shared" si="0"/>
        <v>0</v>
      </c>
      <c r="K7" s="183">
        <f t="shared" si="0"/>
        <v>2130691.3509999998</v>
      </c>
      <c r="L7" s="183">
        <f t="shared" si="0"/>
        <v>0</v>
      </c>
      <c r="M7" s="183">
        <f t="shared" si="0"/>
        <v>0</v>
      </c>
      <c r="N7" s="103">
        <f>SUM(N8:N13)</f>
        <v>2130691.3509999998</v>
      </c>
    </row>
    <row r="8" spans="1:14">
      <c r="A8" s="102">
        <v>1.1000000000000001</v>
      </c>
      <c r="B8" s="63" t="s">
        <v>76</v>
      </c>
      <c r="C8" s="184">
        <v>106534568</v>
      </c>
      <c r="D8" s="64">
        <v>0.02</v>
      </c>
      <c r="E8" s="186">
        <f>C8*D8</f>
        <v>2130691.36</v>
      </c>
      <c r="F8" s="184"/>
      <c r="G8" s="184"/>
      <c r="H8" s="184"/>
      <c r="I8" s="184"/>
      <c r="J8" s="184"/>
      <c r="K8" s="184">
        <v>2130691.3509999998</v>
      </c>
      <c r="L8" s="184"/>
      <c r="M8" s="184"/>
      <c r="N8" s="103">
        <f>SUMPRODUCT($F$6:$M$6,F8:M8)</f>
        <v>2130691.3509999998</v>
      </c>
    </row>
    <row r="9" spans="1:14">
      <c r="A9" s="102">
        <v>1.2</v>
      </c>
      <c r="B9" s="63" t="s">
        <v>77</v>
      </c>
      <c r="C9" s="184">
        <v>0</v>
      </c>
      <c r="D9" s="64">
        <v>0.05</v>
      </c>
      <c r="E9" s="186">
        <f>C9*D9</f>
        <v>0</v>
      </c>
      <c r="F9" s="184"/>
      <c r="G9" s="184"/>
      <c r="H9" s="184"/>
      <c r="I9" s="184"/>
      <c r="J9" s="184"/>
      <c r="K9" s="184"/>
      <c r="L9" s="184"/>
      <c r="M9" s="184"/>
      <c r="N9" s="103">
        <f t="shared" ref="N9:N12" si="1">SUMPRODUCT($F$6:$M$6,F9:M9)</f>
        <v>0</v>
      </c>
    </row>
    <row r="10" spans="1:14">
      <c r="A10" s="102">
        <v>1.3</v>
      </c>
      <c r="B10" s="63" t="s">
        <v>78</v>
      </c>
      <c r="C10" s="184">
        <v>0</v>
      </c>
      <c r="D10" s="64">
        <v>0.08</v>
      </c>
      <c r="E10" s="186">
        <f>C10*D10</f>
        <v>0</v>
      </c>
      <c r="F10" s="184"/>
      <c r="G10" s="184"/>
      <c r="H10" s="184"/>
      <c r="I10" s="184"/>
      <c r="J10" s="184"/>
      <c r="K10" s="184"/>
      <c r="L10" s="184"/>
      <c r="M10" s="184"/>
      <c r="N10" s="103">
        <f>SUMPRODUCT($F$6:$M$6,F10:M10)</f>
        <v>0</v>
      </c>
    </row>
    <row r="11" spans="1:14">
      <c r="A11" s="102">
        <v>1.4</v>
      </c>
      <c r="B11" s="63" t="s">
        <v>79</v>
      </c>
      <c r="C11" s="184">
        <v>0</v>
      </c>
      <c r="D11" s="64">
        <v>0.11</v>
      </c>
      <c r="E11" s="186">
        <f>C11*D11</f>
        <v>0</v>
      </c>
      <c r="F11" s="184"/>
      <c r="G11" s="184"/>
      <c r="H11" s="184"/>
      <c r="I11" s="184"/>
      <c r="J11" s="184"/>
      <c r="K11" s="184"/>
      <c r="L11" s="184"/>
      <c r="M11" s="184"/>
      <c r="N11" s="103">
        <f t="shared" si="1"/>
        <v>0</v>
      </c>
    </row>
    <row r="12" spans="1:14">
      <c r="A12" s="102">
        <v>1.5</v>
      </c>
      <c r="B12" s="63" t="s">
        <v>80</v>
      </c>
      <c r="C12" s="184">
        <v>0</v>
      </c>
      <c r="D12" s="64">
        <v>0.14000000000000001</v>
      </c>
      <c r="E12" s="186">
        <f>C12*D12</f>
        <v>0</v>
      </c>
      <c r="F12" s="184"/>
      <c r="G12" s="184"/>
      <c r="H12" s="184"/>
      <c r="I12" s="184"/>
      <c r="J12" s="184"/>
      <c r="K12" s="184"/>
      <c r="L12" s="184"/>
      <c r="M12" s="184"/>
      <c r="N12" s="103">
        <f t="shared" si="1"/>
        <v>0</v>
      </c>
    </row>
    <row r="13" spans="1:14">
      <c r="A13" s="102">
        <v>1.6</v>
      </c>
      <c r="B13" s="65" t="s">
        <v>81</v>
      </c>
      <c r="C13" s="184">
        <v>0</v>
      </c>
      <c r="D13" s="66"/>
      <c r="E13" s="184"/>
      <c r="F13" s="184"/>
      <c r="G13" s="184"/>
      <c r="H13" s="184"/>
      <c r="I13" s="184"/>
      <c r="J13" s="184"/>
      <c r="K13" s="184"/>
      <c r="L13" s="184"/>
      <c r="M13" s="184"/>
      <c r="N13" s="103">
        <f>SUMPRODUCT($F$6:$M$6,F13:M13)</f>
        <v>0</v>
      </c>
    </row>
    <row r="14" spans="1:14">
      <c r="A14" s="102">
        <v>2</v>
      </c>
      <c r="B14" s="67" t="s">
        <v>82</v>
      </c>
      <c r="C14" s="183">
        <f>SUM(C15:C20)</f>
        <v>0</v>
      </c>
      <c r="D14" s="57"/>
      <c r="E14" s="186">
        <f t="shared" ref="E14:M14" si="2">SUM(E15:E20)</f>
        <v>0</v>
      </c>
      <c r="F14" s="184">
        <f t="shared" si="2"/>
        <v>0</v>
      </c>
      <c r="G14" s="184">
        <f t="shared" si="2"/>
        <v>0</v>
      </c>
      <c r="H14" s="184">
        <f t="shared" si="2"/>
        <v>0</v>
      </c>
      <c r="I14" s="184">
        <f t="shared" si="2"/>
        <v>0</v>
      </c>
      <c r="J14" s="184">
        <f t="shared" si="2"/>
        <v>0</v>
      </c>
      <c r="K14" s="184">
        <f t="shared" si="2"/>
        <v>0</v>
      </c>
      <c r="L14" s="184">
        <f t="shared" si="2"/>
        <v>0</v>
      </c>
      <c r="M14" s="184">
        <f t="shared" si="2"/>
        <v>0</v>
      </c>
      <c r="N14" s="103">
        <f>SUM(N15:N20)</f>
        <v>0</v>
      </c>
    </row>
    <row r="15" spans="1:14">
      <c r="A15" s="102">
        <v>2.1</v>
      </c>
      <c r="B15" s="65" t="s">
        <v>76</v>
      </c>
      <c r="C15" s="184"/>
      <c r="D15" s="64">
        <v>5.0000000000000001E-3</v>
      </c>
      <c r="E15" s="186">
        <f>C15*D15</f>
        <v>0</v>
      </c>
      <c r="F15" s="184"/>
      <c r="G15" s="184"/>
      <c r="H15" s="184"/>
      <c r="I15" s="184"/>
      <c r="J15" s="184"/>
      <c r="K15" s="184"/>
      <c r="L15" s="184"/>
      <c r="M15" s="184"/>
      <c r="N15" s="103">
        <f>SUMPRODUCT($F$6:$M$6,F15:M15)</f>
        <v>0</v>
      </c>
    </row>
    <row r="16" spans="1:14">
      <c r="A16" s="102">
        <v>2.2000000000000002</v>
      </c>
      <c r="B16" s="65" t="s">
        <v>77</v>
      </c>
      <c r="C16" s="184"/>
      <c r="D16" s="64">
        <v>0.01</v>
      </c>
      <c r="E16" s="186">
        <f>C16*D16</f>
        <v>0</v>
      </c>
      <c r="F16" s="184"/>
      <c r="G16" s="184"/>
      <c r="H16" s="184"/>
      <c r="I16" s="184"/>
      <c r="J16" s="184"/>
      <c r="K16" s="184"/>
      <c r="L16" s="184"/>
      <c r="M16" s="184"/>
      <c r="N16" s="103">
        <f t="shared" ref="N16:N20" si="3">SUMPRODUCT($F$6:$M$6,F16:M16)</f>
        <v>0</v>
      </c>
    </row>
    <row r="17" spans="1:14">
      <c r="A17" s="102">
        <v>2.2999999999999998</v>
      </c>
      <c r="B17" s="65" t="s">
        <v>78</v>
      </c>
      <c r="C17" s="184"/>
      <c r="D17" s="64">
        <v>0.02</v>
      </c>
      <c r="E17" s="186">
        <f>C17*D17</f>
        <v>0</v>
      </c>
      <c r="F17" s="184"/>
      <c r="G17" s="184"/>
      <c r="H17" s="184"/>
      <c r="I17" s="184"/>
      <c r="J17" s="184"/>
      <c r="K17" s="184"/>
      <c r="L17" s="184"/>
      <c r="M17" s="184"/>
      <c r="N17" s="103">
        <f t="shared" si="3"/>
        <v>0</v>
      </c>
    </row>
    <row r="18" spans="1:14">
      <c r="A18" s="102">
        <v>2.4</v>
      </c>
      <c r="B18" s="65" t="s">
        <v>79</v>
      </c>
      <c r="C18" s="184"/>
      <c r="D18" s="64">
        <v>0.03</v>
      </c>
      <c r="E18" s="186">
        <f>C18*D18</f>
        <v>0</v>
      </c>
      <c r="F18" s="184"/>
      <c r="G18" s="184"/>
      <c r="H18" s="184"/>
      <c r="I18" s="184"/>
      <c r="J18" s="184"/>
      <c r="K18" s="184"/>
      <c r="L18" s="184"/>
      <c r="M18" s="184"/>
      <c r="N18" s="103">
        <f t="shared" si="3"/>
        <v>0</v>
      </c>
    </row>
    <row r="19" spans="1:14">
      <c r="A19" s="102">
        <v>2.5</v>
      </c>
      <c r="B19" s="65" t="s">
        <v>80</v>
      </c>
      <c r="C19" s="184"/>
      <c r="D19" s="64">
        <v>0.04</v>
      </c>
      <c r="E19" s="186">
        <f>C19*D19</f>
        <v>0</v>
      </c>
      <c r="F19" s="184"/>
      <c r="G19" s="184"/>
      <c r="H19" s="184"/>
      <c r="I19" s="184"/>
      <c r="J19" s="184"/>
      <c r="K19" s="184"/>
      <c r="L19" s="184"/>
      <c r="M19" s="184"/>
      <c r="N19" s="103">
        <f t="shared" si="3"/>
        <v>0</v>
      </c>
    </row>
    <row r="20" spans="1:14">
      <c r="A20" s="102">
        <v>2.6</v>
      </c>
      <c r="B20" s="65" t="s">
        <v>81</v>
      </c>
      <c r="C20" s="184"/>
      <c r="D20" s="66"/>
      <c r="E20" s="187"/>
      <c r="F20" s="184"/>
      <c r="G20" s="184"/>
      <c r="H20" s="184"/>
      <c r="I20" s="184"/>
      <c r="J20" s="184"/>
      <c r="K20" s="184"/>
      <c r="L20" s="184"/>
      <c r="M20" s="184"/>
      <c r="N20" s="103">
        <f t="shared" si="3"/>
        <v>0</v>
      </c>
    </row>
    <row r="21" spans="1:14" ht="14.4" thickBot="1">
      <c r="A21" s="104">
        <v>3</v>
      </c>
      <c r="B21" s="105" t="s">
        <v>66</v>
      </c>
      <c r="C21" s="185">
        <f>C14+C7</f>
        <v>106534568</v>
      </c>
      <c r="D21" s="106"/>
      <c r="E21" s="188">
        <f>E14+E7</f>
        <v>2130691.36</v>
      </c>
      <c r="F21" s="189">
        <f>F7+F14</f>
        <v>0</v>
      </c>
      <c r="G21" s="189">
        <f t="shared" ref="G21:L21" si="4">G7+G14</f>
        <v>0</v>
      </c>
      <c r="H21" s="189">
        <f t="shared" si="4"/>
        <v>0</v>
      </c>
      <c r="I21" s="189">
        <f t="shared" si="4"/>
        <v>0</v>
      </c>
      <c r="J21" s="189">
        <f t="shared" si="4"/>
        <v>0</v>
      </c>
      <c r="K21" s="189">
        <f t="shared" si="4"/>
        <v>2130691.3509999998</v>
      </c>
      <c r="L21" s="189">
        <f t="shared" si="4"/>
        <v>0</v>
      </c>
      <c r="M21" s="189">
        <f>M7+M14</f>
        <v>0</v>
      </c>
      <c r="N21" s="107">
        <f>N14+N7</f>
        <v>2130691.3509999998</v>
      </c>
    </row>
    <row r="22" spans="1:14">
      <c r="E22" s="190"/>
      <c r="F22" s="190"/>
      <c r="G22" s="190"/>
      <c r="H22" s="190"/>
      <c r="I22" s="190"/>
      <c r="J22" s="190"/>
      <c r="K22" s="190"/>
      <c r="L22" s="190"/>
      <c r="M22" s="190"/>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pageSetup paperSize="9" scale="3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43"/>
  <sheetViews>
    <sheetView topLeftCell="A13" zoomScaleNormal="100" workbookViewId="0">
      <selection activeCell="B8" sqref="B8"/>
    </sheetView>
  </sheetViews>
  <sheetFormatPr defaultRowHeight="14.4"/>
  <cols>
    <col min="1" max="1" width="11.44140625" customWidth="1"/>
    <col min="2" max="2" width="76.77734375" style="2" customWidth="1"/>
    <col min="3" max="3" width="22.77734375" customWidth="1"/>
  </cols>
  <sheetData>
    <row r="1" spans="1:3">
      <c r="A1" s="1" t="s">
        <v>108</v>
      </c>
      <c r="B1" t="str">
        <f>Info!C2</f>
        <v>სს " პაშა ბანკი საქართველო"</v>
      </c>
    </row>
    <row r="2" spans="1:3">
      <c r="A2" s="1" t="s">
        <v>109</v>
      </c>
      <c r="B2" s="342">
        <f>'1. key ratios'!B2</f>
        <v>45291</v>
      </c>
    </row>
    <row r="3" spans="1:3">
      <c r="A3" s="1"/>
      <c r="B3"/>
    </row>
    <row r="4" spans="1:3">
      <c r="A4" s="1" t="s">
        <v>428</v>
      </c>
      <c r="B4" t="s">
        <v>387</v>
      </c>
    </row>
    <row r="5" spans="1:3">
      <c r="A5" s="273"/>
      <c r="B5" s="273" t="s">
        <v>388</v>
      </c>
      <c r="C5" s="285"/>
    </row>
    <row r="6" spans="1:3">
      <c r="A6" s="274">
        <v>1</v>
      </c>
      <c r="B6" s="286" t="s">
        <v>440</v>
      </c>
      <c r="C6" s="287">
        <v>534709011</v>
      </c>
    </row>
    <row r="7" spans="1:3">
      <c r="A7" s="274">
        <v>2</v>
      </c>
      <c r="B7" s="286" t="s">
        <v>389</v>
      </c>
      <c r="C7" s="287">
        <v>-4894842</v>
      </c>
    </row>
    <row r="8" spans="1:3">
      <c r="A8" s="275">
        <v>3</v>
      </c>
      <c r="B8" s="288" t="s">
        <v>390</v>
      </c>
      <c r="C8" s="289">
        <f>C6+C7</f>
        <v>529814169</v>
      </c>
    </row>
    <row r="9" spans="1:3">
      <c r="A9" s="276"/>
      <c r="B9" s="276" t="s">
        <v>391</v>
      </c>
      <c r="C9" s="290"/>
    </row>
    <row r="10" spans="1:3">
      <c r="A10" s="277">
        <v>4</v>
      </c>
      <c r="B10" s="291" t="s">
        <v>392</v>
      </c>
      <c r="C10" s="287"/>
    </row>
    <row r="11" spans="1:3">
      <c r="A11" s="277">
        <v>5</v>
      </c>
      <c r="B11" s="292" t="s">
        <v>393</v>
      </c>
      <c r="C11" s="287"/>
    </row>
    <row r="12" spans="1:3">
      <c r="A12" s="277" t="s">
        <v>394</v>
      </c>
      <c r="B12" s="286" t="s">
        <v>395</v>
      </c>
      <c r="C12" s="289">
        <f>'15. CCR'!E21</f>
        <v>2130691.36</v>
      </c>
    </row>
    <row r="13" spans="1:3">
      <c r="A13" s="278">
        <v>6</v>
      </c>
      <c r="B13" s="293" t="s">
        <v>396</v>
      </c>
      <c r="C13" s="287"/>
    </row>
    <row r="14" spans="1:3">
      <c r="A14" s="278">
        <v>7</v>
      </c>
      <c r="B14" s="294" t="s">
        <v>397</v>
      </c>
      <c r="C14" s="287"/>
    </row>
    <row r="15" spans="1:3">
      <c r="A15" s="279">
        <v>8</v>
      </c>
      <c r="B15" s="286" t="s">
        <v>398</v>
      </c>
      <c r="C15" s="287"/>
    </row>
    <row r="16" spans="1:3" ht="22.8">
      <c r="A16" s="278">
        <v>9</v>
      </c>
      <c r="B16" s="294" t="s">
        <v>399</v>
      </c>
      <c r="C16" s="287"/>
    </row>
    <row r="17" spans="1:3">
      <c r="A17" s="278">
        <v>10</v>
      </c>
      <c r="B17" s="294" t="s">
        <v>400</v>
      </c>
      <c r="C17" s="287"/>
    </row>
    <row r="18" spans="1:3">
      <c r="A18" s="280">
        <v>11</v>
      </c>
      <c r="B18" s="295" t="s">
        <v>401</v>
      </c>
      <c r="C18" s="289">
        <f>SUM(C10:C17)</f>
        <v>2130691.36</v>
      </c>
    </row>
    <row r="19" spans="1:3">
      <c r="A19" s="276"/>
      <c r="B19" s="276" t="s">
        <v>402</v>
      </c>
      <c r="C19" s="296"/>
    </row>
    <row r="20" spans="1:3">
      <c r="A20" s="278">
        <v>12</v>
      </c>
      <c r="B20" s="291" t="s">
        <v>403</v>
      </c>
      <c r="C20" s="287"/>
    </row>
    <row r="21" spans="1:3">
      <c r="A21" s="278">
        <v>13</v>
      </c>
      <c r="B21" s="291" t="s">
        <v>404</v>
      </c>
      <c r="C21" s="287"/>
    </row>
    <row r="22" spans="1:3">
      <c r="A22" s="278">
        <v>14</v>
      </c>
      <c r="B22" s="291" t="s">
        <v>405</v>
      </c>
      <c r="C22" s="287"/>
    </row>
    <row r="23" spans="1:3" ht="22.8">
      <c r="A23" s="278" t="s">
        <v>406</v>
      </c>
      <c r="B23" s="291" t="s">
        <v>407</v>
      </c>
      <c r="C23" s="287"/>
    </row>
    <row r="24" spans="1:3">
      <c r="A24" s="278">
        <v>15</v>
      </c>
      <c r="B24" s="291" t="s">
        <v>408</v>
      </c>
      <c r="C24" s="287"/>
    </row>
    <row r="25" spans="1:3">
      <c r="A25" s="278" t="s">
        <v>409</v>
      </c>
      <c r="B25" s="286" t="s">
        <v>410</v>
      </c>
      <c r="C25" s="287"/>
    </row>
    <row r="26" spans="1:3">
      <c r="A26" s="280">
        <v>16</v>
      </c>
      <c r="B26" s="295" t="s">
        <v>411</v>
      </c>
      <c r="C26" s="289">
        <f>SUM(C20:C25)</f>
        <v>0</v>
      </c>
    </row>
    <row r="27" spans="1:3">
      <c r="A27" s="276"/>
      <c r="B27" s="276" t="s">
        <v>412</v>
      </c>
      <c r="C27" s="290"/>
    </row>
    <row r="28" spans="1:3">
      <c r="A28" s="277">
        <v>17</v>
      </c>
      <c r="B28" s="286" t="s">
        <v>413</v>
      </c>
      <c r="C28" s="287">
        <v>183552119</v>
      </c>
    </row>
    <row r="29" spans="1:3">
      <c r="A29" s="277">
        <v>18</v>
      </c>
      <c r="B29" s="286" t="s">
        <v>414</v>
      </c>
      <c r="C29" s="287">
        <v>-118584045.35499999</v>
      </c>
    </row>
    <row r="30" spans="1:3">
      <c r="A30" s="280">
        <v>19</v>
      </c>
      <c r="B30" s="295" t="s">
        <v>415</v>
      </c>
      <c r="C30" s="289">
        <f>C28+C29</f>
        <v>64968073.645000011</v>
      </c>
    </row>
    <row r="31" spans="1:3">
      <c r="A31" s="281"/>
      <c r="B31" s="276" t="s">
        <v>416</v>
      </c>
      <c r="C31" s="290"/>
    </row>
    <row r="32" spans="1:3">
      <c r="A32" s="277" t="s">
        <v>417</v>
      </c>
      <c r="B32" s="291" t="s">
        <v>418</v>
      </c>
      <c r="C32" s="297"/>
    </row>
    <row r="33" spans="1:3">
      <c r="A33" s="277" t="s">
        <v>419</v>
      </c>
      <c r="B33" s="292" t="s">
        <v>420</v>
      </c>
      <c r="C33" s="297"/>
    </row>
    <row r="34" spans="1:3">
      <c r="A34" s="276"/>
      <c r="B34" s="276" t="s">
        <v>421</v>
      </c>
      <c r="C34" s="290"/>
    </row>
    <row r="35" spans="1:3">
      <c r="A35" s="280">
        <v>20</v>
      </c>
      <c r="B35" s="295" t="s">
        <v>86</v>
      </c>
      <c r="C35" s="289">
        <f>'1. key ratios'!C9</f>
        <v>106263156.75</v>
      </c>
    </row>
    <row r="36" spans="1:3">
      <c r="A36" s="280">
        <v>21</v>
      </c>
      <c r="B36" s="295" t="s">
        <v>422</v>
      </c>
      <c r="C36" s="289">
        <f>C8+C18+C26+C30</f>
        <v>596912934.005</v>
      </c>
    </row>
    <row r="37" spans="1:3">
      <c r="A37" s="282"/>
      <c r="B37" s="282" t="s">
        <v>387</v>
      </c>
      <c r="C37" s="290"/>
    </row>
    <row r="38" spans="1:3">
      <c r="A38" s="280">
        <v>22</v>
      </c>
      <c r="B38" s="295" t="s">
        <v>387</v>
      </c>
      <c r="C38" s="677">
        <f>IFERROR(C35/C36,0)</f>
        <v>0.17802119990435639</v>
      </c>
    </row>
    <row r="39" spans="1:3">
      <c r="A39" s="282"/>
      <c r="B39" s="282" t="s">
        <v>423</v>
      </c>
      <c r="C39" s="290"/>
    </row>
    <row r="40" spans="1:3">
      <c r="A40" s="283" t="s">
        <v>424</v>
      </c>
      <c r="B40" s="291" t="s">
        <v>425</v>
      </c>
      <c r="C40" s="297"/>
    </row>
    <row r="41" spans="1:3">
      <c r="A41" s="284" t="s">
        <v>426</v>
      </c>
      <c r="B41" s="292" t="s">
        <v>427</v>
      </c>
      <c r="C41" s="297"/>
    </row>
    <row r="43" spans="1:3">
      <c r="B43" s="306" t="s">
        <v>441</v>
      </c>
    </row>
  </sheetData>
  <pageMargins left="0.7" right="0.7" top="0.75" bottom="0.75" header="0.3" footer="0.3"/>
  <pageSetup paperSize="9" scale="3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42"/>
  <sheetViews>
    <sheetView zoomScale="90" zoomScaleNormal="90" workbookViewId="0">
      <pane xSplit="2" ySplit="6" topLeftCell="C7" activePane="bottomRight" state="frozen"/>
      <selection activeCell="B8" sqref="B8"/>
      <selection pane="topRight" activeCell="B8" sqref="B8"/>
      <selection pane="bottomLeft" activeCell="B8" sqref="B8"/>
      <selection pane="bottomRight" activeCell="B8" sqref="B8"/>
    </sheetView>
  </sheetViews>
  <sheetFormatPr defaultRowHeight="14.4"/>
  <cols>
    <col min="1" max="1" width="9.88671875" style="1" bestFit="1" customWidth="1"/>
    <col min="2" max="2" width="82.6640625" style="17" customWidth="1"/>
    <col min="3" max="7" width="17.5546875" style="1" customWidth="1"/>
  </cols>
  <sheetData>
    <row r="1" spans="1:7">
      <c r="A1" s="1" t="s">
        <v>108</v>
      </c>
      <c r="B1" s="1" t="str">
        <f>Info!C2</f>
        <v>სს " პაშა ბანკი საქართველო"</v>
      </c>
    </row>
    <row r="2" spans="1:7">
      <c r="A2" s="1" t="s">
        <v>109</v>
      </c>
      <c r="B2" s="342">
        <f>'1. key ratios'!B2</f>
        <v>45291</v>
      </c>
    </row>
    <row r="3" spans="1:7">
      <c r="B3" s="342"/>
    </row>
    <row r="4" spans="1:7" ht="15" thickBot="1">
      <c r="A4" s="1" t="s">
        <v>488</v>
      </c>
      <c r="B4" s="198" t="s">
        <v>453</v>
      </c>
    </row>
    <row r="5" spans="1:7">
      <c r="A5" s="343"/>
      <c r="B5" s="344"/>
      <c r="C5" s="801" t="s">
        <v>454</v>
      </c>
      <c r="D5" s="801"/>
      <c r="E5" s="801"/>
      <c r="F5" s="801"/>
      <c r="G5" s="802" t="s">
        <v>455</v>
      </c>
    </row>
    <row r="6" spans="1:7">
      <c r="A6" s="345"/>
      <c r="B6" s="346"/>
      <c r="C6" s="347" t="s">
        <v>456</v>
      </c>
      <c r="D6" s="347" t="s">
        <v>457</v>
      </c>
      <c r="E6" s="347" t="s">
        <v>458</v>
      </c>
      <c r="F6" s="347" t="s">
        <v>459</v>
      </c>
      <c r="G6" s="803"/>
    </row>
    <row r="7" spans="1:7">
      <c r="A7" s="348"/>
      <c r="B7" s="349" t="s">
        <v>460</v>
      </c>
      <c r="C7" s="350"/>
      <c r="D7" s="350"/>
      <c r="E7" s="350"/>
      <c r="F7" s="350"/>
      <c r="G7" s="351"/>
    </row>
    <row r="8" spans="1:7">
      <c r="A8" s="352">
        <v>1</v>
      </c>
      <c r="B8" s="353" t="s">
        <v>461</v>
      </c>
      <c r="C8" s="354">
        <f>SUM(C9:C10)</f>
        <v>122398083.96600001</v>
      </c>
      <c r="D8" s="354">
        <f>SUM(D9:D10)</f>
        <v>0</v>
      </c>
      <c r="E8" s="354">
        <f>SUM(E9:E10)</f>
        <v>0</v>
      </c>
      <c r="F8" s="354">
        <f>SUM(F9:F10)</f>
        <v>174468674.43589997</v>
      </c>
      <c r="G8" s="355">
        <f>SUM(G9:G10)</f>
        <v>296866758.40189999</v>
      </c>
    </row>
    <row r="9" spans="1:7">
      <c r="A9" s="352">
        <v>2</v>
      </c>
      <c r="B9" s="356" t="s">
        <v>85</v>
      </c>
      <c r="C9" s="354">
        <v>122398083.96600001</v>
      </c>
      <c r="D9" s="354"/>
      <c r="E9" s="354"/>
      <c r="F9" s="354"/>
      <c r="G9" s="355">
        <v>122398083.96600001</v>
      </c>
    </row>
    <row r="10" spans="1:7">
      <c r="A10" s="352">
        <v>3</v>
      </c>
      <c r="B10" s="356" t="s">
        <v>462</v>
      </c>
      <c r="C10" s="357"/>
      <c r="D10" s="357"/>
      <c r="E10" s="357"/>
      <c r="F10" s="354">
        <v>174468674.43589997</v>
      </c>
      <c r="G10" s="355">
        <v>174468674.43589997</v>
      </c>
    </row>
    <row r="11" spans="1:7" ht="27.6">
      <c r="A11" s="352">
        <v>4</v>
      </c>
      <c r="B11" s="353" t="s">
        <v>463</v>
      </c>
      <c r="C11" s="354">
        <f t="shared" ref="C11:F11" si="0">SUM(C12:C13)</f>
        <v>16387156</v>
      </c>
      <c r="D11" s="354">
        <f t="shared" si="0"/>
        <v>21378696.735300001</v>
      </c>
      <c r="E11" s="354">
        <f t="shared" si="0"/>
        <v>10907787.477</v>
      </c>
      <c r="F11" s="354">
        <f t="shared" si="0"/>
        <v>1747203.144700001</v>
      </c>
      <c r="G11" s="355">
        <f>SUM(G12:G13)</f>
        <v>36415624.722819999</v>
      </c>
    </row>
    <row r="12" spans="1:7">
      <c r="A12" s="352">
        <v>5</v>
      </c>
      <c r="B12" s="356" t="s">
        <v>464</v>
      </c>
      <c r="C12" s="354">
        <v>4333470</v>
      </c>
      <c r="D12" s="358">
        <v>11142429.125399999</v>
      </c>
      <c r="E12" s="354">
        <v>7691854.7471000003</v>
      </c>
      <c r="F12" s="354">
        <v>1732697.3371000011</v>
      </c>
      <c r="G12" s="355">
        <v>23655428.649119999</v>
      </c>
    </row>
    <row r="13" spans="1:7">
      <c r="A13" s="352">
        <v>6</v>
      </c>
      <c r="B13" s="356" t="s">
        <v>465</v>
      </c>
      <c r="C13" s="354">
        <v>12053686</v>
      </c>
      <c r="D13" s="358">
        <v>10236267.609900001</v>
      </c>
      <c r="E13" s="354">
        <v>3215932.7298999997</v>
      </c>
      <c r="F13" s="354">
        <v>14505.807599999942</v>
      </c>
      <c r="G13" s="355">
        <v>12760196.0737</v>
      </c>
    </row>
    <row r="14" spans="1:7">
      <c r="A14" s="352">
        <v>7</v>
      </c>
      <c r="B14" s="353" t="s">
        <v>466</v>
      </c>
      <c r="C14" s="354">
        <f t="shared" ref="C14:F14" si="1">SUM(C15:C16)</f>
        <v>94020499.893299997</v>
      </c>
      <c r="D14" s="354">
        <f t="shared" si="1"/>
        <v>31982101.060000017</v>
      </c>
      <c r="E14" s="354">
        <f t="shared" si="1"/>
        <v>32582273.230999999</v>
      </c>
      <c r="F14" s="354">
        <f t="shared" si="1"/>
        <v>13446.615799993277</v>
      </c>
      <c r="G14" s="355">
        <f>SUM(G15:G16)</f>
        <v>63658783.453400001</v>
      </c>
    </row>
    <row r="15" spans="1:7" ht="55.2">
      <c r="A15" s="352">
        <v>8</v>
      </c>
      <c r="B15" s="356" t="s">
        <v>467</v>
      </c>
      <c r="C15" s="354">
        <v>79243568</v>
      </c>
      <c r="D15" s="354">
        <v>15478279.060000017</v>
      </c>
      <c r="E15" s="354">
        <v>26134645.230999999</v>
      </c>
      <c r="F15" s="354">
        <v>13446.615799993277</v>
      </c>
      <c r="G15" s="355">
        <v>60434969.453400001</v>
      </c>
    </row>
    <row r="16" spans="1:7" ht="27.6">
      <c r="A16" s="352">
        <v>9</v>
      </c>
      <c r="B16" s="356" t="s">
        <v>468</v>
      </c>
      <c r="C16" s="354">
        <v>14776931.893300001</v>
      </c>
      <c r="D16" s="358">
        <v>16503822</v>
      </c>
      <c r="E16" s="354">
        <v>6447628</v>
      </c>
      <c r="F16" s="354">
        <v>0</v>
      </c>
      <c r="G16" s="355">
        <v>3223814</v>
      </c>
    </row>
    <row r="17" spans="1:7">
      <c r="A17" s="352">
        <v>10</v>
      </c>
      <c r="B17" s="353" t="s">
        <v>469</v>
      </c>
      <c r="C17" s="354"/>
      <c r="D17" s="358"/>
      <c r="E17" s="354"/>
      <c r="F17" s="354"/>
      <c r="G17" s="355"/>
    </row>
    <row r="18" spans="1:7">
      <c r="A18" s="352">
        <v>11</v>
      </c>
      <c r="B18" s="353" t="s">
        <v>89</v>
      </c>
      <c r="C18" s="354">
        <f>SUM(C19:C20)</f>
        <v>0</v>
      </c>
      <c r="D18" s="358">
        <f t="shared" ref="D18:G18" si="2">SUM(D19:D20)</f>
        <v>21015159.438400015</v>
      </c>
      <c r="E18" s="354">
        <f t="shared" si="2"/>
        <v>0</v>
      </c>
      <c r="F18" s="354">
        <f t="shared" si="2"/>
        <v>0</v>
      </c>
      <c r="G18" s="355">
        <f t="shared" si="2"/>
        <v>0</v>
      </c>
    </row>
    <row r="19" spans="1:7">
      <c r="A19" s="352">
        <v>12</v>
      </c>
      <c r="B19" s="356" t="s">
        <v>470</v>
      </c>
      <c r="C19" s="357"/>
      <c r="D19" s="358">
        <v>785819.86</v>
      </c>
      <c r="E19" s="354"/>
      <c r="F19" s="354"/>
      <c r="G19" s="355"/>
    </row>
    <row r="20" spans="1:7" ht="27.6">
      <c r="A20" s="352">
        <v>13</v>
      </c>
      <c r="B20" s="356" t="s">
        <v>471</v>
      </c>
      <c r="C20" s="354"/>
      <c r="D20" s="354">
        <v>20229339.578400016</v>
      </c>
      <c r="E20" s="354"/>
      <c r="F20" s="354"/>
      <c r="G20" s="355"/>
    </row>
    <row r="21" spans="1:7">
      <c r="A21" s="359">
        <v>14</v>
      </c>
      <c r="B21" s="360" t="s">
        <v>472</v>
      </c>
      <c r="C21" s="357"/>
      <c r="D21" s="357"/>
      <c r="E21" s="357"/>
      <c r="F21" s="357"/>
      <c r="G21" s="361">
        <f>SUM(G8,G11,G14,G17,G18)</f>
        <v>396941166.57811999</v>
      </c>
    </row>
    <row r="22" spans="1:7">
      <c r="A22" s="362"/>
      <c r="B22" s="382" t="s">
        <v>473</v>
      </c>
      <c r="C22" s="363"/>
      <c r="D22" s="364"/>
      <c r="E22" s="363"/>
      <c r="F22" s="363"/>
      <c r="G22" s="365"/>
    </row>
    <row r="23" spans="1:7">
      <c r="A23" s="352">
        <v>15</v>
      </c>
      <c r="B23" s="353" t="s">
        <v>322</v>
      </c>
      <c r="C23" s="366">
        <v>81113421.855401874</v>
      </c>
      <c r="D23" s="367">
        <v>38570600</v>
      </c>
      <c r="E23" s="366"/>
      <c r="F23" s="366"/>
      <c r="G23" s="355">
        <v>4276926.6830650931</v>
      </c>
    </row>
    <row r="24" spans="1:7">
      <c r="A24" s="352">
        <v>16</v>
      </c>
      <c r="B24" s="353" t="s">
        <v>474</v>
      </c>
      <c r="C24" s="354">
        <f>SUM(C25:C27,C29,C31)</f>
        <v>3316515.5668350193</v>
      </c>
      <c r="D24" s="358">
        <f t="shared" ref="D24:G24" si="3">SUM(D25:D27,D29,D31)</f>
        <v>62081198.542916998</v>
      </c>
      <c r="E24" s="354">
        <f t="shared" si="3"/>
        <v>40470389.051034868</v>
      </c>
      <c r="F24" s="354">
        <f t="shared" si="3"/>
        <v>240358029.17553008</v>
      </c>
      <c r="G24" s="355">
        <f t="shared" si="3"/>
        <v>248213841.32922488</v>
      </c>
    </row>
    <row r="25" spans="1:7" ht="27.6">
      <c r="A25" s="352">
        <v>17</v>
      </c>
      <c r="B25" s="356" t="s">
        <v>475</v>
      </c>
      <c r="C25" s="354"/>
      <c r="D25" s="358"/>
      <c r="E25" s="354"/>
      <c r="F25" s="354"/>
      <c r="G25" s="355"/>
    </row>
    <row r="26" spans="1:7" ht="27.6">
      <c r="A26" s="352">
        <v>18</v>
      </c>
      <c r="B26" s="356" t="s">
        <v>476</v>
      </c>
      <c r="C26" s="354">
        <v>3316515.5668350193</v>
      </c>
      <c r="D26" s="358">
        <v>29411534.442916997</v>
      </c>
      <c r="E26" s="354">
        <v>26847234.241034869</v>
      </c>
      <c r="F26" s="354">
        <v>16201883.020294122</v>
      </c>
      <c r="G26" s="355">
        <v>34534707.642274357</v>
      </c>
    </row>
    <row r="27" spans="1:7">
      <c r="A27" s="352">
        <v>19</v>
      </c>
      <c r="B27" s="356" t="s">
        <v>477</v>
      </c>
      <c r="C27" s="354">
        <v>0</v>
      </c>
      <c r="D27" s="358">
        <v>29248226.719999999</v>
      </c>
      <c r="E27" s="354">
        <v>9628272.6899999995</v>
      </c>
      <c r="F27" s="354">
        <v>205795148.13383466</v>
      </c>
      <c r="G27" s="355">
        <v>194364125.61875945</v>
      </c>
    </row>
    <row r="28" spans="1:7">
      <c r="A28" s="352">
        <v>20</v>
      </c>
      <c r="B28" s="368" t="s">
        <v>478</v>
      </c>
      <c r="C28" s="354"/>
      <c r="D28" s="358"/>
      <c r="E28" s="354"/>
      <c r="F28" s="354"/>
      <c r="G28" s="355"/>
    </row>
    <row r="29" spans="1:7">
      <c r="A29" s="352">
        <v>21</v>
      </c>
      <c r="B29" s="356" t="s">
        <v>479</v>
      </c>
      <c r="C29" s="354"/>
      <c r="D29" s="358"/>
      <c r="E29" s="354"/>
      <c r="F29" s="354"/>
      <c r="G29" s="355"/>
    </row>
    <row r="30" spans="1:7">
      <c r="A30" s="352">
        <v>22</v>
      </c>
      <c r="B30" s="368" t="s">
        <v>478</v>
      </c>
      <c r="C30" s="354"/>
      <c r="D30" s="358"/>
      <c r="E30" s="354"/>
      <c r="F30" s="354"/>
      <c r="G30" s="355"/>
    </row>
    <row r="31" spans="1:7" ht="27.6">
      <c r="A31" s="352">
        <v>23</v>
      </c>
      <c r="B31" s="356" t="s">
        <v>480</v>
      </c>
      <c r="C31" s="354">
        <v>0</v>
      </c>
      <c r="D31" s="358">
        <v>3421437.38</v>
      </c>
      <c r="E31" s="354">
        <v>3994882.12</v>
      </c>
      <c r="F31" s="354">
        <v>18360998.02140129</v>
      </c>
      <c r="G31" s="355">
        <v>19315008.068191096</v>
      </c>
    </row>
    <row r="32" spans="1:7">
      <c r="A32" s="352">
        <v>24</v>
      </c>
      <c r="B32" s="353" t="s">
        <v>481</v>
      </c>
      <c r="C32" s="354"/>
      <c r="D32" s="358"/>
      <c r="E32" s="354"/>
      <c r="F32" s="354"/>
      <c r="G32" s="355"/>
    </row>
    <row r="33" spans="1:7">
      <c r="A33" s="352">
        <v>25</v>
      </c>
      <c r="B33" s="353" t="s">
        <v>99</v>
      </c>
      <c r="C33" s="354">
        <v>4969672.7799999993</v>
      </c>
      <c r="D33" s="354">
        <v>22462402.220559001</v>
      </c>
      <c r="E33" s="354">
        <v>350554.6876</v>
      </c>
      <c r="F33" s="354">
        <v>35869130.313160211</v>
      </c>
      <c r="G33" s="355">
        <v>52570749.117239714</v>
      </c>
    </row>
    <row r="34" spans="1:7">
      <c r="A34" s="352">
        <v>26</v>
      </c>
      <c r="B34" s="356" t="s">
        <v>482</v>
      </c>
      <c r="C34" s="357"/>
      <c r="D34" s="358">
        <v>650935.14</v>
      </c>
      <c r="E34" s="354"/>
      <c r="F34" s="354"/>
      <c r="G34" s="355">
        <v>650935.14</v>
      </c>
    </row>
    <row r="35" spans="1:7">
      <c r="A35" s="352">
        <v>27</v>
      </c>
      <c r="B35" s="356" t="s">
        <v>483</v>
      </c>
      <c r="C35" s="354">
        <v>4969672.7799999993</v>
      </c>
      <c r="D35" s="358">
        <v>21811467.080559</v>
      </c>
      <c r="E35" s="354">
        <v>350554.6876</v>
      </c>
      <c r="F35" s="354">
        <v>35869130.313160211</v>
      </c>
      <c r="G35" s="355">
        <v>51919813.977239713</v>
      </c>
    </row>
    <row r="36" spans="1:7">
      <c r="A36" s="352">
        <v>28</v>
      </c>
      <c r="B36" s="353" t="s">
        <v>484</v>
      </c>
      <c r="C36" s="354">
        <v>0</v>
      </c>
      <c r="D36" s="358">
        <v>96941075.319999993</v>
      </c>
      <c r="E36" s="354">
        <v>39408575.789999999</v>
      </c>
      <c r="F36" s="354">
        <v>47173500.32</v>
      </c>
      <c r="G36" s="355">
        <v>15863936.392999999</v>
      </c>
    </row>
    <row r="37" spans="1:7">
      <c r="A37" s="359">
        <v>29</v>
      </c>
      <c r="B37" s="360" t="s">
        <v>485</v>
      </c>
      <c r="C37" s="357"/>
      <c r="D37" s="357"/>
      <c r="E37" s="357"/>
      <c r="F37" s="357"/>
      <c r="G37" s="361">
        <f>SUM(G23:G24,G32:G33,G36)</f>
        <v>320925453.52252972</v>
      </c>
    </row>
    <row r="38" spans="1:7">
      <c r="A38" s="348"/>
      <c r="B38" s="369"/>
      <c r="C38" s="370"/>
      <c r="D38" s="370"/>
      <c r="E38" s="370"/>
      <c r="F38" s="370"/>
      <c r="G38" s="371"/>
    </row>
    <row r="39" spans="1:7" ht="15" thickBot="1">
      <c r="A39" s="372">
        <v>30</v>
      </c>
      <c r="B39" s="373" t="s">
        <v>453</v>
      </c>
      <c r="C39" s="234"/>
      <c r="D39" s="218"/>
      <c r="E39" s="218"/>
      <c r="F39" s="374"/>
      <c r="G39" s="375">
        <f>IFERROR(G21/G37,0)</f>
        <v>1.2368640823631454</v>
      </c>
    </row>
    <row r="42" spans="1:7" ht="41.4">
      <c r="B42" s="17" t="s">
        <v>486</v>
      </c>
    </row>
  </sheetData>
  <mergeCells count="2">
    <mergeCell ref="C5:F5"/>
    <mergeCell ref="G5:G6"/>
  </mergeCells>
  <pageMargins left="0.7" right="0.7" top="0.75" bottom="0.75" header="0.3" footer="0.3"/>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1"/>
  <sheetViews>
    <sheetView zoomScale="63" zoomScaleNormal="63" workbookViewId="0">
      <pane xSplit="1" ySplit="5" topLeftCell="B12" activePane="bottomRight" state="frozen"/>
      <selection activeCell="B8" sqref="B8"/>
      <selection pane="topRight" activeCell="B8" sqref="B8"/>
      <selection pane="bottomLeft" activeCell="B8" sqref="B8"/>
      <selection pane="bottomRight" activeCell="B8" sqref="B8"/>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21875" customWidth="1"/>
    <col min="13" max="13" width="6.77734375" customWidth="1"/>
  </cols>
  <sheetData>
    <row r="1" spans="1:12">
      <c r="A1" s="13" t="s">
        <v>108</v>
      </c>
      <c r="B1" s="305" t="str">
        <f>Info!C2</f>
        <v>სს " პაშა ბანკი საქართველო"</v>
      </c>
    </row>
    <row r="2" spans="1:12">
      <c r="A2" s="13" t="s">
        <v>109</v>
      </c>
      <c r="B2" s="342">
        <v>45291</v>
      </c>
    </row>
    <row r="3" spans="1:12" ht="15" thickBot="1">
      <c r="A3" s="13"/>
    </row>
    <row r="4" spans="1:12" ht="15" thickBot="1">
      <c r="A4" s="32" t="s">
        <v>252</v>
      </c>
      <c r="B4" s="139" t="s">
        <v>139</v>
      </c>
      <c r="C4" s="140"/>
      <c r="D4" s="741" t="s">
        <v>936</v>
      </c>
      <c r="E4" s="742"/>
      <c r="F4" s="742"/>
      <c r="G4" s="743"/>
      <c r="I4" s="744" t="s">
        <v>937</v>
      </c>
      <c r="J4" s="745"/>
      <c r="K4" s="745"/>
      <c r="L4" s="746"/>
    </row>
    <row r="5" spans="1:12" ht="30.6" customHeight="1">
      <c r="A5" s="204" t="s">
        <v>25</v>
      </c>
      <c r="B5" s="205"/>
      <c r="C5" s="326" t="str">
        <f>INT((MONTH($B$2))/3)&amp;"Q"&amp;"-"&amp;YEAR($B$2)</f>
        <v>4Q-2023</v>
      </c>
      <c r="D5" s="326" t="str">
        <f>IF(INT(MONTH($B$2))=3, "4"&amp;"Q"&amp;"-"&amp;YEAR($B$2)-1, IF(INT(MONTH($B$2))=6, "1"&amp;"Q"&amp;"-"&amp;YEAR($B$2), IF(INT(MONTH($B$2))=9, "2"&amp;"Q"&amp;"-"&amp;YEAR($B$2),IF(INT(MONTH($B$2))=12, "3"&amp;"Q"&amp;"-"&amp;YEAR($B$2), 0))))</f>
        <v>3Q-2023</v>
      </c>
      <c r="E5" s="326" t="str">
        <f>IF(INT(MONTH($B$2))=3, "3"&amp;"Q"&amp;"-"&amp;YEAR($B$2)-1, IF(INT(MONTH($B$2))=6, "4"&amp;"Q"&amp;"-"&amp;YEAR($B$2)-1, IF(INT(MONTH($B$2))=9, "1"&amp;"Q"&amp;"-"&amp;YEAR($B$2),IF(INT(MONTH($B$2))=12, "2"&amp;"Q"&amp;"-"&amp;YEAR($B$2), 0))))</f>
        <v>2Q-2023</v>
      </c>
      <c r="F5" s="326" t="str">
        <f>IF(INT(MONTH($B$2))=3, "2"&amp;"Q"&amp;"-"&amp;YEAR($B$2)-1, IF(INT(MONTH($B$2))=6, "3"&amp;"Q"&amp;"-"&amp;YEAR($B$2)-1, IF(INT(MONTH($B$2))=9, "4"&amp;"Q"&amp;"-"&amp;YEAR($B$2)-1,IF(INT(MONTH($B$2))=12, "1"&amp;"Q"&amp;"-"&amp;YEAR($B$2), 0))))</f>
        <v>1Q-2023</v>
      </c>
      <c r="G5" s="327" t="str">
        <f>IF(INT(MONTH($B$2))=3, "1"&amp;"Q"&amp;"-"&amp;YEAR($B$2)-1, IF(INT(MONTH($B$2))=6, "2"&amp;"Q"&amp;"-"&amp;YEAR($B$2)-1, IF(INT(MONTH($B$2))=9, "3"&amp;"Q"&amp;"-"&amp;YEAR($B$2)-1,IF(INT(MONTH($B$2))=12, "4"&amp;"Q"&amp;"-"&amp;YEAR($B$2)-1, 0))))</f>
        <v>4Q-2022</v>
      </c>
      <c r="I5" s="568" t="s">
        <v>960</v>
      </c>
      <c r="J5" s="326" t="s">
        <v>961</v>
      </c>
      <c r="K5" s="326" t="s">
        <v>962</v>
      </c>
      <c r="L5" s="327" t="s">
        <v>963</v>
      </c>
    </row>
    <row r="6" spans="1:12">
      <c r="A6" s="328"/>
      <c r="B6" s="329" t="s">
        <v>106</v>
      </c>
      <c r="C6" s="206"/>
      <c r="D6" s="206"/>
      <c r="E6" s="206"/>
      <c r="F6" s="206"/>
      <c r="G6" s="207"/>
      <c r="I6" s="569"/>
      <c r="J6" s="206"/>
      <c r="K6" s="206"/>
      <c r="L6" s="207"/>
    </row>
    <row r="7" spans="1:12">
      <c r="A7" s="328"/>
      <c r="B7" s="330" t="s">
        <v>110</v>
      </c>
      <c r="C7" s="206"/>
      <c r="D7" s="206"/>
      <c r="E7" s="206"/>
      <c r="F7" s="206"/>
      <c r="G7" s="207"/>
      <c r="I7" s="569"/>
      <c r="J7" s="206"/>
      <c r="K7" s="206"/>
      <c r="L7" s="207"/>
    </row>
    <row r="8" spans="1:12">
      <c r="A8" s="309">
        <v>1</v>
      </c>
      <c r="B8" s="310" t="s">
        <v>22</v>
      </c>
      <c r="C8" s="331">
        <v>106263156.75</v>
      </c>
      <c r="D8" s="332">
        <v>103075007</v>
      </c>
      <c r="E8" s="332">
        <v>95277301</v>
      </c>
      <c r="F8" s="332">
        <v>96566537</v>
      </c>
      <c r="G8" s="333">
        <v>96574008</v>
      </c>
      <c r="I8" s="570">
        <v>87824629</v>
      </c>
      <c r="J8" s="571">
        <v>88491639</v>
      </c>
      <c r="K8" s="571">
        <v>88477907</v>
      </c>
      <c r="L8" s="572">
        <v>87660852</v>
      </c>
    </row>
    <row r="9" spans="1:12">
      <c r="A9" s="309">
        <v>2</v>
      </c>
      <c r="B9" s="310" t="s">
        <v>86</v>
      </c>
      <c r="C9" s="331">
        <v>106263156.75</v>
      </c>
      <c r="D9" s="332">
        <v>103075007</v>
      </c>
      <c r="E9" s="332">
        <v>95277301</v>
      </c>
      <c r="F9" s="332">
        <v>96566537</v>
      </c>
      <c r="G9" s="333">
        <v>96574008</v>
      </c>
      <c r="I9" s="570">
        <v>87824629</v>
      </c>
      <c r="J9" s="571">
        <v>88491639</v>
      </c>
      <c r="K9" s="571">
        <v>88477907</v>
      </c>
      <c r="L9" s="572">
        <v>87660852</v>
      </c>
    </row>
    <row r="10" spans="1:12">
      <c r="A10" s="309">
        <v>3</v>
      </c>
      <c r="B10" s="310" t="s">
        <v>85</v>
      </c>
      <c r="C10" s="331">
        <v>122398083.75</v>
      </c>
      <c r="D10" s="332">
        <v>121827508</v>
      </c>
      <c r="E10" s="332">
        <v>113605502</v>
      </c>
      <c r="F10" s="332">
        <v>106816551</v>
      </c>
      <c r="G10" s="333">
        <v>107390887</v>
      </c>
      <c r="I10" s="570">
        <v>112222467</v>
      </c>
      <c r="J10" s="571">
        <v>104625415</v>
      </c>
      <c r="K10" s="571">
        <v>105517547</v>
      </c>
      <c r="L10" s="572">
        <v>110636092</v>
      </c>
    </row>
    <row r="11" spans="1:12">
      <c r="A11" s="309">
        <v>4</v>
      </c>
      <c r="B11" s="310" t="s">
        <v>445</v>
      </c>
      <c r="C11" s="331">
        <v>76073805.633599997</v>
      </c>
      <c r="D11" s="332">
        <v>66718155</v>
      </c>
      <c r="E11" s="332">
        <v>68009659</v>
      </c>
      <c r="F11" s="332">
        <v>66125948</v>
      </c>
      <c r="G11" s="333">
        <v>60156768</v>
      </c>
      <c r="I11" s="570">
        <v>61802243</v>
      </c>
      <c r="J11" s="571">
        <v>61033254</v>
      </c>
      <c r="K11" s="571">
        <v>60302979</v>
      </c>
      <c r="L11" s="572">
        <v>57248719</v>
      </c>
    </row>
    <row r="12" spans="1:12">
      <c r="A12" s="309">
        <v>5</v>
      </c>
      <c r="B12" s="310" t="s">
        <v>446</v>
      </c>
      <c r="C12" s="331">
        <v>93389988.243100002</v>
      </c>
      <c r="D12" s="332">
        <v>82763859</v>
      </c>
      <c r="E12" s="332">
        <v>84380756</v>
      </c>
      <c r="F12" s="332">
        <v>82313059</v>
      </c>
      <c r="G12" s="333">
        <v>74175773</v>
      </c>
      <c r="I12" s="570">
        <v>78040490</v>
      </c>
      <c r="J12" s="571">
        <v>77133569</v>
      </c>
      <c r="K12" s="571">
        <v>75808433</v>
      </c>
      <c r="L12" s="572">
        <v>71972490</v>
      </c>
    </row>
    <row r="13" spans="1:12">
      <c r="A13" s="309">
        <v>6</v>
      </c>
      <c r="B13" s="310" t="s">
        <v>447</v>
      </c>
      <c r="C13" s="331">
        <v>116341267.5662</v>
      </c>
      <c r="D13" s="332">
        <v>104015484</v>
      </c>
      <c r="E13" s="332">
        <v>106063565</v>
      </c>
      <c r="F13" s="332">
        <v>103750673</v>
      </c>
      <c r="G13" s="333">
        <v>99426473</v>
      </c>
      <c r="I13" s="570">
        <v>99548870</v>
      </c>
      <c r="J13" s="571">
        <v>98456762</v>
      </c>
      <c r="K13" s="571">
        <v>103025006</v>
      </c>
      <c r="L13" s="572">
        <v>97868984</v>
      </c>
    </row>
    <row r="14" spans="1:12">
      <c r="A14" s="328"/>
      <c r="B14" s="329" t="s">
        <v>449</v>
      </c>
      <c r="C14" s="206"/>
      <c r="D14" s="206"/>
      <c r="E14" s="206"/>
      <c r="F14" s="206"/>
      <c r="G14" s="207"/>
      <c r="I14" s="569"/>
      <c r="J14" s="206"/>
      <c r="K14" s="206"/>
      <c r="L14" s="207"/>
    </row>
    <row r="15" spans="1:12" ht="22.05" customHeight="1">
      <c r="A15" s="309">
        <v>7</v>
      </c>
      <c r="B15" s="310" t="s">
        <v>448</v>
      </c>
      <c r="C15" s="334">
        <v>586989241</v>
      </c>
      <c r="D15" s="332">
        <v>527653671</v>
      </c>
      <c r="E15" s="332">
        <v>539187233</v>
      </c>
      <c r="F15" s="332">
        <v>527378947</v>
      </c>
      <c r="G15" s="333">
        <v>555258146</v>
      </c>
      <c r="I15" s="570">
        <v>540613910</v>
      </c>
      <c r="J15" s="571">
        <v>526559582</v>
      </c>
      <c r="K15" s="571">
        <v>556152868</v>
      </c>
      <c r="L15" s="572">
        <v>527486562</v>
      </c>
    </row>
    <row r="16" spans="1:12">
      <c r="A16" s="328"/>
      <c r="B16" s="329" t="s">
        <v>452</v>
      </c>
      <c r="C16" s="206"/>
      <c r="D16" s="206"/>
      <c r="E16" s="206"/>
      <c r="F16" s="206"/>
      <c r="G16" s="207"/>
      <c r="I16" s="569"/>
      <c r="J16" s="206"/>
      <c r="K16" s="206"/>
      <c r="L16" s="207"/>
    </row>
    <row r="17" spans="1:12">
      <c r="A17" s="309"/>
      <c r="B17" s="330" t="s">
        <v>435</v>
      </c>
      <c r="C17" s="206"/>
      <c r="D17" s="206"/>
      <c r="E17" s="206"/>
      <c r="F17" s="206"/>
      <c r="G17" s="207"/>
      <c r="I17" s="569"/>
      <c r="J17" s="206"/>
      <c r="K17" s="206"/>
      <c r="L17" s="207"/>
    </row>
    <row r="18" spans="1:12">
      <c r="A18" s="309">
        <v>8</v>
      </c>
      <c r="B18" s="310" t="s">
        <v>443</v>
      </c>
      <c r="C18" s="626">
        <v>0.18103084235235584</v>
      </c>
      <c r="D18" s="597">
        <v>0.19500000000000001</v>
      </c>
      <c r="E18" s="597">
        <v>0.17699999999999999</v>
      </c>
      <c r="F18" s="597">
        <v>0.183</v>
      </c>
      <c r="G18" s="598">
        <v>0.17399999999999999</v>
      </c>
      <c r="I18" s="588">
        <v>0.16200000000000001</v>
      </c>
      <c r="J18" s="589">
        <v>0.16800000000000001</v>
      </c>
      <c r="K18" s="589">
        <v>0.159</v>
      </c>
      <c r="L18" s="590">
        <v>0.16600000000000001</v>
      </c>
    </row>
    <row r="19" spans="1:12" ht="15" customHeight="1">
      <c r="A19" s="309">
        <v>9</v>
      </c>
      <c r="B19" s="310" t="s">
        <v>442</v>
      </c>
      <c r="C19" s="626">
        <v>0.18103084235235584</v>
      </c>
      <c r="D19" s="597">
        <v>0.19500000000000001</v>
      </c>
      <c r="E19" s="597">
        <v>0.17699999999999999</v>
      </c>
      <c r="F19" s="597">
        <v>0.183</v>
      </c>
      <c r="G19" s="598">
        <v>0.17399999999999999</v>
      </c>
      <c r="I19" s="588">
        <v>0.16200000000000001</v>
      </c>
      <c r="J19" s="589">
        <v>0.16800000000000001</v>
      </c>
      <c r="K19" s="589">
        <v>0.159</v>
      </c>
      <c r="L19" s="590">
        <v>0.16600000000000001</v>
      </c>
    </row>
    <row r="20" spans="1:12">
      <c r="A20" s="309">
        <v>10</v>
      </c>
      <c r="B20" s="310" t="s">
        <v>444</v>
      </c>
      <c r="C20" s="626">
        <v>0.20851844497436028</v>
      </c>
      <c r="D20" s="597">
        <v>0.23100000000000001</v>
      </c>
      <c r="E20" s="597">
        <v>0.21099999999999999</v>
      </c>
      <c r="F20" s="597">
        <v>0.20300000000000001</v>
      </c>
      <c r="G20" s="598">
        <v>0.193</v>
      </c>
      <c r="I20" s="588">
        <v>0.20799999999999999</v>
      </c>
      <c r="J20" s="589">
        <v>0.19900000000000001</v>
      </c>
      <c r="K20" s="589">
        <v>0.19</v>
      </c>
      <c r="L20" s="590">
        <v>0.21</v>
      </c>
    </row>
    <row r="21" spans="1:12">
      <c r="A21" s="309">
        <v>11</v>
      </c>
      <c r="B21" s="310" t="s">
        <v>445</v>
      </c>
      <c r="C21" s="626">
        <v>0.12959999999999999</v>
      </c>
      <c r="D21" s="597">
        <v>0.126</v>
      </c>
      <c r="E21" s="597">
        <v>0.126</v>
      </c>
      <c r="F21" s="597">
        <v>0.125</v>
      </c>
      <c r="G21" s="598">
        <v>0.108</v>
      </c>
      <c r="I21" s="588">
        <v>0.114</v>
      </c>
      <c r="J21" s="589">
        <v>0.11600000000000001</v>
      </c>
      <c r="K21" s="589">
        <v>0.108</v>
      </c>
      <c r="L21" s="590">
        <v>0.109</v>
      </c>
    </row>
    <row r="22" spans="1:12">
      <c r="A22" s="309">
        <v>12</v>
      </c>
      <c r="B22" s="310" t="s">
        <v>446</v>
      </c>
      <c r="C22" s="626">
        <v>0.15909999999999999</v>
      </c>
      <c r="D22" s="597">
        <v>0.157</v>
      </c>
      <c r="E22" s="597">
        <v>0.156</v>
      </c>
      <c r="F22" s="597">
        <v>0.156</v>
      </c>
      <c r="G22" s="598">
        <v>0.13400000000000001</v>
      </c>
      <c r="I22" s="588">
        <v>0.14399999999999999</v>
      </c>
      <c r="J22" s="589">
        <v>0.14599999999999999</v>
      </c>
      <c r="K22" s="589">
        <v>0.13600000000000001</v>
      </c>
      <c r="L22" s="590">
        <v>0.13600000000000001</v>
      </c>
    </row>
    <row r="23" spans="1:12">
      <c r="A23" s="309">
        <v>13</v>
      </c>
      <c r="B23" s="310" t="s">
        <v>447</v>
      </c>
      <c r="C23" s="626">
        <v>0.19820000000000002</v>
      </c>
      <c r="D23" s="597">
        <v>0.19700000000000001</v>
      </c>
      <c r="E23" s="597">
        <v>0.19700000000000001</v>
      </c>
      <c r="F23" s="597">
        <v>0.19700000000000001</v>
      </c>
      <c r="G23" s="598">
        <v>0.17899999999999999</v>
      </c>
      <c r="I23" s="588">
        <v>0.184</v>
      </c>
      <c r="J23" s="589">
        <v>0.187</v>
      </c>
      <c r="K23" s="589">
        <v>0.185</v>
      </c>
      <c r="L23" s="590">
        <v>0.186</v>
      </c>
    </row>
    <row r="24" spans="1:12">
      <c r="A24" s="328"/>
      <c r="B24" s="329" t="s">
        <v>6</v>
      </c>
      <c r="C24" s="206"/>
      <c r="D24" s="206"/>
      <c r="E24" s="206"/>
      <c r="F24" s="206"/>
      <c r="G24" s="207"/>
      <c r="I24" s="569"/>
      <c r="J24" s="206"/>
      <c r="K24" s="206"/>
      <c r="L24" s="207"/>
    </row>
    <row r="25" spans="1:12" ht="15" customHeight="1">
      <c r="A25" s="335">
        <v>14</v>
      </c>
      <c r="B25" s="336" t="s">
        <v>7</v>
      </c>
      <c r="C25" s="601">
        <v>0.1029718580022862</v>
      </c>
      <c r="D25" s="599">
        <v>0.10100000000000001</v>
      </c>
      <c r="E25" s="599">
        <v>0.1026</v>
      </c>
      <c r="F25" s="599">
        <v>0.10100000000000001</v>
      </c>
      <c r="G25" s="600">
        <v>8.7999999999999995E-2</v>
      </c>
      <c r="I25" s="585">
        <v>0.10299999999999999</v>
      </c>
      <c r="J25" s="586">
        <v>0.10199999999999999</v>
      </c>
      <c r="K25" s="586">
        <v>8.6999999999999994E-2</v>
      </c>
      <c r="L25" s="587">
        <v>8.4000000000000005E-2</v>
      </c>
    </row>
    <row r="26" spans="1:12">
      <c r="A26" s="335">
        <v>15</v>
      </c>
      <c r="B26" s="336" t="s">
        <v>8</v>
      </c>
      <c r="C26" s="601">
        <v>3.6874556383449358E-2</v>
      </c>
      <c r="D26" s="599">
        <v>3.6999999999999998E-2</v>
      </c>
      <c r="E26" s="599">
        <v>3.7900000000000003E-2</v>
      </c>
      <c r="F26" s="599">
        <v>3.6999999999999998E-2</v>
      </c>
      <c r="G26" s="600">
        <v>3.4000000000000002E-2</v>
      </c>
      <c r="I26" s="585">
        <v>3.7999999999999999E-2</v>
      </c>
      <c r="J26" s="586">
        <v>3.7999999999999999E-2</v>
      </c>
      <c r="K26" s="586">
        <v>3.4000000000000002E-2</v>
      </c>
      <c r="L26" s="587">
        <v>3.4000000000000002E-2</v>
      </c>
    </row>
    <row r="27" spans="1:12">
      <c r="A27" s="335">
        <v>16</v>
      </c>
      <c r="B27" s="336" t="s">
        <v>9</v>
      </c>
      <c r="C27" s="601">
        <v>9.050897338271139E-3</v>
      </c>
      <c r="D27" s="599">
        <v>1.2999999999999999E-2</v>
      </c>
      <c r="E27" s="599">
        <v>6.8999999999999999E-3</v>
      </c>
      <c r="F27" s="599">
        <v>1E-3</v>
      </c>
      <c r="G27" s="600">
        <v>7.0000000000000001E-3</v>
      </c>
      <c r="I27" s="585">
        <v>4.0000000000000001E-3</v>
      </c>
      <c r="J27" s="586">
        <v>1.2E-2</v>
      </c>
      <c r="K27" s="586">
        <v>5.0000000000000001E-3</v>
      </c>
      <c r="L27" s="587">
        <v>1.7000000000000001E-2</v>
      </c>
    </row>
    <row r="28" spans="1:12">
      <c r="A28" s="335">
        <v>17</v>
      </c>
      <c r="B28" s="336" t="s">
        <v>140</v>
      </c>
      <c r="C28" s="601">
        <v>6.609730161883684E-2</v>
      </c>
      <c r="D28" s="599">
        <v>6.5000000000000002E-2</v>
      </c>
      <c r="E28" s="599">
        <v>6.4600000000000005E-2</v>
      </c>
      <c r="F28" s="599">
        <v>6.3E-2</v>
      </c>
      <c r="G28" s="600">
        <v>5.2999999999999999E-2</v>
      </c>
      <c r="I28" s="585">
        <v>6.5000000000000002E-2</v>
      </c>
      <c r="J28" s="586">
        <v>6.5000000000000002E-2</v>
      </c>
      <c r="K28" s="586">
        <v>5.1999999999999998E-2</v>
      </c>
      <c r="L28" s="587">
        <v>0.05</v>
      </c>
    </row>
    <row r="29" spans="1:12">
      <c r="A29" s="335">
        <v>18</v>
      </c>
      <c r="B29" s="336" t="s">
        <v>10</v>
      </c>
      <c r="C29" s="722">
        <v>3.2821617664279441E-3</v>
      </c>
      <c r="D29" s="599">
        <v>-3.0000000000000001E-3</v>
      </c>
      <c r="E29" s="599">
        <v>-4.8999999999999998E-3</v>
      </c>
      <c r="F29" s="599">
        <v>3.0000000000000001E-3</v>
      </c>
      <c r="G29" s="600">
        <v>-4.0000000000000001E-3</v>
      </c>
      <c r="I29" s="585">
        <v>-3.0000000000000001E-3</v>
      </c>
      <c r="J29" s="586">
        <v>1E-3</v>
      </c>
      <c r="K29" s="586">
        <v>-4.0000000000000001E-3</v>
      </c>
      <c r="L29" s="587">
        <v>-0.01</v>
      </c>
    </row>
    <row r="30" spans="1:12">
      <c r="A30" s="335">
        <v>19</v>
      </c>
      <c r="B30" s="336" t="s">
        <v>11</v>
      </c>
      <c r="C30" s="722">
        <v>1.6209342514036738E-2</v>
      </c>
      <c r="D30" s="599">
        <v>-1.4E-2</v>
      </c>
      <c r="E30" s="599">
        <v>-2.4799999999999999E-2</v>
      </c>
      <c r="F30" s="599">
        <v>1.2999999999999999E-2</v>
      </c>
      <c r="G30" s="600">
        <v>-2.1999999999999999E-2</v>
      </c>
      <c r="I30" s="585">
        <v>-1.7000000000000001E-2</v>
      </c>
      <c r="J30" s="586">
        <v>8.0000000000000002E-3</v>
      </c>
      <c r="K30" s="586">
        <v>-2.4E-2</v>
      </c>
      <c r="L30" s="587">
        <v>-5.5E-2</v>
      </c>
    </row>
    <row r="31" spans="1:12">
      <c r="A31" s="328"/>
      <c r="B31" s="329" t="s">
        <v>12</v>
      </c>
      <c r="C31" s="206"/>
      <c r="D31" s="206"/>
      <c r="E31" s="206"/>
      <c r="F31" s="206"/>
      <c r="G31" s="207"/>
      <c r="I31" s="569"/>
      <c r="J31" s="206"/>
      <c r="K31" s="206"/>
      <c r="L31" s="207"/>
    </row>
    <row r="32" spans="1:12">
      <c r="A32" s="335">
        <v>20</v>
      </c>
      <c r="B32" s="336" t="s">
        <v>13</v>
      </c>
      <c r="C32" s="601">
        <v>8.5460599254732636E-2</v>
      </c>
      <c r="D32" s="599">
        <v>0.113</v>
      </c>
      <c r="E32" s="599">
        <v>0.13900000000000001</v>
      </c>
      <c r="F32" s="599">
        <v>8.8999999999999996E-2</v>
      </c>
      <c r="G32" s="600">
        <v>8.8999999999999996E-2</v>
      </c>
      <c r="I32" s="585">
        <v>0.123</v>
      </c>
      <c r="J32" s="586">
        <v>0.111</v>
      </c>
      <c r="K32" s="586">
        <v>0.104</v>
      </c>
      <c r="L32" s="587">
        <v>0.109</v>
      </c>
    </row>
    <row r="33" spans="1:12" ht="15" customHeight="1">
      <c r="A33" s="335">
        <v>21</v>
      </c>
      <c r="B33" s="336" t="s">
        <v>958</v>
      </c>
      <c r="C33" s="601">
        <v>4.5988968937092173E-2</v>
      </c>
      <c r="D33" s="599">
        <v>5.6000000000000001E-2</v>
      </c>
      <c r="E33" s="599">
        <v>5.6000000000000001E-2</v>
      </c>
      <c r="F33" s="599">
        <v>5.0999999999999997E-2</v>
      </c>
      <c r="G33" s="600">
        <v>4.5999999999999999E-2</v>
      </c>
      <c r="I33" s="585">
        <v>6.3E-2</v>
      </c>
      <c r="J33" s="586">
        <v>6.2E-2</v>
      </c>
      <c r="K33" s="586">
        <v>5.8000000000000003E-2</v>
      </c>
      <c r="L33" s="587">
        <v>5.8999999999999997E-2</v>
      </c>
    </row>
    <row r="34" spans="1:12">
      <c r="A34" s="335">
        <v>22</v>
      </c>
      <c r="B34" s="336" t="s">
        <v>14</v>
      </c>
      <c r="C34" s="601">
        <v>0.55481183946518031</v>
      </c>
      <c r="D34" s="599">
        <v>0.54800000000000004</v>
      </c>
      <c r="E34" s="599">
        <v>0.58299999999999996</v>
      </c>
      <c r="F34" s="599">
        <v>0.59699999999999998</v>
      </c>
      <c r="G34" s="600">
        <v>0.58899999999999997</v>
      </c>
      <c r="I34" s="585">
        <v>0.58199999999999996</v>
      </c>
      <c r="J34" s="586">
        <v>0.59599999999999997</v>
      </c>
      <c r="K34" s="586">
        <v>0.58799999999999997</v>
      </c>
      <c r="L34" s="587">
        <v>0.56299999999999994</v>
      </c>
    </row>
    <row r="35" spans="1:12" ht="15" customHeight="1">
      <c r="A35" s="335">
        <v>23</v>
      </c>
      <c r="B35" s="336" t="s">
        <v>15</v>
      </c>
      <c r="C35" s="601">
        <v>0.53661231896875505</v>
      </c>
      <c r="D35" s="599">
        <v>0.52800000000000002</v>
      </c>
      <c r="E35" s="599">
        <v>0.58099999999999996</v>
      </c>
      <c r="F35" s="599">
        <v>0.56599999999999995</v>
      </c>
      <c r="G35" s="600">
        <v>0.57399999999999995</v>
      </c>
      <c r="I35" s="585">
        <v>0.57399999999999995</v>
      </c>
      <c r="J35" s="586">
        <v>0.55700000000000005</v>
      </c>
      <c r="K35" s="586">
        <v>0.56499999999999995</v>
      </c>
      <c r="L35" s="587">
        <v>0.61899999999999999</v>
      </c>
    </row>
    <row r="36" spans="1:12">
      <c r="A36" s="335">
        <v>24</v>
      </c>
      <c r="B36" s="336" t="s">
        <v>16</v>
      </c>
      <c r="C36" s="601">
        <v>-4.1541500515706931E-2</v>
      </c>
      <c r="D36" s="599">
        <v>-9.4E-2</v>
      </c>
      <c r="E36" s="599">
        <v>-7.0000000000000007E-2</v>
      </c>
      <c r="F36" s="599">
        <v>-0.08</v>
      </c>
      <c r="G36" s="600">
        <v>0.19800000000000001</v>
      </c>
      <c r="I36" s="585">
        <v>-7.2999999999999995E-2</v>
      </c>
      <c r="J36" s="586">
        <v>-0.08</v>
      </c>
      <c r="K36" s="586">
        <v>0.189</v>
      </c>
      <c r="L36" s="587">
        <v>0.14899999999999999</v>
      </c>
    </row>
    <row r="37" spans="1:12" ht="15" customHeight="1">
      <c r="A37" s="328"/>
      <c r="B37" s="329" t="s">
        <v>17</v>
      </c>
      <c r="C37" s="206"/>
      <c r="D37" s="206"/>
      <c r="E37" s="206"/>
      <c r="F37" s="206"/>
      <c r="G37" s="207"/>
      <c r="I37" s="569"/>
      <c r="J37" s="206"/>
      <c r="K37" s="206"/>
      <c r="L37" s="207"/>
    </row>
    <row r="38" spans="1:12" ht="15" customHeight="1">
      <c r="A38" s="335">
        <v>25</v>
      </c>
      <c r="B38" s="336" t="s">
        <v>18</v>
      </c>
      <c r="C38" s="601">
        <v>0.16579206660802059</v>
      </c>
      <c r="D38" s="601">
        <v>0.17599999999999999</v>
      </c>
      <c r="E38" s="601">
        <v>0.184</v>
      </c>
      <c r="F38" s="601">
        <v>0.21199999999999999</v>
      </c>
      <c r="G38" s="602">
        <v>0.158</v>
      </c>
      <c r="I38" s="591">
        <v>0.186</v>
      </c>
      <c r="J38" s="592">
        <v>0.23799999999999999</v>
      </c>
      <c r="K38" s="592">
        <v>0.111</v>
      </c>
      <c r="L38" s="593">
        <v>9.0999999999999998E-2</v>
      </c>
    </row>
    <row r="39" spans="1:12" ht="15" customHeight="1">
      <c r="A39" s="335">
        <v>26</v>
      </c>
      <c r="B39" s="336" t="s">
        <v>19</v>
      </c>
      <c r="C39" s="601">
        <v>0.65975765565942257</v>
      </c>
      <c r="D39" s="601">
        <v>0.72299999999999998</v>
      </c>
      <c r="E39" s="601">
        <v>0.77900000000000003</v>
      </c>
      <c r="F39" s="601">
        <v>0.71599999999999997</v>
      </c>
      <c r="G39" s="602">
        <v>0.69699999999999995</v>
      </c>
      <c r="I39" s="591">
        <v>0.77700000000000002</v>
      </c>
      <c r="J39" s="592">
        <v>0.71499999999999997</v>
      </c>
      <c r="K39" s="592">
        <v>0.69499999999999995</v>
      </c>
      <c r="L39" s="593">
        <v>0.78300000000000003</v>
      </c>
    </row>
    <row r="40" spans="1:12" ht="15" customHeight="1">
      <c r="A40" s="335">
        <v>27</v>
      </c>
      <c r="B40" s="337" t="s">
        <v>20</v>
      </c>
      <c r="C40" s="601">
        <v>0.20576556663922385</v>
      </c>
      <c r="D40" s="601">
        <v>0.185</v>
      </c>
      <c r="E40" s="601">
        <v>0.193</v>
      </c>
      <c r="F40" s="601">
        <v>0.217</v>
      </c>
      <c r="G40" s="602">
        <v>0.16500000000000001</v>
      </c>
      <c r="I40" s="591">
        <v>0.19500000000000001</v>
      </c>
      <c r="J40" s="592">
        <v>0.219</v>
      </c>
      <c r="K40" s="592">
        <v>0.16700000000000001</v>
      </c>
      <c r="L40" s="593">
        <v>0.11899999999999999</v>
      </c>
    </row>
    <row r="41" spans="1:12" ht="15" customHeight="1">
      <c r="A41" s="341"/>
      <c r="B41" s="329" t="s">
        <v>356</v>
      </c>
      <c r="C41" s="206"/>
      <c r="D41" s="206"/>
      <c r="E41" s="206"/>
      <c r="F41" s="206"/>
      <c r="G41" s="207"/>
      <c r="I41" s="569"/>
      <c r="J41" s="206"/>
      <c r="K41" s="206"/>
      <c r="L41" s="207"/>
    </row>
    <row r="42" spans="1:12" ht="15" customHeight="1">
      <c r="A42" s="335">
        <v>28</v>
      </c>
      <c r="B42" s="381" t="s">
        <v>340</v>
      </c>
      <c r="C42" s="337">
        <f>'14. LCR'!H23</f>
        <v>140516860.76185107</v>
      </c>
      <c r="D42" s="337">
        <v>146365839</v>
      </c>
      <c r="E42" s="337">
        <v>145326888</v>
      </c>
      <c r="F42" s="337">
        <v>150913136</v>
      </c>
      <c r="G42" s="340">
        <v>117762904</v>
      </c>
      <c r="I42" s="576">
        <v>145340712</v>
      </c>
      <c r="J42" s="577">
        <v>146847569</v>
      </c>
      <c r="K42" s="577">
        <v>126443044</v>
      </c>
      <c r="L42" s="578">
        <v>92427258</v>
      </c>
    </row>
    <row r="43" spans="1:12">
      <c r="A43" s="335">
        <v>29</v>
      </c>
      <c r="B43" s="336" t="s">
        <v>341</v>
      </c>
      <c r="C43" s="337">
        <f>'14. LCR'!H24</f>
        <v>75674277.716746137</v>
      </c>
      <c r="D43" s="338">
        <v>72376479</v>
      </c>
      <c r="E43" s="338">
        <v>89904544</v>
      </c>
      <c r="F43" s="338">
        <v>68046298</v>
      </c>
      <c r="G43" s="339">
        <v>68427424</v>
      </c>
      <c r="I43" s="573">
        <v>88673996</v>
      </c>
      <c r="J43" s="574">
        <v>68883814</v>
      </c>
      <c r="K43" s="574">
        <v>79541169</v>
      </c>
      <c r="L43" s="575">
        <v>41989157</v>
      </c>
    </row>
    <row r="44" spans="1:12">
      <c r="A44" s="376">
        <v>30</v>
      </c>
      <c r="B44" s="377" t="s">
        <v>339</v>
      </c>
      <c r="C44" s="738">
        <f>C42/C43</f>
        <v>1.8568642476881649</v>
      </c>
      <c r="D44" s="601">
        <v>2.0219999999999998</v>
      </c>
      <c r="E44" s="601">
        <v>1.6160000000000001</v>
      </c>
      <c r="F44" s="601">
        <v>2.218</v>
      </c>
      <c r="G44" s="602">
        <v>1.7210000000000001</v>
      </c>
      <c r="I44" s="591">
        <v>1.6419999999999999</v>
      </c>
      <c r="J44" s="592">
        <v>2.1320000000000001</v>
      </c>
      <c r="K44" s="592">
        <v>1.59</v>
      </c>
      <c r="L44" s="593">
        <v>2.2010000000000001</v>
      </c>
    </row>
    <row r="45" spans="1:12">
      <c r="A45" s="376"/>
      <c r="B45" s="329" t="s">
        <v>453</v>
      </c>
      <c r="C45" s="206"/>
      <c r="D45" s="206"/>
      <c r="E45" s="206"/>
      <c r="F45" s="206"/>
      <c r="G45" s="207"/>
      <c r="I45" s="569"/>
      <c r="J45" s="206"/>
      <c r="K45" s="206"/>
      <c r="L45" s="207"/>
    </row>
    <row r="46" spans="1:12">
      <c r="A46" s="376">
        <v>31</v>
      </c>
      <c r="B46" s="377" t="s">
        <v>460</v>
      </c>
      <c r="C46" s="378">
        <f>'16. NSFR'!G21</f>
        <v>396941166.57811999</v>
      </c>
      <c r="D46" s="379">
        <v>327923475</v>
      </c>
      <c r="E46" s="379">
        <v>353339315</v>
      </c>
      <c r="F46" s="379">
        <v>359791586</v>
      </c>
      <c r="G46" s="380">
        <v>382858081</v>
      </c>
      <c r="I46" s="579">
        <v>345886644</v>
      </c>
      <c r="J46" s="580">
        <v>351716688</v>
      </c>
      <c r="K46" s="580">
        <v>374610446</v>
      </c>
      <c r="L46" s="380">
        <v>357523301</v>
      </c>
    </row>
    <row r="47" spans="1:12">
      <c r="A47" s="376">
        <v>32</v>
      </c>
      <c r="B47" s="377" t="s">
        <v>473</v>
      </c>
      <c r="C47" s="378">
        <f>'16. NSFR'!G37</f>
        <v>320925453.52252972</v>
      </c>
      <c r="D47" s="379">
        <v>293297718</v>
      </c>
      <c r="E47" s="379">
        <v>302708247</v>
      </c>
      <c r="F47" s="379">
        <v>282123107</v>
      </c>
      <c r="G47" s="380">
        <v>292723792</v>
      </c>
      <c r="I47" s="579">
        <v>297613683</v>
      </c>
      <c r="J47" s="580">
        <v>276394224</v>
      </c>
      <c r="K47" s="580">
        <v>287598577</v>
      </c>
      <c r="L47" s="380">
        <v>298230166</v>
      </c>
    </row>
    <row r="48" spans="1:12" ht="15" thickBot="1">
      <c r="A48" s="73">
        <v>33</v>
      </c>
      <c r="B48" s="162" t="s">
        <v>487</v>
      </c>
      <c r="C48" s="721">
        <f>'16. NSFR'!G39</f>
        <v>1.2368640823631454</v>
      </c>
      <c r="D48" s="603">
        <v>1.1180000000000001</v>
      </c>
      <c r="E48" s="603">
        <v>1.167</v>
      </c>
      <c r="F48" s="603">
        <v>1.2749999999999999</v>
      </c>
      <c r="G48" s="604">
        <v>1.3080000000000001</v>
      </c>
      <c r="I48" s="594">
        <v>1.1619999999999999</v>
      </c>
      <c r="J48" s="595">
        <v>1.27</v>
      </c>
      <c r="K48" s="595">
        <v>1.3</v>
      </c>
      <c r="L48" s="596">
        <v>1.2</v>
      </c>
    </row>
    <row r="49" spans="1:2">
      <c r="A49" s="15"/>
    </row>
    <row r="50" spans="1:2" ht="41.4">
      <c r="B50" s="17" t="s">
        <v>945</v>
      </c>
    </row>
    <row r="51" spans="1:2" ht="69">
      <c r="B51" s="243" t="s">
        <v>355</v>
      </c>
    </row>
  </sheetData>
  <mergeCells count="2">
    <mergeCell ref="D4:G4"/>
    <mergeCell ref="I4:L4"/>
  </mergeCells>
  <pageMargins left="0.7" right="0.7" top="0.75" bottom="0.75" header="0.3" footer="0.3"/>
  <pageSetup paperSize="9" scale="3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J26"/>
  <sheetViews>
    <sheetView showGridLines="0" zoomScale="80" zoomScaleNormal="80" workbookViewId="0">
      <selection activeCell="B8" sqref="B8"/>
    </sheetView>
  </sheetViews>
  <sheetFormatPr defaultColWidth="9.21875" defaultRowHeight="12"/>
  <cols>
    <col min="1" max="1" width="11.77734375" style="387" bestFit="1" customWidth="1"/>
    <col min="2" max="2" width="105.21875" style="387" bestFit="1" customWidth="1"/>
    <col min="3" max="3" width="15.21875" style="387" customWidth="1"/>
    <col min="4" max="4" width="14.109375" style="387" bestFit="1" customWidth="1"/>
    <col min="5" max="5" width="17.44140625" style="387" bestFit="1" customWidth="1"/>
    <col min="6" max="6" width="15.109375" style="387" bestFit="1" customWidth="1"/>
    <col min="7" max="7" width="30.44140625" style="387" customWidth="1"/>
    <col min="8" max="8" width="19.44140625" style="387" customWidth="1"/>
    <col min="9" max="16384" width="9.21875" style="387"/>
  </cols>
  <sheetData>
    <row r="1" spans="1:8" ht="13.8">
      <c r="A1" s="386" t="s">
        <v>108</v>
      </c>
      <c r="B1" s="305" t="str">
        <f>Info!C2</f>
        <v>სს " პაშა ბანკი საქართველო"</v>
      </c>
    </row>
    <row r="2" spans="1:8">
      <c r="A2" s="386" t="s">
        <v>109</v>
      </c>
      <c r="B2" s="389">
        <f>'1. key ratios'!B2</f>
        <v>45291</v>
      </c>
    </row>
    <row r="3" spans="1:8">
      <c r="A3" s="388" t="s">
        <v>493</v>
      </c>
    </row>
    <row r="5" spans="1:8">
      <c r="A5" s="804" t="s">
        <v>494</v>
      </c>
      <c r="B5" s="805"/>
      <c r="C5" s="810" t="s">
        <v>495</v>
      </c>
      <c r="D5" s="811"/>
      <c r="E5" s="811"/>
      <c r="F5" s="811"/>
      <c r="G5" s="811"/>
      <c r="H5" s="812"/>
    </row>
    <row r="6" spans="1:8">
      <c r="A6" s="806"/>
      <c r="B6" s="807"/>
      <c r="C6" s="813"/>
      <c r="D6" s="814"/>
      <c r="E6" s="814"/>
      <c r="F6" s="814"/>
      <c r="G6" s="814"/>
      <c r="H6" s="815"/>
    </row>
    <row r="7" spans="1:8" ht="24">
      <c r="A7" s="808"/>
      <c r="B7" s="809"/>
      <c r="C7" s="450" t="s">
        <v>496</v>
      </c>
      <c r="D7" s="450" t="s">
        <v>497</v>
      </c>
      <c r="E7" s="450" t="s">
        <v>498</v>
      </c>
      <c r="F7" s="450" t="s">
        <v>499</v>
      </c>
      <c r="G7" s="450" t="s">
        <v>679</v>
      </c>
      <c r="H7" s="450" t="s">
        <v>66</v>
      </c>
    </row>
    <row r="8" spans="1:8">
      <c r="A8" s="446">
        <v>1</v>
      </c>
      <c r="B8" s="445" t="s">
        <v>134</v>
      </c>
      <c r="C8" s="684">
        <v>3439629.1376999998</v>
      </c>
      <c r="D8" s="684"/>
      <c r="E8" s="684">
        <v>5469399.9699999997</v>
      </c>
      <c r="F8" s="684"/>
      <c r="G8" s="684">
        <v>27786684.1833</v>
      </c>
      <c r="H8" s="683">
        <f t="shared" ref="H8:H20" si="0">SUM(C8:G8)</f>
        <v>36695713.291000001</v>
      </c>
    </row>
    <row r="9" spans="1:8">
      <c r="A9" s="446">
        <v>2</v>
      </c>
      <c r="B9" s="445" t="s">
        <v>135</v>
      </c>
      <c r="C9" s="683"/>
      <c r="D9" s="683"/>
      <c r="E9" s="683"/>
      <c r="F9" s="683"/>
      <c r="G9" s="683"/>
      <c r="H9" s="683">
        <f t="shared" si="0"/>
        <v>0</v>
      </c>
    </row>
    <row r="10" spans="1:8">
      <c r="A10" s="446">
        <v>3</v>
      </c>
      <c r="B10" s="445" t="s">
        <v>136</v>
      </c>
      <c r="C10" s="683"/>
      <c r="D10" s="683"/>
      <c r="E10" s="683"/>
      <c r="F10" s="683"/>
      <c r="G10" s="683"/>
      <c r="H10" s="683">
        <f t="shared" si="0"/>
        <v>0</v>
      </c>
    </row>
    <row r="11" spans="1:8">
      <c r="A11" s="446">
        <v>4</v>
      </c>
      <c r="B11" s="445" t="s">
        <v>137</v>
      </c>
      <c r="C11" s="683"/>
      <c r="D11" s="683"/>
      <c r="E11" s="683"/>
      <c r="F11" s="683"/>
      <c r="G11" s="683"/>
      <c r="H11" s="683">
        <f t="shared" si="0"/>
        <v>0</v>
      </c>
    </row>
    <row r="12" spans="1:8">
      <c r="A12" s="446">
        <v>5</v>
      </c>
      <c r="B12" s="445" t="s">
        <v>949</v>
      </c>
      <c r="C12" s="683"/>
      <c r="D12" s="683"/>
      <c r="E12" s="683"/>
      <c r="F12" s="683"/>
      <c r="G12" s="683"/>
      <c r="H12" s="683">
        <f t="shared" si="0"/>
        <v>0</v>
      </c>
    </row>
    <row r="13" spans="1:8">
      <c r="A13" s="446">
        <v>6</v>
      </c>
      <c r="B13" s="445" t="s">
        <v>138</v>
      </c>
      <c r="C13" s="684">
        <v>24073457.335500002</v>
      </c>
      <c r="D13" s="684">
        <v>43603690.377599999</v>
      </c>
      <c r="E13" s="684"/>
      <c r="F13" s="684"/>
      <c r="G13" s="683"/>
      <c r="H13" s="683">
        <f t="shared" si="0"/>
        <v>67677147.713100001</v>
      </c>
    </row>
    <row r="14" spans="1:8">
      <c r="A14" s="446">
        <v>7</v>
      </c>
      <c r="B14" s="445" t="s">
        <v>71</v>
      </c>
      <c r="C14" s="683"/>
      <c r="D14" s="684">
        <f>20091654.7742-234.95</f>
        <v>20091419.824200001</v>
      </c>
      <c r="E14" s="684">
        <v>178850851.81940001</v>
      </c>
      <c r="F14" s="684">
        <v>133632599.7502</v>
      </c>
      <c r="G14" s="683"/>
      <c r="H14" s="683">
        <f t="shared" si="0"/>
        <v>332574871.39380002</v>
      </c>
    </row>
    <row r="15" spans="1:8">
      <c r="A15" s="446">
        <v>8</v>
      </c>
      <c r="B15" s="447" t="s">
        <v>72</v>
      </c>
      <c r="C15" s="683"/>
      <c r="D15" s="684">
        <v>381262.2525</v>
      </c>
      <c r="E15" s="684">
        <v>17193241.954599999</v>
      </c>
      <c r="F15" s="684">
        <v>45836671.399999999</v>
      </c>
      <c r="G15" s="683"/>
      <c r="H15" s="683">
        <f t="shared" si="0"/>
        <v>63411175.607099995</v>
      </c>
    </row>
    <row r="16" spans="1:8">
      <c r="A16" s="446">
        <v>9</v>
      </c>
      <c r="B16" s="445" t="s">
        <v>950</v>
      </c>
      <c r="C16" s="683"/>
      <c r="D16" s="684"/>
      <c r="E16" s="684"/>
      <c r="F16" s="684"/>
      <c r="G16" s="683"/>
      <c r="H16" s="683">
        <f t="shared" si="0"/>
        <v>0</v>
      </c>
    </row>
    <row r="17" spans="1:10">
      <c r="A17" s="446">
        <v>10</v>
      </c>
      <c r="B17" s="449" t="s">
        <v>514</v>
      </c>
      <c r="C17" s="683"/>
      <c r="D17" s="684">
        <v>1668105.7901000001</v>
      </c>
      <c r="E17" s="684">
        <v>12343293.399499999</v>
      </c>
      <c r="F17" s="684">
        <v>26175622.445799999</v>
      </c>
      <c r="G17" s="683"/>
      <c r="H17" s="683">
        <f t="shared" si="0"/>
        <v>40187021.635399997</v>
      </c>
    </row>
    <row r="18" spans="1:10">
      <c r="A18" s="446">
        <v>11</v>
      </c>
      <c r="B18" s="445" t="s">
        <v>68</v>
      </c>
      <c r="C18" s="683"/>
      <c r="D18" s="684"/>
      <c r="E18" s="684"/>
      <c r="F18" s="684"/>
      <c r="G18" s="683"/>
      <c r="H18" s="683">
        <f t="shared" si="0"/>
        <v>0</v>
      </c>
    </row>
    <row r="19" spans="1:10">
      <c r="A19" s="446">
        <v>12</v>
      </c>
      <c r="B19" s="445" t="s">
        <v>69</v>
      </c>
      <c r="C19" s="683"/>
      <c r="D19" s="683"/>
      <c r="E19" s="683"/>
      <c r="F19" s="683"/>
      <c r="G19" s="683"/>
      <c r="H19" s="683">
        <f t="shared" si="0"/>
        <v>0</v>
      </c>
    </row>
    <row r="20" spans="1:10">
      <c r="A20" s="448">
        <v>13</v>
      </c>
      <c r="B20" s="447" t="s">
        <v>70</v>
      </c>
      <c r="C20" s="683"/>
      <c r="D20" s="683"/>
      <c r="E20" s="683"/>
      <c r="F20" s="683"/>
      <c r="G20" s="683"/>
      <c r="H20" s="683">
        <f t="shared" si="0"/>
        <v>0</v>
      </c>
    </row>
    <row r="21" spans="1:10">
      <c r="A21" s="446">
        <v>14</v>
      </c>
      <c r="B21" s="445" t="s">
        <v>500</v>
      </c>
      <c r="C21" s="684">
        <f>5368816.217+2919175</f>
        <v>8287991.2170000002</v>
      </c>
      <c r="D21" s="684">
        <f>15709917.7+487680.4</f>
        <v>16197598.1</v>
      </c>
      <c r="E21" s="683"/>
      <c r="F21" s="683"/>
      <c r="G21" s="684">
        <f>3047455.36+6817059</f>
        <v>9864514.3599999994</v>
      </c>
      <c r="H21" s="683">
        <f>SUM(C21:G21)</f>
        <v>34350103.677000001</v>
      </c>
      <c r="J21" s="720"/>
    </row>
    <row r="22" spans="1:10">
      <c r="A22" s="444">
        <v>15</v>
      </c>
      <c r="B22" s="443" t="s">
        <v>66</v>
      </c>
      <c r="C22" s="683">
        <f>SUM(C18:C21)+SUM(C8:C16)</f>
        <v>35801077.690200001</v>
      </c>
      <c r="D22" s="683">
        <f t="shared" ref="D22:H22" si="1">SUM(D18:D21)+SUM(D8:D16)</f>
        <v>80273970.554299995</v>
      </c>
      <c r="E22" s="683">
        <f t="shared" si="1"/>
        <v>201513493.74400002</v>
      </c>
      <c r="F22" s="683">
        <f t="shared" si="1"/>
        <v>179469271.15020001</v>
      </c>
      <c r="G22" s="683">
        <f t="shared" si="1"/>
        <v>37651198.543300003</v>
      </c>
      <c r="H22" s="683">
        <f t="shared" si="1"/>
        <v>534709011.68199998</v>
      </c>
    </row>
    <row r="24" spans="1:10">
      <c r="H24" s="717"/>
    </row>
    <row r="26" spans="1:10" ht="36">
      <c r="B26" s="404" t="s">
        <v>678</v>
      </c>
      <c r="H26" s="720"/>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scale="3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26"/>
  <sheetViews>
    <sheetView showGridLines="0" zoomScaleNormal="100" workbookViewId="0">
      <selection activeCell="B8" sqref="B8"/>
    </sheetView>
  </sheetViews>
  <sheetFormatPr defaultColWidth="9.21875" defaultRowHeight="12"/>
  <cols>
    <col min="1" max="1" width="11.77734375" style="390" bestFit="1" customWidth="1"/>
    <col min="2" max="2" width="86.77734375" style="387" customWidth="1"/>
    <col min="3" max="4" width="31.5546875" style="387" customWidth="1"/>
    <col min="5" max="5" width="16.44140625" style="387" bestFit="1" customWidth="1"/>
    <col min="6" max="6" width="14.21875" style="387" bestFit="1" customWidth="1"/>
    <col min="7" max="7" width="20" style="387" bestFit="1" customWidth="1"/>
    <col min="8" max="8" width="25.21875" style="387" bestFit="1" customWidth="1"/>
    <col min="9" max="9" width="15.109375" style="387" bestFit="1" customWidth="1"/>
    <col min="10" max="16384" width="9.21875" style="387"/>
  </cols>
  <sheetData>
    <row r="1" spans="1:8" ht="13.8">
      <c r="A1" s="386" t="s">
        <v>108</v>
      </c>
      <c r="B1" s="305" t="str">
        <f>Info!C2</f>
        <v>სს " პაშა ბანკი საქართველო"</v>
      </c>
      <c r="C1" s="462"/>
      <c r="D1" s="462"/>
      <c r="E1" s="462"/>
      <c r="F1" s="462"/>
      <c r="G1" s="462"/>
      <c r="H1" s="462"/>
    </row>
    <row r="2" spans="1:8">
      <c r="A2" s="386" t="s">
        <v>109</v>
      </c>
      <c r="B2" s="389">
        <f>'1. key ratios'!B2</f>
        <v>45291</v>
      </c>
      <c r="C2" s="462"/>
      <c r="D2" s="462"/>
      <c r="E2" s="462"/>
      <c r="F2" s="462"/>
      <c r="G2" s="462"/>
      <c r="H2" s="462"/>
    </row>
    <row r="3" spans="1:8">
      <c r="A3" s="388" t="s">
        <v>501</v>
      </c>
      <c r="B3" s="462"/>
      <c r="C3" s="462"/>
      <c r="D3" s="462"/>
      <c r="E3" s="462"/>
      <c r="F3" s="462"/>
      <c r="G3" s="462"/>
      <c r="H3" s="462"/>
    </row>
    <row r="4" spans="1:8">
      <c r="A4" s="463"/>
      <c r="B4" s="462"/>
      <c r="C4" s="461" t="s">
        <v>502</v>
      </c>
      <c r="D4" s="461" t="s">
        <v>503</v>
      </c>
      <c r="E4" s="461" t="s">
        <v>504</v>
      </c>
      <c r="F4" s="461" t="s">
        <v>505</v>
      </c>
      <c r="G4" s="461" t="s">
        <v>506</v>
      </c>
      <c r="H4" s="461" t="s">
        <v>507</v>
      </c>
    </row>
    <row r="5" spans="1:8" ht="34.049999999999997" customHeight="1">
      <c r="A5" s="804" t="s">
        <v>867</v>
      </c>
      <c r="B5" s="805"/>
      <c r="C5" s="818" t="s">
        <v>596</v>
      </c>
      <c r="D5" s="818"/>
      <c r="E5" s="818" t="s">
        <v>866</v>
      </c>
      <c r="F5" s="816" t="s">
        <v>865</v>
      </c>
      <c r="G5" s="816" t="s">
        <v>511</v>
      </c>
      <c r="H5" s="459" t="s">
        <v>864</v>
      </c>
    </row>
    <row r="6" spans="1:8" ht="24">
      <c r="A6" s="808"/>
      <c r="B6" s="809"/>
      <c r="C6" s="460" t="s">
        <v>512</v>
      </c>
      <c r="D6" s="460" t="s">
        <v>513</v>
      </c>
      <c r="E6" s="818"/>
      <c r="F6" s="817"/>
      <c r="G6" s="817"/>
      <c r="H6" s="459" t="s">
        <v>863</v>
      </c>
    </row>
    <row r="7" spans="1:8">
      <c r="A7" s="457">
        <v>1</v>
      </c>
      <c r="B7" s="445" t="s">
        <v>134</v>
      </c>
      <c r="C7" s="685"/>
      <c r="D7" s="685">
        <v>36695713</v>
      </c>
      <c r="E7" s="685"/>
      <c r="F7" s="685"/>
      <c r="G7" s="685"/>
      <c r="H7" s="451">
        <f t="shared" ref="H7:H20" si="0">C7+D7-E7-F7</f>
        <v>36695713</v>
      </c>
    </row>
    <row r="8" spans="1:8" ht="14.55" customHeight="1">
      <c r="A8" s="457">
        <v>2</v>
      </c>
      <c r="B8" s="445" t="s">
        <v>135</v>
      </c>
      <c r="C8" s="685"/>
      <c r="D8" s="685"/>
      <c r="E8" s="685"/>
      <c r="F8" s="685"/>
      <c r="G8" s="685"/>
      <c r="H8" s="451">
        <f t="shared" si="0"/>
        <v>0</v>
      </c>
    </row>
    <row r="9" spans="1:8">
      <c r="A9" s="457">
        <v>3</v>
      </c>
      <c r="B9" s="445" t="s">
        <v>136</v>
      </c>
      <c r="C9" s="685"/>
      <c r="D9" s="685"/>
      <c r="E9" s="685"/>
      <c r="F9" s="685"/>
      <c r="G9" s="685"/>
      <c r="H9" s="451">
        <f t="shared" si="0"/>
        <v>0</v>
      </c>
    </row>
    <row r="10" spans="1:8">
      <c r="A10" s="457">
        <v>4</v>
      </c>
      <c r="B10" s="445" t="s">
        <v>137</v>
      </c>
      <c r="C10" s="685"/>
      <c r="D10" s="685"/>
      <c r="E10" s="685"/>
      <c r="F10" s="685"/>
      <c r="G10" s="685"/>
      <c r="H10" s="451">
        <f t="shared" si="0"/>
        <v>0</v>
      </c>
    </row>
    <row r="11" spans="1:8">
      <c r="A11" s="457">
        <v>5</v>
      </c>
      <c r="B11" s="445" t="s">
        <v>949</v>
      </c>
      <c r="C11" s="685"/>
      <c r="D11" s="685"/>
      <c r="E11" s="685"/>
      <c r="F11" s="685"/>
      <c r="G11" s="685"/>
      <c r="H11" s="451">
        <f t="shared" si="0"/>
        <v>0</v>
      </c>
    </row>
    <row r="12" spans="1:8">
      <c r="A12" s="457">
        <v>6</v>
      </c>
      <c r="B12" s="445" t="s">
        <v>138</v>
      </c>
      <c r="C12" s="685"/>
      <c r="D12" s="685">
        <v>67677148</v>
      </c>
      <c r="E12" s="685"/>
      <c r="F12" s="685"/>
      <c r="G12" s="685"/>
      <c r="H12" s="451">
        <f t="shared" si="0"/>
        <v>67677148</v>
      </c>
    </row>
    <row r="13" spans="1:8">
      <c r="A13" s="457">
        <v>7</v>
      </c>
      <c r="B13" s="445" t="s">
        <v>71</v>
      </c>
      <c r="C13" s="685">
        <v>25811562.9439</v>
      </c>
      <c r="D13" s="685">
        <f>316510269.262-235.95</f>
        <v>316510033.31200004</v>
      </c>
      <c r="E13" s="685">
        <v>9746725.8621999994</v>
      </c>
      <c r="F13" s="685"/>
      <c r="G13" s="685"/>
      <c r="H13" s="451">
        <f t="shared" si="0"/>
        <v>332574870.3937</v>
      </c>
    </row>
    <row r="14" spans="1:8">
      <c r="A14" s="457">
        <v>8</v>
      </c>
      <c r="B14" s="447" t="s">
        <v>72</v>
      </c>
      <c r="C14" s="685">
        <v>4538656.4643000001</v>
      </c>
      <c r="D14" s="685">
        <v>65954616.203199998</v>
      </c>
      <c r="E14" s="685">
        <v>7082097.0603999998</v>
      </c>
      <c r="F14" s="685"/>
      <c r="G14" s="685">
        <v>1798027.48</v>
      </c>
      <c r="H14" s="451">
        <f t="shared" si="0"/>
        <v>63411175.607100002</v>
      </c>
    </row>
    <row r="15" spans="1:8">
      <c r="A15" s="457">
        <v>9</v>
      </c>
      <c r="B15" s="445" t="s">
        <v>950</v>
      </c>
      <c r="C15" s="685"/>
      <c r="D15" s="685"/>
      <c r="E15" s="685"/>
      <c r="F15" s="685"/>
      <c r="G15" s="685"/>
      <c r="H15" s="451">
        <f t="shared" si="0"/>
        <v>0</v>
      </c>
    </row>
    <row r="16" spans="1:8">
      <c r="A16" s="457">
        <v>10</v>
      </c>
      <c r="B16" s="449" t="s">
        <v>514</v>
      </c>
      <c r="C16" s="685">
        <v>29567123.0099</v>
      </c>
      <c r="D16" s="685">
        <v>21308843.092900001</v>
      </c>
      <c r="E16" s="685">
        <v>10688944.467399999</v>
      </c>
      <c r="F16" s="685"/>
      <c r="G16" s="685"/>
      <c r="H16" s="451">
        <f t="shared" si="0"/>
        <v>40187021.635399997</v>
      </c>
    </row>
    <row r="17" spans="1:10">
      <c r="A17" s="457">
        <v>11</v>
      </c>
      <c r="B17" s="445" t="s">
        <v>68</v>
      </c>
      <c r="C17" s="685"/>
      <c r="D17" s="685"/>
      <c r="E17" s="685"/>
      <c r="F17" s="685"/>
      <c r="G17" s="685"/>
      <c r="H17" s="451">
        <f t="shared" si="0"/>
        <v>0</v>
      </c>
    </row>
    <row r="18" spans="1:10">
      <c r="A18" s="457">
        <v>12</v>
      </c>
      <c r="B18" s="445" t="s">
        <v>69</v>
      </c>
      <c r="C18" s="685"/>
      <c r="D18" s="685"/>
      <c r="E18" s="685"/>
      <c r="F18" s="685"/>
      <c r="G18" s="685"/>
      <c r="H18" s="451">
        <f t="shared" si="0"/>
        <v>0</v>
      </c>
    </row>
    <row r="19" spans="1:10">
      <c r="A19" s="458">
        <v>13</v>
      </c>
      <c r="B19" s="447" t="s">
        <v>70</v>
      </c>
      <c r="C19" s="685"/>
      <c r="D19" s="685"/>
      <c r="E19" s="685"/>
      <c r="F19" s="685"/>
      <c r="G19" s="685"/>
      <c r="H19" s="451">
        <f t="shared" si="0"/>
        <v>0</v>
      </c>
    </row>
    <row r="20" spans="1:10">
      <c r="A20" s="457">
        <v>14</v>
      </c>
      <c r="B20" s="445" t="s">
        <v>500</v>
      </c>
      <c r="C20" s="685"/>
      <c r="D20" s="685">
        <v>34350104</v>
      </c>
      <c r="E20" s="685"/>
      <c r="F20" s="685"/>
      <c r="G20" s="685"/>
      <c r="H20" s="451">
        <f t="shared" si="0"/>
        <v>34350104</v>
      </c>
    </row>
    <row r="21" spans="1:10" s="391" customFormat="1">
      <c r="A21" s="456">
        <v>15</v>
      </c>
      <c r="B21" s="455" t="s">
        <v>66</v>
      </c>
      <c r="C21" s="686">
        <f t="shared" ref="C21:H21" si="1">SUM(C7:C15)+SUM(C17:C20)</f>
        <v>30350219.408199999</v>
      </c>
      <c r="D21" s="686">
        <f t="shared" si="1"/>
        <v>521187614.51520002</v>
      </c>
      <c r="E21" s="686">
        <f t="shared" si="1"/>
        <v>16828822.922600001</v>
      </c>
      <c r="F21" s="686">
        <f t="shared" si="1"/>
        <v>0</v>
      </c>
      <c r="G21" s="686">
        <f t="shared" si="1"/>
        <v>1798027.48</v>
      </c>
      <c r="H21" s="451">
        <f t="shared" si="1"/>
        <v>534709011.00080001</v>
      </c>
      <c r="I21" s="718"/>
      <c r="J21" s="719"/>
    </row>
    <row r="22" spans="1:10">
      <c r="A22" s="454">
        <v>16</v>
      </c>
      <c r="B22" s="453" t="s">
        <v>515</v>
      </c>
      <c r="C22" s="685">
        <v>30108553.148200002</v>
      </c>
      <c r="D22" s="685">
        <v>322200257.8423</v>
      </c>
      <c r="E22" s="685">
        <v>16202318.964</v>
      </c>
      <c r="F22" s="685"/>
      <c r="G22" s="685">
        <v>1798027.48</v>
      </c>
      <c r="H22" s="451">
        <f>C22+D22-E22-F22</f>
        <v>336106492.02649999</v>
      </c>
    </row>
    <row r="23" spans="1:10">
      <c r="A23" s="454">
        <v>17</v>
      </c>
      <c r="B23" s="453" t="s">
        <v>516</v>
      </c>
      <c r="C23" s="685"/>
      <c r="D23" s="685">
        <f>60178798.9481+5469399.97</f>
        <v>65648198.918099999</v>
      </c>
      <c r="E23" s="685">
        <v>418178.07520000002</v>
      </c>
      <c r="F23" s="685"/>
      <c r="G23" s="685"/>
      <c r="H23" s="451">
        <f>C23+D23-E23-F23</f>
        <v>65230020.842900001</v>
      </c>
    </row>
    <row r="25" spans="1:10">
      <c r="E25" s="717"/>
    </row>
    <row r="26" spans="1:10" ht="42.45" customHeight="1">
      <c r="B26" s="404" t="s">
        <v>678</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paperSize="9" scale="3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37"/>
  <sheetViews>
    <sheetView showGridLines="0" zoomScaleNormal="100" workbookViewId="0">
      <selection activeCell="B8" sqref="B8"/>
    </sheetView>
  </sheetViews>
  <sheetFormatPr defaultColWidth="9.21875" defaultRowHeight="12"/>
  <cols>
    <col min="1" max="1" width="11" style="387" bestFit="1" customWidth="1"/>
    <col min="2" max="2" width="93.44140625" style="387" customWidth="1"/>
    <col min="3" max="4" width="35" style="387" customWidth="1"/>
    <col min="5" max="7" width="22" style="387" customWidth="1"/>
    <col min="8" max="8" width="42.21875" style="387" bestFit="1" customWidth="1"/>
    <col min="9" max="16384" width="9.21875" style="387"/>
  </cols>
  <sheetData>
    <row r="1" spans="1:8" ht="13.8">
      <c r="A1" s="386" t="s">
        <v>108</v>
      </c>
      <c r="B1" s="305" t="str">
        <f>Info!C2</f>
        <v>სს " პაშა ბანკი საქართველო"</v>
      </c>
      <c r="C1" s="462"/>
      <c r="D1" s="462"/>
      <c r="E1" s="462"/>
      <c r="F1" s="462"/>
      <c r="G1" s="462"/>
      <c r="H1" s="462"/>
    </row>
    <row r="2" spans="1:8">
      <c r="A2" s="386" t="s">
        <v>109</v>
      </c>
      <c r="B2" s="389">
        <f>'1. key ratios'!B2</f>
        <v>45291</v>
      </c>
      <c r="C2" s="462"/>
      <c r="D2" s="462"/>
      <c r="E2" s="462"/>
      <c r="F2" s="462"/>
      <c r="G2" s="462"/>
      <c r="H2" s="462"/>
    </row>
    <row r="3" spans="1:8">
      <c r="A3" s="388" t="s">
        <v>517</v>
      </c>
      <c r="B3" s="462"/>
      <c r="C3" s="462"/>
      <c r="D3" s="462"/>
      <c r="E3" s="462"/>
      <c r="F3" s="462"/>
      <c r="G3" s="462"/>
      <c r="H3" s="462"/>
    </row>
    <row r="4" spans="1:8">
      <c r="A4" s="462"/>
      <c r="B4" s="462"/>
      <c r="C4" s="461" t="s">
        <v>502</v>
      </c>
      <c r="D4" s="461" t="s">
        <v>503</v>
      </c>
      <c r="E4" s="461" t="s">
        <v>504</v>
      </c>
      <c r="F4" s="461" t="s">
        <v>505</v>
      </c>
      <c r="G4" s="461" t="s">
        <v>506</v>
      </c>
      <c r="H4" s="461" t="s">
        <v>507</v>
      </c>
    </row>
    <row r="5" spans="1:8" ht="41.55" customHeight="1">
      <c r="A5" s="804" t="s">
        <v>869</v>
      </c>
      <c r="B5" s="805"/>
      <c r="C5" s="819" t="s">
        <v>596</v>
      </c>
      <c r="D5" s="820"/>
      <c r="E5" s="816" t="s">
        <v>866</v>
      </c>
      <c r="F5" s="816" t="s">
        <v>865</v>
      </c>
      <c r="G5" s="816" t="s">
        <v>511</v>
      </c>
      <c r="H5" s="459" t="s">
        <v>864</v>
      </c>
    </row>
    <row r="6" spans="1:8" ht="24">
      <c r="A6" s="808"/>
      <c r="B6" s="809"/>
      <c r="C6" s="460" t="s">
        <v>512</v>
      </c>
      <c r="D6" s="460" t="s">
        <v>513</v>
      </c>
      <c r="E6" s="817"/>
      <c r="F6" s="817"/>
      <c r="G6" s="817"/>
      <c r="H6" s="459" t="s">
        <v>863</v>
      </c>
    </row>
    <row r="7" spans="1:8">
      <c r="A7" s="452">
        <v>1</v>
      </c>
      <c r="B7" s="465" t="s">
        <v>518</v>
      </c>
      <c r="C7" s="685">
        <v>423897.20319999999</v>
      </c>
      <c r="D7" s="685">
        <v>44475366.549000002</v>
      </c>
      <c r="E7" s="685">
        <v>628241.2270999999</v>
      </c>
      <c r="F7" s="685"/>
      <c r="G7" s="685">
        <v>196982.65</v>
      </c>
      <c r="H7" s="451">
        <f t="shared" ref="H7:H34" si="0">C7+D7-E7-F7</f>
        <v>44271022.5251</v>
      </c>
    </row>
    <row r="8" spans="1:8">
      <c r="A8" s="452">
        <v>2</v>
      </c>
      <c r="B8" s="465" t="s">
        <v>519</v>
      </c>
      <c r="C8" s="685">
        <v>254761.82329999999</v>
      </c>
      <c r="D8" s="685">
        <v>161611878.81910002</v>
      </c>
      <c r="E8" s="685">
        <v>1416233.3524000002</v>
      </c>
      <c r="F8" s="685"/>
      <c r="G8" s="685">
        <v>54268.68</v>
      </c>
      <c r="H8" s="451">
        <f t="shared" si="0"/>
        <v>160450407.29000002</v>
      </c>
    </row>
    <row r="9" spans="1:8">
      <c r="A9" s="452">
        <v>3</v>
      </c>
      <c r="B9" s="465" t="s">
        <v>868</v>
      </c>
      <c r="C9" s="685">
        <v>0</v>
      </c>
      <c r="D9" s="685">
        <v>552259.18999999994</v>
      </c>
      <c r="E9" s="685">
        <v>5048.4211000000005</v>
      </c>
      <c r="F9" s="685"/>
      <c r="G9" s="685" t="s">
        <v>992</v>
      </c>
      <c r="H9" s="451">
        <f t="shared" si="0"/>
        <v>547210.76889999991</v>
      </c>
    </row>
    <row r="10" spans="1:8">
      <c r="A10" s="452">
        <v>4</v>
      </c>
      <c r="B10" s="465" t="s">
        <v>520</v>
      </c>
      <c r="C10" s="685">
        <v>6684197.6140000001</v>
      </c>
      <c r="D10" s="685">
        <v>17566245.9285</v>
      </c>
      <c r="E10" s="685">
        <v>2385327.9169999994</v>
      </c>
      <c r="F10" s="685"/>
      <c r="G10" s="685" t="s">
        <v>992</v>
      </c>
      <c r="H10" s="451">
        <f t="shared" si="0"/>
        <v>21865115.625500001</v>
      </c>
    </row>
    <row r="11" spans="1:8">
      <c r="A11" s="452">
        <v>5</v>
      </c>
      <c r="B11" s="465" t="s">
        <v>521</v>
      </c>
      <c r="C11" s="685">
        <v>0</v>
      </c>
      <c r="D11" s="685">
        <v>42561411.785300002</v>
      </c>
      <c r="E11" s="685">
        <v>65329.138400000011</v>
      </c>
      <c r="F11" s="685"/>
      <c r="G11" s="685">
        <v>0</v>
      </c>
      <c r="H11" s="451">
        <f t="shared" si="0"/>
        <v>42496082.646899998</v>
      </c>
    </row>
    <row r="12" spans="1:8">
      <c r="A12" s="452">
        <v>6</v>
      </c>
      <c r="B12" s="465" t="s">
        <v>522</v>
      </c>
      <c r="C12" s="685">
        <v>433419.89870000002</v>
      </c>
      <c r="D12" s="685">
        <v>1419310.9375</v>
      </c>
      <c r="E12" s="685">
        <v>228445.88080000004</v>
      </c>
      <c r="F12" s="685"/>
      <c r="G12" s="685">
        <v>16889.29</v>
      </c>
      <c r="H12" s="451">
        <f t="shared" si="0"/>
        <v>1624284.9553999999</v>
      </c>
    </row>
    <row r="13" spans="1:8">
      <c r="A13" s="452">
        <v>7</v>
      </c>
      <c r="B13" s="465" t="s">
        <v>523</v>
      </c>
      <c r="C13" s="685">
        <v>17246.416700000002</v>
      </c>
      <c r="D13" s="685">
        <v>782758.33900000004</v>
      </c>
      <c r="E13" s="685">
        <v>25714.5442</v>
      </c>
      <c r="F13" s="685"/>
      <c r="G13" s="685">
        <v>7946.98</v>
      </c>
      <c r="H13" s="451">
        <f t="shared" si="0"/>
        <v>774290.21150000009</v>
      </c>
    </row>
    <row r="14" spans="1:8">
      <c r="A14" s="452">
        <v>8</v>
      </c>
      <c r="B14" s="465" t="s">
        <v>524</v>
      </c>
      <c r="C14" s="685">
        <v>1808412.6592000001</v>
      </c>
      <c r="D14" s="685">
        <v>7081219.6403999999</v>
      </c>
      <c r="E14" s="685">
        <v>337627.02240000002</v>
      </c>
      <c r="F14" s="685"/>
      <c r="G14" s="685">
        <v>4742.74</v>
      </c>
      <c r="H14" s="451">
        <f t="shared" si="0"/>
        <v>8552005.2772000004</v>
      </c>
    </row>
    <row r="15" spans="1:8">
      <c r="A15" s="452">
        <v>9</v>
      </c>
      <c r="B15" s="465" t="s">
        <v>525</v>
      </c>
      <c r="C15" s="685">
        <v>0</v>
      </c>
      <c r="D15" s="685">
        <v>8927105.4503000006</v>
      </c>
      <c r="E15" s="685">
        <v>94244.338199999969</v>
      </c>
      <c r="F15" s="685"/>
      <c r="G15" s="685">
        <v>3257.35</v>
      </c>
      <c r="H15" s="451">
        <f t="shared" si="0"/>
        <v>8832861.1121000014</v>
      </c>
    </row>
    <row r="16" spans="1:8">
      <c r="A16" s="452">
        <v>10</v>
      </c>
      <c r="B16" s="465" t="s">
        <v>526</v>
      </c>
      <c r="C16" s="685">
        <v>0</v>
      </c>
      <c r="D16" s="685">
        <v>194606.43669999999</v>
      </c>
      <c r="E16" s="685">
        <v>6789.8062000000009</v>
      </c>
      <c r="F16" s="685"/>
      <c r="G16" s="685" t="s">
        <v>992</v>
      </c>
      <c r="H16" s="451">
        <f t="shared" si="0"/>
        <v>187816.6305</v>
      </c>
    </row>
    <row r="17" spans="1:8">
      <c r="A17" s="452">
        <v>11</v>
      </c>
      <c r="B17" s="465" t="s">
        <v>527</v>
      </c>
      <c r="C17" s="685">
        <v>6099.2515000000003</v>
      </c>
      <c r="D17" s="685">
        <v>15914380.624</v>
      </c>
      <c r="E17" s="685">
        <v>159534.89209999997</v>
      </c>
      <c r="F17" s="685"/>
      <c r="G17" s="685" t="s">
        <v>992</v>
      </c>
      <c r="H17" s="451">
        <f t="shared" si="0"/>
        <v>15760944.983399998</v>
      </c>
    </row>
    <row r="18" spans="1:8">
      <c r="A18" s="452">
        <v>12</v>
      </c>
      <c r="B18" s="465" t="s">
        <v>528</v>
      </c>
      <c r="C18" s="685">
        <v>609722.51939999999</v>
      </c>
      <c r="D18" s="685">
        <v>18725092.962000001</v>
      </c>
      <c r="E18" s="685">
        <v>712328.52039999887</v>
      </c>
      <c r="F18" s="685"/>
      <c r="G18" s="685">
        <v>139522.29999999999</v>
      </c>
      <c r="H18" s="451">
        <f t="shared" si="0"/>
        <v>18622486.961000003</v>
      </c>
    </row>
    <row r="19" spans="1:8">
      <c r="A19" s="452">
        <v>13</v>
      </c>
      <c r="B19" s="465" t="s">
        <v>529</v>
      </c>
      <c r="C19" s="685">
        <v>583385.27289999998</v>
      </c>
      <c r="D19" s="685">
        <v>966110.24849999999</v>
      </c>
      <c r="E19" s="685">
        <v>335921.57550000004</v>
      </c>
      <c r="F19" s="685"/>
      <c r="G19" s="685">
        <v>11316.49</v>
      </c>
      <c r="H19" s="451">
        <f t="shared" si="0"/>
        <v>1213573.9458999999</v>
      </c>
    </row>
    <row r="20" spans="1:8">
      <c r="A20" s="452">
        <v>14</v>
      </c>
      <c r="B20" s="465" t="s">
        <v>530</v>
      </c>
      <c r="C20" s="685">
        <v>2450030.8385999999</v>
      </c>
      <c r="D20" s="685">
        <v>22667983.552499998</v>
      </c>
      <c r="E20" s="685">
        <v>592121.96479999996</v>
      </c>
      <c r="F20" s="685"/>
      <c r="G20" s="685">
        <v>500.39</v>
      </c>
      <c r="H20" s="451">
        <f t="shared" si="0"/>
        <v>24525892.426299997</v>
      </c>
    </row>
    <row r="21" spans="1:8">
      <c r="A21" s="452">
        <v>15</v>
      </c>
      <c r="B21" s="465" t="s">
        <v>531</v>
      </c>
      <c r="C21" s="685">
        <v>8954307.6907000002</v>
      </c>
      <c r="D21" s="685">
        <v>2948922.3651999999</v>
      </c>
      <c r="E21" s="685">
        <v>1782795.5268999999</v>
      </c>
      <c r="F21" s="685"/>
      <c r="G21" s="685">
        <v>8804.52</v>
      </c>
      <c r="H21" s="451">
        <f t="shared" si="0"/>
        <v>10120434.528999999</v>
      </c>
    </row>
    <row r="22" spans="1:8">
      <c r="A22" s="452">
        <v>16</v>
      </c>
      <c r="B22" s="465" t="s">
        <v>532</v>
      </c>
      <c r="C22" s="685">
        <v>17601.296399999999</v>
      </c>
      <c r="D22" s="685">
        <v>2803799.6866000001</v>
      </c>
      <c r="E22" s="685">
        <v>61903.329700000002</v>
      </c>
      <c r="F22" s="685"/>
      <c r="G22" s="685">
        <v>11690.59</v>
      </c>
      <c r="H22" s="451">
        <f t="shared" si="0"/>
        <v>2759497.6532999999</v>
      </c>
    </row>
    <row r="23" spans="1:8">
      <c r="A23" s="452">
        <v>17</v>
      </c>
      <c r="B23" s="465" t="s">
        <v>533</v>
      </c>
      <c r="C23" s="685">
        <v>0</v>
      </c>
      <c r="D23" s="685">
        <v>8937862.7467</v>
      </c>
      <c r="E23" s="685">
        <v>43062.099400000006</v>
      </c>
      <c r="F23" s="685"/>
      <c r="G23" s="685">
        <v>1264.7</v>
      </c>
      <c r="H23" s="451">
        <f t="shared" si="0"/>
        <v>8894800.6472999994</v>
      </c>
    </row>
    <row r="24" spans="1:8">
      <c r="A24" s="452">
        <v>18</v>
      </c>
      <c r="B24" s="465" t="s">
        <v>534</v>
      </c>
      <c r="C24" s="685">
        <v>65972.864000000001</v>
      </c>
      <c r="D24" s="685">
        <v>60041338.760899998</v>
      </c>
      <c r="E24" s="685">
        <v>638871.47120000003</v>
      </c>
      <c r="F24" s="685"/>
      <c r="G24" s="685">
        <v>23168.76</v>
      </c>
      <c r="H24" s="451">
        <f t="shared" si="0"/>
        <v>59468440.153700002</v>
      </c>
    </row>
    <row r="25" spans="1:8">
      <c r="A25" s="452">
        <v>19</v>
      </c>
      <c r="B25" s="465" t="s">
        <v>535</v>
      </c>
      <c r="C25" s="685">
        <v>0</v>
      </c>
      <c r="D25" s="685">
        <v>5327809.3952000001</v>
      </c>
      <c r="E25" s="685">
        <v>19598.768500000009</v>
      </c>
      <c r="F25" s="685"/>
      <c r="G25" s="685">
        <v>4627.8599999999997</v>
      </c>
      <c r="H25" s="451">
        <f t="shared" si="0"/>
        <v>5308210.6266999999</v>
      </c>
    </row>
    <row r="26" spans="1:8">
      <c r="A26" s="452">
        <v>20</v>
      </c>
      <c r="B26" s="465" t="s">
        <v>536</v>
      </c>
      <c r="C26" s="685">
        <v>41164.451099999998</v>
      </c>
      <c r="D26" s="685">
        <v>1540276.01</v>
      </c>
      <c r="E26" s="685">
        <v>94460.889399999971</v>
      </c>
      <c r="F26" s="685"/>
      <c r="G26" s="685">
        <v>75972</v>
      </c>
      <c r="H26" s="451">
        <f t="shared" si="0"/>
        <v>1486979.5717</v>
      </c>
    </row>
    <row r="27" spans="1:8">
      <c r="A27" s="452">
        <v>21</v>
      </c>
      <c r="B27" s="465" t="s">
        <v>537</v>
      </c>
      <c r="C27" s="685">
        <v>2696.7838999999999</v>
      </c>
      <c r="D27" s="685">
        <v>446832.93</v>
      </c>
      <c r="E27" s="685">
        <v>19980.586100000008</v>
      </c>
      <c r="F27" s="685"/>
      <c r="G27" s="685">
        <v>1019.98</v>
      </c>
      <c r="H27" s="451">
        <f t="shared" si="0"/>
        <v>429549.12779999996</v>
      </c>
    </row>
    <row r="28" spans="1:8">
      <c r="A28" s="452">
        <v>22</v>
      </c>
      <c r="B28" s="465" t="s">
        <v>538</v>
      </c>
      <c r="C28" s="685">
        <v>1853.9449</v>
      </c>
      <c r="D28" s="685">
        <v>5307562.59</v>
      </c>
      <c r="E28" s="685">
        <v>61670.253100000002</v>
      </c>
      <c r="F28" s="685"/>
      <c r="G28" s="685">
        <v>50355.38</v>
      </c>
      <c r="H28" s="451">
        <f t="shared" si="0"/>
        <v>5247746.2817999991</v>
      </c>
    </row>
    <row r="29" spans="1:8">
      <c r="A29" s="452">
        <v>23</v>
      </c>
      <c r="B29" s="465" t="s">
        <v>539</v>
      </c>
      <c r="C29" s="685">
        <v>2824751.6606000001</v>
      </c>
      <c r="D29" s="685">
        <v>10497660.428300001</v>
      </c>
      <c r="E29" s="685">
        <v>923905.36219999974</v>
      </c>
      <c r="F29" s="685"/>
      <c r="G29" s="685">
        <v>108155.86</v>
      </c>
      <c r="H29" s="451">
        <f t="shared" si="0"/>
        <v>12398506.7267</v>
      </c>
    </row>
    <row r="30" spans="1:8">
      <c r="A30" s="452">
        <v>24</v>
      </c>
      <c r="B30" s="465" t="s">
        <v>540</v>
      </c>
      <c r="C30" s="685">
        <v>2402534.6896000002</v>
      </c>
      <c r="D30" s="685">
        <v>8310099.7988</v>
      </c>
      <c r="E30" s="685">
        <v>1801514.1623999998</v>
      </c>
      <c r="F30" s="685"/>
      <c r="G30" s="685" t="s">
        <v>992</v>
      </c>
      <c r="H30" s="451">
        <f t="shared" si="0"/>
        <v>8911120.3260000013</v>
      </c>
    </row>
    <row r="31" spans="1:8">
      <c r="A31" s="452">
        <v>25</v>
      </c>
      <c r="B31" s="465" t="s">
        <v>541</v>
      </c>
      <c r="C31" s="685">
        <v>915958.2402</v>
      </c>
      <c r="D31" s="685">
        <v>5938168.0346999997</v>
      </c>
      <c r="E31" s="685">
        <v>1054160.9035999998</v>
      </c>
      <c r="F31" s="685"/>
      <c r="G31" s="685">
        <v>254928.44</v>
      </c>
      <c r="H31" s="451">
        <f t="shared" si="0"/>
        <v>5799965.3712999998</v>
      </c>
    </row>
    <row r="32" spans="1:8">
      <c r="A32" s="452">
        <v>26</v>
      </c>
      <c r="B32" s="465" t="s">
        <v>542</v>
      </c>
      <c r="C32" s="685">
        <v>1852204.2895</v>
      </c>
      <c r="D32" s="685">
        <v>31291447.306299999</v>
      </c>
      <c r="E32" s="685">
        <v>3333990.9695000062</v>
      </c>
      <c r="F32" s="685"/>
      <c r="G32" s="685">
        <v>822612.52</v>
      </c>
      <c r="H32" s="451">
        <f t="shared" si="0"/>
        <v>29809660.626299992</v>
      </c>
    </row>
    <row r="33" spans="1:9">
      <c r="A33" s="452">
        <v>27</v>
      </c>
      <c r="B33" s="452" t="s">
        <v>99</v>
      </c>
      <c r="C33" s="685"/>
      <c r="D33" s="685">
        <v>34350104</v>
      </c>
      <c r="E33" s="685"/>
      <c r="F33" s="685"/>
      <c r="G33" s="685"/>
      <c r="H33" s="451">
        <f t="shared" si="0"/>
        <v>34350104</v>
      </c>
    </row>
    <row r="34" spans="1:9">
      <c r="A34" s="452">
        <v>28</v>
      </c>
      <c r="B34" s="455" t="s">
        <v>66</v>
      </c>
      <c r="C34" s="686">
        <f>SUM(C7:C33)</f>
        <v>30350219.408399999</v>
      </c>
      <c r="D34" s="686">
        <f>SUM(D7:D33)</f>
        <v>521187614.51549995</v>
      </c>
      <c r="E34" s="686">
        <f>SUM(E7:E33)</f>
        <v>16828822.922600009</v>
      </c>
      <c r="F34" s="686">
        <f>SUM(F7:F33)</f>
        <v>0</v>
      </c>
      <c r="G34" s="686">
        <f>SUM(G7:G33)</f>
        <v>1798027.48</v>
      </c>
      <c r="H34" s="451">
        <f t="shared" si="0"/>
        <v>534709011.00129986</v>
      </c>
      <c r="I34" s="720"/>
    </row>
    <row r="36" spans="1:9">
      <c r="B36" s="392"/>
      <c r="C36" s="716"/>
      <c r="D36" s="716"/>
      <c r="E36" s="716"/>
      <c r="G36" s="716"/>
    </row>
    <row r="37" spans="1:9">
      <c r="C37" s="716"/>
      <c r="D37" s="716"/>
      <c r="E37" s="716"/>
      <c r="F37" s="716"/>
      <c r="G37" s="716"/>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paperSize="9" scale="2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D15"/>
  <sheetViews>
    <sheetView showGridLines="0" zoomScaleNormal="100" workbookViewId="0">
      <selection activeCell="B8" sqref="B8"/>
    </sheetView>
  </sheetViews>
  <sheetFormatPr defaultColWidth="9.21875" defaultRowHeight="12"/>
  <cols>
    <col min="1" max="1" width="11.77734375" style="387" bestFit="1" customWidth="1"/>
    <col min="2" max="2" width="108" style="387" bestFit="1" customWidth="1"/>
    <col min="3" max="3" width="35.5546875" style="387" customWidth="1"/>
    <col min="4" max="4" width="38.44140625" style="387" customWidth="1"/>
    <col min="5" max="16384" width="9.21875" style="387"/>
  </cols>
  <sheetData>
    <row r="1" spans="1:4" ht="13.8">
      <c r="A1" s="386" t="s">
        <v>108</v>
      </c>
      <c r="B1" s="305" t="str">
        <f>Info!C2</f>
        <v>სს " პაშა ბანკი საქართველო"</v>
      </c>
    </row>
    <row r="2" spans="1:4">
      <c r="A2" s="386" t="s">
        <v>109</v>
      </c>
      <c r="B2" s="389">
        <f>'1. key ratios'!B2</f>
        <v>45291</v>
      </c>
    </row>
    <row r="3" spans="1:4">
      <c r="A3" s="388" t="s">
        <v>543</v>
      </c>
    </row>
    <row r="5" spans="1:4">
      <c r="A5" s="821" t="s">
        <v>880</v>
      </c>
      <c r="B5" s="821"/>
      <c r="C5" s="473" t="s">
        <v>562</v>
      </c>
      <c r="D5" s="473" t="s">
        <v>879</v>
      </c>
    </row>
    <row r="6" spans="1:4">
      <c r="A6" s="472">
        <v>1</v>
      </c>
      <c r="B6" s="466" t="s">
        <v>878</v>
      </c>
      <c r="C6" s="687">
        <v>18687244.970699999</v>
      </c>
      <c r="D6" s="687">
        <v>498526.39270000003</v>
      </c>
    </row>
    <row r="7" spans="1:4">
      <c r="A7" s="469">
        <v>2</v>
      </c>
      <c r="B7" s="466" t="s">
        <v>877</v>
      </c>
      <c r="C7" s="687">
        <f>SUM(C8:C9)</f>
        <v>6016030.1118999999</v>
      </c>
      <c r="D7" s="687">
        <f>SUM(D8:D9)</f>
        <v>87122.064400000003</v>
      </c>
    </row>
    <row r="8" spans="1:4">
      <c r="A8" s="471">
        <v>2.1</v>
      </c>
      <c r="B8" s="470" t="s">
        <v>876</v>
      </c>
      <c r="C8" s="688">
        <v>1906658.8404999999</v>
      </c>
      <c r="D8" s="688">
        <v>47456.742899999997</v>
      </c>
    </row>
    <row r="9" spans="1:4">
      <c r="A9" s="471">
        <v>2.2000000000000002</v>
      </c>
      <c r="B9" s="470" t="s">
        <v>875</v>
      </c>
      <c r="C9" s="688">
        <v>4109371.2714</v>
      </c>
      <c r="D9" s="688">
        <v>39665.321499999998</v>
      </c>
    </row>
    <row r="10" spans="1:4">
      <c r="A10" s="472">
        <v>3</v>
      </c>
      <c r="B10" s="466" t="s">
        <v>874</v>
      </c>
      <c r="C10" s="687">
        <f>SUM(C11:C13)</f>
        <v>8691757.3036000002</v>
      </c>
      <c r="D10" s="687">
        <f>SUM(D11:D13)</f>
        <v>167725.16440000001</v>
      </c>
    </row>
    <row r="11" spans="1:4">
      <c r="A11" s="471">
        <v>3.1</v>
      </c>
      <c r="B11" s="470" t="s">
        <v>544</v>
      </c>
      <c r="C11" s="688">
        <v>1783793.0399</v>
      </c>
      <c r="D11" s="688">
        <v>0</v>
      </c>
    </row>
    <row r="12" spans="1:4">
      <c r="A12" s="471">
        <v>3.2</v>
      </c>
      <c r="B12" s="470" t="s">
        <v>873</v>
      </c>
      <c r="C12" s="688">
        <v>5874309.0685000001</v>
      </c>
      <c r="D12" s="688">
        <v>0</v>
      </c>
    </row>
    <row r="13" spans="1:4">
      <c r="A13" s="471">
        <v>3.3</v>
      </c>
      <c r="B13" s="470" t="s">
        <v>872</v>
      </c>
      <c r="C13" s="688">
        <v>1033655.1952</v>
      </c>
      <c r="D13" s="688">
        <v>167725.16440000001</v>
      </c>
    </row>
    <row r="14" spans="1:4">
      <c r="A14" s="469">
        <v>4</v>
      </c>
      <c r="B14" s="468" t="s">
        <v>871</v>
      </c>
      <c r="C14" s="688">
        <v>190801.18379999997</v>
      </c>
      <c r="D14" s="688">
        <v>254.78</v>
      </c>
    </row>
    <row r="15" spans="1:4">
      <c r="A15" s="467">
        <v>5</v>
      </c>
      <c r="B15" s="466" t="s">
        <v>870</v>
      </c>
      <c r="C15" s="687">
        <f>C6+C7-C10+C14</f>
        <v>16202318.962799998</v>
      </c>
      <c r="D15" s="687">
        <f>D6+D7-D10+D14</f>
        <v>418178.07270000002</v>
      </c>
    </row>
  </sheetData>
  <mergeCells count="1">
    <mergeCell ref="A5:B5"/>
  </mergeCells>
  <pageMargins left="0.7" right="0.7" top="0.75" bottom="0.75" header="0.3" footer="0.3"/>
  <pageSetup paperSize="9" scale="3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D23"/>
  <sheetViews>
    <sheetView showGridLines="0" zoomScaleNormal="100" workbookViewId="0">
      <selection activeCell="B8" sqref="B8"/>
    </sheetView>
  </sheetViews>
  <sheetFormatPr defaultColWidth="9.21875" defaultRowHeight="12"/>
  <cols>
    <col min="1" max="1" width="11.77734375" style="462" bestFit="1" customWidth="1"/>
    <col min="2" max="2" width="128.88671875" style="462" bestFit="1" customWidth="1"/>
    <col min="3" max="3" width="37" style="462" customWidth="1"/>
    <col min="4" max="4" width="50.5546875" style="462" customWidth="1"/>
    <col min="5" max="16384" width="9.21875" style="462"/>
  </cols>
  <sheetData>
    <row r="1" spans="1:4" ht="13.8">
      <c r="A1" s="386" t="s">
        <v>108</v>
      </c>
      <c r="B1" s="305" t="str">
        <f>Info!C2</f>
        <v>სს " პაშა ბანკი საქართველო"</v>
      </c>
    </row>
    <row r="2" spans="1:4">
      <c r="A2" s="386" t="s">
        <v>109</v>
      </c>
      <c r="B2" s="389">
        <f>'1. key ratios'!B2</f>
        <v>45291</v>
      </c>
    </row>
    <row r="3" spans="1:4">
      <c r="A3" s="388" t="s">
        <v>545</v>
      </c>
    </row>
    <row r="4" spans="1:4">
      <c r="A4" s="388"/>
    </row>
    <row r="5" spans="1:4" ht="15" customHeight="1">
      <c r="A5" s="822" t="s">
        <v>546</v>
      </c>
      <c r="B5" s="823"/>
      <c r="C5" s="826" t="s">
        <v>547</v>
      </c>
      <c r="D5" s="826" t="s">
        <v>548</v>
      </c>
    </row>
    <row r="6" spans="1:4">
      <c r="A6" s="824"/>
      <c r="B6" s="825"/>
      <c r="C6" s="826"/>
      <c r="D6" s="826"/>
    </row>
    <row r="7" spans="1:4">
      <c r="A7" s="455">
        <v>1</v>
      </c>
      <c r="B7" s="455" t="s">
        <v>549</v>
      </c>
      <c r="C7" s="686">
        <v>37612835.454499997</v>
      </c>
      <c r="D7" s="474"/>
    </row>
    <row r="8" spans="1:4">
      <c r="A8" s="452">
        <v>2</v>
      </c>
      <c r="B8" s="452" t="s">
        <v>550</v>
      </c>
      <c r="C8" s="685">
        <v>8460515.9153000005</v>
      </c>
      <c r="D8" s="474"/>
    </row>
    <row r="9" spans="1:4">
      <c r="A9" s="452">
        <v>3</v>
      </c>
      <c r="B9" s="477" t="s">
        <v>551</v>
      </c>
      <c r="C9" s="685">
        <v>486169.68910000002</v>
      </c>
      <c r="D9" s="474"/>
    </row>
    <row r="10" spans="1:4">
      <c r="A10" s="452">
        <v>4</v>
      </c>
      <c r="B10" s="452" t="s">
        <v>552</v>
      </c>
      <c r="C10" s="685">
        <f>SUM(C11:C17)</f>
        <v>16450967.907299999</v>
      </c>
      <c r="D10" s="474"/>
    </row>
    <row r="11" spans="1:4">
      <c r="A11" s="452">
        <v>5</v>
      </c>
      <c r="B11" s="476" t="s">
        <v>881</v>
      </c>
      <c r="C11" s="685">
        <v>267055.90000000002</v>
      </c>
      <c r="D11" s="474"/>
    </row>
    <row r="12" spans="1:4">
      <c r="A12" s="452">
        <v>6</v>
      </c>
      <c r="B12" s="476" t="s">
        <v>553</v>
      </c>
      <c r="C12" s="685">
        <v>1280401.0811899994</v>
      </c>
      <c r="D12" s="474"/>
    </row>
    <row r="13" spans="1:4">
      <c r="A13" s="452">
        <v>7</v>
      </c>
      <c r="B13" s="476" t="s">
        <v>556</v>
      </c>
      <c r="C13" s="685">
        <v>1787269.93</v>
      </c>
      <c r="D13" s="474"/>
    </row>
    <row r="14" spans="1:4">
      <c r="A14" s="452">
        <v>8</v>
      </c>
      <c r="B14" s="476" t="s">
        <v>554</v>
      </c>
      <c r="C14" s="685">
        <v>13116240.99611</v>
      </c>
      <c r="D14" s="452"/>
    </row>
    <row r="15" spans="1:4">
      <c r="A15" s="452">
        <v>9</v>
      </c>
      <c r="B15" s="476" t="s">
        <v>555</v>
      </c>
      <c r="C15" s="685"/>
      <c r="D15" s="452"/>
    </row>
    <row r="16" spans="1:4">
      <c r="A16" s="452">
        <v>10</v>
      </c>
      <c r="B16" s="476" t="s">
        <v>557</v>
      </c>
      <c r="C16" s="685"/>
      <c r="D16" s="452"/>
    </row>
    <row r="17" spans="1:4">
      <c r="A17" s="452">
        <v>11</v>
      </c>
      <c r="B17" s="476" t="s">
        <v>558</v>
      </c>
      <c r="C17" s="685"/>
      <c r="D17" s="474"/>
    </row>
    <row r="18" spans="1:4">
      <c r="A18" s="455">
        <v>12</v>
      </c>
      <c r="B18" s="475" t="s">
        <v>559</v>
      </c>
      <c r="C18" s="686">
        <f>C7+C8+C9-C10</f>
        <v>30108553.1516</v>
      </c>
      <c r="D18" s="474"/>
    </row>
    <row r="21" spans="1:4">
      <c r="B21" s="386"/>
    </row>
    <row r="22" spans="1:4">
      <c r="B22" s="386"/>
    </row>
    <row r="23" spans="1:4">
      <c r="B23" s="388"/>
    </row>
  </sheetData>
  <mergeCells count="3">
    <mergeCell ref="A5:B6"/>
    <mergeCell ref="C5:C6"/>
    <mergeCell ref="D5:D6"/>
  </mergeCells>
  <pageMargins left="0.7" right="0.7" top="0.75" bottom="0.75" header="0.3" footer="0.3"/>
  <pageSetup paperSize="9" scale="3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B28"/>
  <sheetViews>
    <sheetView showGridLines="0" topLeftCell="N1" zoomScaleNormal="100" workbookViewId="0">
      <selection activeCell="B8" sqref="B8"/>
    </sheetView>
  </sheetViews>
  <sheetFormatPr defaultColWidth="9.21875" defaultRowHeight="12"/>
  <cols>
    <col min="1" max="1" width="11.77734375" style="462" bestFit="1" customWidth="1"/>
    <col min="2" max="2" width="63.88671875" style="462" customWidth="1"/>
    <col min="3" max="3" width="15.5546875" style="462" customWidth="1"/>
    <col min="4" max="18" width="22.21875" style="462" customWidth="1"/>
    <col min="19" max="19" width="23.21875" style="462" bestFit="1" customWidth="1"/>
    <col min="20" max="26" width="22.21875" style="462" customWidth="1"/>
    <col min="27" max="27" width="23.21875" style="462" bestFit="1" customWidth="1"/>
    <col min="28" max="28" width="20" style="462" customWidth="1"/>
    <col min="29" max="16384" width="9.21875" style="462"/>
  </cols>
  <sheetData>
    <row r="1" spans="1:28" ht="13.8">
      <c r="A1" s="386" t="s">
        <v>108</v>
      </c>
      <c r="B1" s="305" t="str">
        <f>Info!C2</f>
        <v>სს " პაშა ბანკი საქართველო"</v>
      </c>
    </row>
    <row r="2" spans="1:28">
      <c r="A2" s="386" t="s">
        <v>109</v>
      </c>
      <c r="B2" s="389">
        <f>'1. key ratios'!B2</f>
        <v>45291</v>
      </c>
      <c r="C2" s="463"/>
    </row>
    <row r="3" spans="1:28">
      <c r="A3" s="388" t="s">
        <v>560</v>
      </c>
    </row>
    <row r="5" spans="1:28" ht="15" customHeight="1">
      <c r="A5" s="827" t="s">
        <v>894</v>
      </c>
      <c r="B5" s="828"/>
      <c r="C5" s="819" t="s">
        <v>893</v>
      </c>
      <c r="D5" s="833"/>
      <c r="E5" s="833"/>
      <c r="F5" s="833"/>
      <c r="G5" s="833"/>
      <c r="H5" s="833"/>
      <c r="I5" s="833"/>
      <c r="J5" s="833"/>
      <c r="K5" s="833"/>
      <c r="L5" s="833"/>
      <c r="M5" s="833"/>
      <c r="N5" s="833"/>
      <c r="O5" s="833"/>
      <c r="P5" s="833"/>
      <c r="Q5" s="833"/>
      <c r="R5" s="833"/>
      <c r="S5" s="833"/>
      <c r="T5" s="488"/>
      <c r="U5" s="488"/>
      <c r="V5" s="488"/>
      <c r="W5" s="488"/>
      <c r="X5" s="488"/>
      <c r="Y5" s="488"/>
      <c r="Z5" s="488"/>
      <c r="AA5" s="487"/>
      <c r="AB5" s="480"/>
    </row>
    <row r="6" spans="1:28">
      <c r="A6" s="829"/>
      <c r="B6" s="830"/>
      <c r="C6" s="834" t="s">
        <v>66</v>
      </c>
      <c r="D6" s="836" t="s">
        <v>892</v>
      </c>
      <c r="E6" s="836"/>
      <c r="F6" s="836"/>
      <c r="G6" s="836"/>
      <c r="H6" s="837" t="s">
        <v>891</v>
      </c>
      <c r="I6" s="838"/>
      <c r="J6" s="838"/>
      <c r="K6" s="839"/>
      <c r="L6" s="485"/>
      <c r="M6" s="840" t="s">
        <v>890</v>
      </c>
      <c r="N6" s="840"/>
      <c r="O6" s="840"/>
      <c r="P6" s="840"/>
      <c r="Q6" s="840"/>
      <c r="R6" s="840"/>
      <c r="S6" s="817"/>
      <c r="T6" s="486"/>
      <c r="U6" s="820" t="s">
        <v>889</v>
      </c>
      <c r="V6" s="820"/>
      <c r="W6" s="820"/>
      <c r="X6" s="820"/>
      <c r="Y6" s="820"/>
      <c r="Z6" s="820"/>
      <c r="AA6" s="818"/>
      <c r="AB6" s="485"/>
    </row>
    <row r="7" spans="1:28" ht="24">
      <c r="A7" s="831"/>
      <c r="B7" s="832"/>
      <c r="C7" s="835"/>
      <c r="D7" s="484"/>
      <c r="E7" s="459" t="s">
        <v>561</v>
      </c>
      <c r="F7" s="459" t="s">
        <v>887</v>
      </c>
      <c r="G7" s="459" t="s">
        <v>888</v>
      </c>
      <c r="H7" s="483"/>
      <c r="I7" s="459" t="s">
        <v>561</v>
      </c>
      <c r="J7" s="459" t="s">
        <v>887</v>
      </c>
      <c r="K7" s="459" t="s">
        <v>888</v>
      </c>
      <c r="L7" s="482"/>
      <c r="M7" s="459" t="s">
        <v>561</v>
      </c>
      <c r="N7" s="459" t="s">
        <v>887</v>
      </c>
      <c r="O7" s="459" t="s">
        <v>886</v>
      </c>
      <c r="P7" s="459" t="s">
        <v>885</v>
      </c>
      <c r="Q7" s="459" t="s">
        <v>884</v>
      </c>
      <c r="R7" s="459" t="s">
        <v>883</v>
      </c>
      <c r="S7" s="459" t="s">
        <v>882</v>
      </c>
      <c r="T7" s="481"/>
      <c r="U7" s="459" t="s">
        <v>561</v>
      </c>
      <c r="V7" s="459" t="s">
        <v>887</v>
      </c>
      <c r="W7" s="459" t="s">
        <v>886</v>
      </c>
      <c r="X7" s="459" t="s">
        <v>885</v>
      </c>
      <c r="Y7" s="459" t="s">
        <v>884</v>
      </c>
      <c r="Z7" s="459" t="s">
        <v>883</v>
      </c>
      <c r="AA7" s="459" t="s">
        <v>882</v>
      </c>
      <c r="AB7" s="480"/>
    </row>
    <row r="8" spans="1:28">
      <c r="A8" s="479">
        <v>1</v>
      </c>
      <c r="B8" s="455" t="s">
        <v>562</v>
      </c>
      <c r="C8" s="686">
        <f>SUM(C9:C14)</f>
        <v>352308810.99090004</v>
      </c>
      <c r="D8" s="686">
        <f t="shared" ref="D8:AA8" si="0">SUM(D9:D14)</f>
        <v>301456115.25300002</v>
      </c>
      <c r="E8" s="686">
        <f t="shared" si="0"/>
        <v>12378052.914800001</v>
      </c>
      <c r="F8" s="686">
        <f t="shared" si="0"/>
        <v>0</v>
      </c>
      <c r="G8" s="686">
        <f t="shared" si="0"/>
        <v>3293.5079999999998</v>
      </c>
      <c r="H8" s="686">
        <f t="shared" si="0"/>
        <v>20744142.589500003</v>
      </c>
      <c r="I8" s="686">
        <f t="shared" si="0"/>
        <v>2864046.5899</v>
      </c>
      <c r="J8" s="686">
        <f t="shared" si="0"/>
        <v>6066726.4030000009</v>
      </c>
      <c r="K8" s="686">
        <f t="shared" si="0"/>
        <v>0</v>
      </c>
      <c r="L8" s="686">
        <f t="shared" si="0"/>
        <v>27636288.487999998</v>
      </c>
      <c r="M8" s="686">
        <f t="shared" si="0"/>
        <v>318101.17849999998</v>
      </c>
      <c r="N8" s="686">
        <f t="shared" si="0"/>
        <v>1634820.6294</v>
      </c>
      <c r="O8" s="686">
        <f t="shared" si="0"/>
        <v>8866003.9083999991</v>
      </c>
      <c r="P8" s="686">
        <f t="shared" si="0"/>
        <v>3649303.6576</v>
      </c>
      <c r="Q8" s="686">
        <f t="shared" si="0"/>
        <v>5400732.3044999996</v>
      </c>
      <c r="R8" s="686">
        <f t="shared" si="0"/>
        <v>7035746.4112</v>
      </c>
      <c r="S8" s="686">
        <f t="shared" si="0"/>
        <v>0</v>
      </c>
      <c r="T8" s="686">
        <f t="shared" si="0"/>
        <v>2472264.6603999999</v>
      </c>
      <c r="U8" s="686">
        <f t="shared" si="0"/>
        <v>0</v>
      </c>
      <c r="V8" s="686">
        <f t="shared" si="0"/>
        <v>0</v>
      </c>
      <c r="W8" s="686">
        <f t="shared" si="0"/>
        <v>0</v>
      </c>
      <c r="X8" s="686">
        <f t="shared" si="0"/>
        <v>2420748.6603999999</v>
      </c>
      <c r="Y8" s="686">
        <f t="shared" si="0"/>
        <v>0</v>
      </c>
      <c r="Z8" s="686">
        <f t="shared" si="0"/>
        <v>0</v>
      </c>
      <c r="AA8" s="686">
        <f t="shared" si="0"/>
        <v>0</v>
      </c>
    </row>
    <row r="9" spans="1:28">
      <c r="A9" s="452">
        <v>1.1000000000000001</v>
      </c>
      <c r="B9" s="469" t="s">
        <v>563</v>
      </c>
      <c r="C9" s="689" t="s">
        <v>992</v>
      </c>
      <c r="D9" s="685" t="s">
        <v>992</v>
      </c>
      <c r="E9" s="685" t="s">
        <v>992</v>
      </c>
      <c r="F9" s="685" t="s">
        <v>992</v>
      </c>
      <c r="G9" s="685" t="s">
        <v>992</v>
      </c>
      <c r="H9" s="685" t="s">
        <v>992</v>
      </c>
      <c r="I9" s="685" t="s">
        <v>992</v>
      </c>
      <c r="J9" s="685" t="s">
        <v>992</v>
      </c>
      <c r="K9" s="685" t="s">
        <v>992</v>
      </c>
      <c r="L9" s="685" t="s">
        <v>992</v>
      </c>
      <c r="M9" s="685" t="s">
        <v>992</v>
      </c>
      <c r="N9" s="685" t="s">
        <v>992</v>
      </c>
      <c r="O9" s="685" t="s">
        <v>992</v>
      </c>
      <c r="P9" s="685" t="s">
        <v>992</v>
      </c>
      <c r="Q9" s="685" t="s">
        <v>992</v>
      </c>
      <c r="R9" s="685" t="s">
        <v>992</v>
      </c>
      <c r="S9" s="685" t="s">
        <v>992</v>
      </c>
      <c r="T9" s="685" t="s">
        <v>992</v>
      </c>
      <c r="U9" s="685" t="s">
        <v>992</v>
      </c>
      <c r="V9" s="685" t="s">
        <v>992</v>
      </c>
      <c r="W9" s="685" t="s">
        <v>992</v>
      </c>
      <c r="X9" s="685" t="s">
        <v>992</v>
      </c>
      <c r="Y9" s="685" t="s">
        <v>992</v>
      </c>
      <c r="Z9" s="685" t="s">
        <v>992</v>
      </c>
      <c r="AA9" s="685" t="s">
        <v>992</v>
      </c>
    </row>
    <row r="10" spans="1:28">
      <c r="A10" s="452">
        <v>1.2</v>
      </c>
      <c r="B10" s="469" t="s">
        <v>564</v>
      </c>
      <c r="C10" s="689" t="s">
        <v>992</v>
      </c>
      <c r="D10" s="685" t="s">
        <v>992</v>
      </c>
      <c r="E10" s="685" t="s">
        <v>992</v>
      </c>
      <c r="F10" s="685" t="s">
        <v>992</v>
      </c>
      <c r="G10" s="685" t="s">
        <v>992</v>
      </c>
      <c r="H10" s="685" t="s">
        <v>992</v>
      </c>
      <c r="I10" s="685" t="s">
        <v>992</v>
      </c>
      <c r="J10" s="685" t="s">
        <v>992</v>
      </c>
      <c r="K10" s="685" t="s">
        <v>992</v>
      </c>
      <c r="L10" s="685" t="s">
        <v>992</v>
      </c>
      <c r="M10" s="685" t="s">
        <v>992</v>
      </c>
      <c r="N10" s="685" t="s">
        <v>992</v>
      </c>
      <c r="O10" s="685" t="s">
        <v>992</v>
      </c>
      <c r="P10" s="685" t="s">
        <v>992</v>
      </c>
      <c r="Q10" s="685" t="s">
        <v>992</v>
      </c>
      <c r="R10" s="685" t="s">
        <v>992</v>
      </c>
      <c r="S10" s="685" t="s">
        <v>992</v>
      </c>
      <c r="T10" s="685" t="s">
        <v>992</v>
      </c>
      <c r="U10" s="685" t="s">
        <v>992</v>
      </c>
      <c r="V10" s="685" t="s">
        <v>992</v>
      </c>
      <c r="W10" s="685" t="s">
        <v>992</v>
      </c>
      <c r="X10" s="685" t="s">
        <v>992</v>
      </c>
      <c r="Y10" s="685" t="s">
        <v>992</v>
      </c>
      <c r="Z10" s="685" t="s">
        <v>992</v>
      </c>
      <c r="AA10" s="685" t="s">
        <v>992</v>
      </c>
    </row>
    <row r="11" spans="1:28">
      <c r="A11" s="452">
        <v>1.3</v>
      </c>
      <c r="B11" s="469" t="s">
        <v>565</v>
      </c>
      <c r="C11" s="689" t="s">
        <v>992</v>
      </c>
      <c r="D11" s="685" t="s">
        <v>992</v>
      </c>
      <c r="E11" s="685" t="s">
        <v>992</v>
      </c>
      <c r="F11" s="685" t="s">
        <v>992</v>
      </c>
      <c r="G11" s="685" t="s">
        <v>992</v>
      </c>
      <c r="H11" s="685" t="s">
        <v>992</v>
      </c>
      <c r="I11" s="685" t="s">
        <v>992</v>
      </c>
      <c r="J11" s="685" t="s">
        <v>992</v>
      </c>
      <c r="K11" s="685" t="s">
        <v>992</v>
      </c>
      <c r="L11" s="685" t="s">
        <v>992</v>
      </c>
      <c r="M11" s="685" t="s">
        <v>992</v>
      </c>
      <c r="N11" s="685" t="s">
        <v>992</v>
      </c>
      <c r="O11" s="685" t="s">
        <v>992</v>
      </c>
      <c r="P11" s="685" t="s">
        <v>992</v>
      </c>
      <c r="Q11" s="685" t="s">
        <v>992</v>
      </c>
      <c r="R11" s="685" t="s">
        <v>992</v>
      </c>
      <c r="S11" s="685" t="s">
        <v>992</v>
      </c>
      <c r="T11" s="685" t="s">
        <v>992</v>
      </c>
      <c r="U11" s="685" t="s">
        <v>992</v>
      </c>
      <c r="V11" s="685" t="s">
        <v>992</v>
      </c>
      <c r="W11" s="685" t="s">
        <v>992</v>
      </c>
      <c r="X11" s="685" t="s">
        <v>992</v>
      </c>
      <c r="Y11" s="685" t="s">
        <v>992</v>
      </c>
      <c r="Z11" s="685" t="s">
        <v>992</v>
      </c>
      <c r="AA11" s="685" t="s">
        <v>992</v>
      </c>
    </row>
    <row r="12" spans="1:28">
      <c r="A12" s="452">
        <v>1.4</v>
      </c>
      <c r="B12" s="469" t="s">
        <v>566</v>
      </c>
      <c r="C12" s="689">
        <v>58253766.406300001</v>
      </c>
      <c r="D12" s="685">
        <v>58092402.406300001</v>
      </c>
      <c r="E12" s="685">
        <v>0</v>
      </c>
      <c r="F12" s="685">
        <v>0</v>
      </c>
      <c r="G12" s="685">
        <v>0</v>
      </c>
      <c r="H12" s="685">
        <v>0</v>
      </c>
      <c r="I12" s="685">
        <v>0</v>
      </c>
      <c r="J12" s="685">
        <v>0</v>
      </c>
      <c r="K12" s="685">
        <v>0</v>
      </c>
      <c r="L12" s="685">
        <v>161364</v>
      </c>
      <c r="M12" s="685">
        <v>0</v>
      </c>
      <c r="N12" s="685">
        <v>0</v>
      </c>
      <c r="O12" s="685">
        <v>0</v>
      </c>
      <c r="P12" s="685">
        <v>0</v>
      </c>
      <c r="Q12" s="685">
        <v>0</v>
      </c>
      <c r="R12" s="685">
        <v>161364</v>
      </c>
      <c r="S12" s="685">
        <v>0</v>
      </c>
      <c r="T12" s="685">
        <v>0</v>
      </c>
      <c r="U12" s="685">
        <v>0</v>
      </c>
      <c r="V12" s="685">
        <v>0</v>
      </c>
      <c r="W12" s="685">
        <v>0</v>
      </c>
      <c r="X12" s="685">
        <v>0</v>
      </c>
      <c r="Y12" s="685">
        <v>0</v>
      </c>
      <c r="Z12" s="685">
        <v>0</v>
      </c>
      <c r="AA12" s="685">
        <v>0</v>
      </c>
    </row>
    <row r="13" spans="1:28">
      <c r="A13" s="452">
        <v>1.5</v>
      </c>
      <c r="B13" s="469" t="s">
        <v>567</v>
      </c>
      <c r="C13" s="689">
        <v>217054871.5977</v>
      </c>
      <c r="D13" s="685">
        <v>178566672.54800001</v>
      </c>
      <c r="E13" s="685">
        <v>11561468.114800001</v>
      </c>
      <c r="F13" s="685">
        <v>0</v>
      </c>
      <c r="G13" s="685">
        <v>0</v>
      </c>
      <c r="H13" s="685">
        <v>15523932.586200001</v>
      </c>
      <c r="I13" s="685">
        <v>2544292.2899000002</v>
      </c>
      <c r="J13" s="685">
        <v>4866388.7130000005</v>
      </c>
      <c r="K13" s="685">
        <v>0</v>
      </c>
      <c r="L13" s="685">
        <v>20515593.3303</v>
      </c>
      <c r="M13" s="685">
        <v>0</v>
      </c>
      <c r="N13" s="685">
        <v>1400951.9155999999</v>
      </c>
      <c r="O13" s="685">
        <v>7173050.5537999999</v>
      </c>
      <c r="P13" s="685">
        <v>2090909.5242999999</v>
      </c>
      <c r="Q13" s="685">
        <v>5400732.3044999996</v>
      </c>
      <c r="R13" s="685">
        <v>4391405.5313999997</v>
      </c>
      <c r="S13" s="685">
        <v>0</v>
      </c>
      <c r="T13" s="685">
        <v>2448673.1332</v>
      </c>
      <c r="U13" s="685">
        <v>0</v>
      </c>
      <c r="V13" s="685">
        <v>0</v>
      </c>
      <c r="W13" s="685">
        <v>0</v>
      </c>
      <c r="X13" s="685">
        <v>2397157.1332</v>
      </c>
      <c r="Y13" s="685">
        <v>0</v>
      </c>
      <c r="Z13" s="685">
        <v>0</v>
      </c>
      <c r="AA13" s="685">
        <v>0</v>
      </c>
    </row>
    <row r="14" spans="1:28">
      <c r="A14" s="452">
        <v>1.6</v>
      </c>
      <c r="B14" s="469" t="s">
        <v>568</v>
      </c>
      <c r="C14" s="689">
        <v>77000172.986900002</v>
      </c>
      <c r="D14" s="685">
        <v>64797040.298699997</v>
      </c>
      <c r="E14" s="685">
        <v>816584.8</v>
      </c>
      <c r="F14" s="685">
        <v>0</v>
      </c>
      <c r="G14" s="685">
        <v>3293.5079999999998</v>
      </c>
      <c r="H14" s="685">
        <v>5220210.0033</v>
      </c>
      <c r="I14" s="685">
        <v>319754.3</v>
      </c>
      <c r="J14" s="685">
        <v>1200337.69</v>
      </c>
      <c r="K14" s="685">
        <v>0</v>
      </c>
      <c r="L14" s="685">
        <v>6959331.1577000003</v>
      </c>
      <c r="M14" s="685">
        <v>318101.17849999998</v>
      </c>
      <c r="N14" s="685">
        <v>233868.7138</v>
      </c>
      <c r="O14" s="685">
        <v>1692953.3546</v>
      </c>
      <c r="P14" s="685">
        <v>1558394.1333000001</v>
      </c>
      <c r="Q14" s="685">
        <v>0</v>
      </c>
      <c r="R14" s="685">
        <v>2482976.8798000002</v>
      </c>
      <c r="S14" s="685">
        <v>0</v>
      </c>
      <c r="T14" s="685">
        <v>23591.5272</v>
      </c>
      <c r="U14" s="685">
        <v>0</v>
      </c>
      <c r="V14" s="685">
        <v>0</v>
      </c>
      <c r="W14" s="685">
        <v>0</v>
      </c>
      <c r="X14" s="685">
        <v>23591.5272</v>
      </c>
      <c r="Y14" s="685">
        <v>0</v>
      </c>
      <c r="Z14" s="685">
        <v>0</v>
      </c>
      <c r="AA14" s="685">
        <v>0</v>
      </c>
    </row>
    <row r="15" spans="1:28">
      <c r="A15" s="479">
        <v>2</v>
      </c>
      <c r="B15" s="455" t="s">
        <v>569</v>
      </c>
      <c r="C15" s="690">
        <f>SUM(C16:C21)</f>
        <v>65648198.918099999</v>
      </c>
      <c r="D15" s="690">
        <f t="shared" ref="D15:G15" si="1">SUM(D16:D21)</f>
        <v>60178798.948100001</v>
      </c>
      <c r="E15" s="690">
        <f t="shared" si="1"/>
        <v>0</v>
      </c>
      <c r="F15" s="690">
        <f t="shared" si="1"/>
        <v>0</v>
      </c>
      <c r="G15" s="690">
        <f t="shared" si="1"/>
        <v>0</v>
      </c>
      <c r="H15" s="452"/>
      <c r="I15" s="452"/>
      <c r="J15" s="452"/>
      <c r="K15" s="452"/>
      <c r="L15" s="452"/>
      <c r="M15" s="452"/>
      <c r="N15" s="452"/>
      <c r="O15" s="452"/>
      <c r="P15" s="452"/>
      <c r="Q15" s="452"/>
      <c r="R15" s="452"/>
      <c r="S15" s="452"/>
      <c r="T15" s="452"/>
      <c r="U15" s="452"/>
      <c r="V15" s="452"/>
      <c r="W15" s="452"/>
      <c r="X15" s="452"/>
      <c r="Y15" s="452"/>
      <c r="Z15" s="452"/>
      <c r="AA15" s="452"/>
    </row>
    <row r="16" spans="1:28">
      <c r="A16" s="452">
        <v>2.1</v>
      </c>
      <c r="B16" s="469" t="s">
        <v>563</v>
      </c>
      <c r="C16" s="689" t="s">
        <v>992</v>
      </c>
      <c r="D16" s="685" t="s">
        <v>992</v>
      </c>
      <c r="E16" s="452"/>
      <c r="F16" s="452"/>
      <c r="G16" s="452"/>
      <c r="H16" s="452"/>
      <c r="I16" s="452"/>
      <c r="J16" s="452"/>
      <c r="K16" s="452"/>
      <c r="L16" s="452"/>
      <c r="M16" s="452"/>
      <c r="N16" s="452"/>
      <c r="O16" s="452"/>
      <c r="P16" s="452"/>
      <c r="Q16" s="452"/>
      <c r="R16" s="452"/>
      <c r="S16" s="452"/>
      <c r="T16" s="452"/>
      <c r="U16" s="452"/>
      <c r="V16" s="452"/>
      <c r="W16" s="452"/>
      <c r="X16" s="452"/>
      <c r="Y16" s="452"/>
      <c r="Z16" s="452"/>
      <c r="AA16" s="452"/>
    </row>
    <row r="17" spans="1:27">
      <c r="A17" s="452">
        <v>2.2000000000000002</v>
      </c>
      <c r="B17" s="469" t="s">
        <v>564</v>
      </c>
      <c r="C17" s="689">
        <v>5469399.9699999997</v>
      </c>
      <c r="D17" s="685" t="s">
        <v>992</v>
      </c>
      <c r="E17" s="452"/>
      <c r="F17" s="452"/>
      <c r="G17" s="452"/>
      <c r="H17" s="452"/>
      <c r="I17" s="452"/>
      <c r="J17" s="452"/>
      <c r="K17" s="452"/>
      <c r="L17" s="452"/>
      <c r="M17" s="452"/>
      <c r="N17" s="452"/>
      <c r="O17" s="452"/>
      <c r="P17" s="452"/>
      <c r="Q17" s="452"/>
      <c r="R17" s="452"/>
      <c r="S17" s="452"/>
      <c r="T17" s="452"/>
      <c r="U17" s="452"/>
      <c r="V17" s="452"/>
      <c r="W17" s="452"/>
      <c r="X17" s="452"/>
      <c r="Y17" s="452"/>
      <c r="Z17" s="452"/>
      <c r="AA17" s="452"/>
    </row>
    <row r="18" spans="1:27">
      <c r="A18" s="452">
        <v>2.2999999999999998</v>
      </c>
      <c r="B18" s="469" t="s">
        <v>565</v>
      </c>
      <c r="C18" s="689" t="s">
        <v>992</v>
      </c>
      <c r="D18" s="685" t="s">
        <v>992</v>
      </c>
      <c r="E18" s="452"/>
      <c r="F18" s="452"/>
      <c r="G18" s="452"/>
      <c r="H18" s="452"/>
      <c r="I18" s="452"/>
      <c r="J18" s="452"/>
      <c r="K18" s="452"/>
      <c r="L18" s="452"/>
      <c r="M18" s="452"/>
      <c r="N18" s="452"/>
      <c r="O18" s="452"/>
      <c r="P18" s="452"/>
      <c r="Q18" s="452"/>
      <c r="R18" s="452"/>
      <c r="S18" s="452"/>
      <c r="T18" s="452"/>
      <c r="U18" s="452"/>
      <c r="V18" s="452"/>
      <c r="W18" s="452"/>
      <c r="X18" s="452"/>
      <c r="Y18" s="452"/>
      <c r="Z18" s="452"/>
      <c r="AA18" s="452"/>
    </row>
    <row r="19" spans="1:27">
      <c r="A19" s="452">
        <v>2.4</v>
      </c>
      <c r="B19" s="469" t="s">
        <v>566</v>
      </c>
      <c r="C19" s="689">
        <v>32897233.469999999</v>
      </c>
      <c r="D19" s="685">
        <v>32897233.469999999</v>
      </c>
      <c r="E19" s="452"/>
      <c r="F19" s="452"/>
      <c r="G19" s="452"/>
      <c r="H19" s="452"/>
      <c r="I19" s="452"/>
      <c r="J19" s="452"/>
      <c r="K19" s="452"/>
      <c r="L19" s="452"/>
      <c r="M19" s="452"/>
      <c r="N19" s="452"/>
      <c r="O19" s="452"/>
      <c r="P19" s="452"/>
      <c r="Q19" s="452"/>
      <c r="R19" s="452"/>
      <c r="S19" s="452"/>
      <c r="T19" s="452"/>
      <c r="U19" s="452"/>
      <c r="V19" s="452"/>
      <c r="W19" s="452"/>
      <c r="X19" s="452"/>
      <c r="Y19" s="452"/>
      <c r="Z19" s="452"/>
      <c r="AA19" s="452"/>
    </row>
    <row r="20" spans="1:27">
      <c r="A20" s="452">
        <v>2.5</v>
      </c>
      <c r="B20" s="469" t="s">
        <v>567</v>
      </c>
      <c r="C20" s="689">
        <v>27281565.478100002</v>
      </c>
      <c r="D20" s="685">
        <v>27281565.478100002</v>
      </c>
      <c r="E20" s="452"/>
      <c r="F20" s="452"/>
      <c r="G20" s="452"/>
      <c r="H20" s="452"/>
      <c r="I20" s="452"/>
      <c r="J20" s="452"/>
      <c r="K20" s="452"/>
      <c r="L20" s="452"/>
      <c r="M20" s="452"/>
      <c r="N20" s="452"/>
      <c r="O20" s="452"/>
      <c r="P20" s="452"/>
      <c r="Q20" s="452"/>
      <c r="R20" s="452"/>
      <c r="S20" s="452"/>
      <c r="T20" s="452"/>
      <c r="U20" s="452"/>
      <c r="V20" s="452"/>
      <c r="W20" s="452"/>
      <c r="X20" s="452"/>
      <c r="Y20" s="452"/>
      <c r="Z20" s="452"/>
      <c r="AA20" s="452"/>
    </row>
    <row r="21" spans="1:27">
      <c r="A21" s="452">
        <v>2.6</v>
      </c>
      <c r="B21" s="469" t="s">
        <v>568</v>
      </c>
      <c r="C21" s="469"/>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row>
    <row r="22" spans="1:27">
      <c r="A22" s="479">
        <v>3</v>
      </c>
      <c r="B22" s="455" t="s">
        <v>570</v>
      </c>
      <c r="C22" s="690">
        <f>SUM(C23:C28)</f>
        <v>184466129.9558</v>
      </c>
      <c r="D22" s="690">
        <f>SUM(D23:D28)</f>
        <v>183326739.3364</v>
      </c>
      <c r="E22" s="478"/>
      <c r="F22" s="478"/>
      <c r="G22" s="478"/>
      <c r="H22" s="690">
        <f>SUM(H23:H28)</f>
        <v>1129838.8692999999</v>
      </c>
      <c r="I22" s="478"/>
      <c r="J22" s="478"/>
      <c r="K22" s="478"/>
      <c r="L22" s="690">
        <f>SUM(L23:L28)</f>
        <v>9551.75</v>
      </c>
      <c r="M22" s="478"/>
      <c r="N22" s="478"/>
      <c r="O22" s="478"/>
      <c r="P22" s="478"/>
      <c r="Q22" s="478"/>
      <c r="R22" s="478"/>
      <c r="S22" s="478"/>
      <c r="T22" s="690">
        <f>SUM(T23:T28)</f>
        <v>0</v>
      </c>
      <c r="U22" s="478"/>
      <c r="V22" s="478"/>
      <c r="W22" s="478"/>
      <c r="X22" s="478"/>
      <c r="Y22" s="478"/>
      <c r="Z22" s="478"/>
      <c r="AA22" s="478"/>
    </row>
    <row r="23" spans="1:27">
      <c r="A23" s="452">
        <v>3.1</v>
      </c>
      <c r="B23" s="469" t="s">
        <v>563</v>
      </c>
      <c r="C23" s="689" t="s">
        <v>992</v>
      </c>
      <c r="D23" s="686" t="s">
        <v>992</v>
      </c>
      <c r="E23" s="691" t="s">
        <v>992</v>
      </c>
      <c r="F23" s="691" t="s">
        <v>992</v>
      </c>
      <c r="G23" s="691" t="s">
        <v>992</v>
      </c>
      <c r="H23" s="686" t="s">
        <v>992</v>
      </c>
      <c r="I23" s="691" t="s">
        <v>992</v>
      </c>
      <c r="J23" s="691" t="s">
        <v>992</v>
      </c>
      <c r="K23" s="691" t="s">
        <v>992</v>
      </c>
      <c r="L23" s="686" t="s">
        <v>992</v>
      </c>
      <c r="M23" s="691" t="s">
        <v>992</v>
      </c>
      <c r="N23" s="691" t="s">
        <v>992</v>
      </c>
      <c r="O23" s="691" t="s">
        <v>992</v>
      </c>
      <c r="P23" s="691" t="s">
        <v>992</v>
      </c>
      <c r="Q23" s="691" t="s">
        <v>992</v>
      </c>
      <c r="R23" s="691" t="s">
        <v>992</v>
      </c>
      <c r="S23" s="691" t="s">
        <v>992</v>
      </c>
      <c r="T23" s="686" t="s">
        <v>992</v>
      </c>
      <c r="U23" s="691" t="s">
        <v>992</v>
      </c>
      <c r="V23" s="691" t="s">
        <v>992</v>
      </c>
      <c r="W23" s="691" t="s">
        <v>992</v>
      </c>
      <c r="X23" s="691" t="s">
        <v>992</v>
      </c>
      <c r="Y23" s="691" t="s">
        <v>992</v>
      </c>
      <c r="Z23" s="691" t="s">
        <v>992</v>
      </c>
      <c r="AA23" s="691" t="s">
        <v>992</v>
      </c>
    </row>
    <row r="24" spans="1:27">
      <c r="A24" s="452">
        <v>3.2</v>
      </c>
      <c r="B24" s="469" t="s">
        <v>564</v>
      </c>
      <c r="C24" s="689" t="s">
        <v>992</v>
      </c>
      <c r="D24" s="686" t="s">
        <v>992</v>
      </c>
      <c r="E24" s="691" t="s">
        <v>992</v>
      </c>
      <c r="F24" s="691" t="s">
        <v>992</v>
      </c>
      <c r="G24" s="691" t="s">
        <v>992</v>
      </c>
      <c r="H24" s="686" t="s">
        <v>992</v>
      </c>
      <c r="I24" s="691" t="s">
        <v>992</v>
      </c>
      <c r="J24" s="691" t="s">
        <v>992</v>
      </c>
      <c r="K24" s="691" t="s">
        <v>992</v>
      </c>
      <c r="L24" s="686" t="s">
        <v>992</v>
      </c>
      <c r="M24" s="691" t="s">
        <v>992</v>
      </c>
      <c r="N24" s="691" t="s">
        <v>992</v>
      </c>
      <c r="O24" s="691" t="s">
        <v>992</v>
      </c>
      <c r="P24" s="691" t="s">
        <v>992</v>
      </c>
      <c r="Q24" s="691" t="s">
        <v>992</v>
      </c>
      <c r="R24" s="691" t="s">
        <v>992</v>
      </c>
      <c r="S24" s="691" t="s">
        <v>992</v>
      </c>
      <c r="T24" s="686" t="s">
        <v>992</v>
      </c>
      <c r="U24" s="691" t="s">
        <v>992</v>
      </c>
      <c r="V24" s="691" t="s">
        <v>992</v>
      </c>
      <c r="W24" s="691" t="s">
        <v>992</v>
      </c>
      <c r="X24" s="691" t="s">
        <v>992</v>
      </c>
      <c r="Y24" s="691" t="s">
        <v>992</v>
      </c>
      <c r="Z24" s="691" t="s">
        <v>992</v>
      </c>
      <c r="AA24" s="691" t="s">
        <v>992</v>
      </c>
    </row>
    <row r="25" spans="1:27">
      <c r="A25" s="452">
        <v>3.3</v>
      </c>
      <c r="B25" s="469" t="s">
        <v>565</v>
      </c>
      <c r="C25" s="689">
        <v>670000</v>
      </c>
      <c r="D25" s="686">
        <v>670000</v>
      </c>
      <c r="E25" s="691" t="s">
        <v>992</v>
      </c>
      <c r="F25" s="691" t="s">
        <v>992</v>
      </c>
      <c r="G25" s="691" t="s">
        <v>992</v>
      </c>
      <c r="H25" s="686">
        <v>0</v>
      </c>
      <c r="I25" s="691" t="s">
        <v>992</v>
      </c>
      <c r="J25" s="691" t="s">
        <v>992</v>
      </c>
      <c r="K25" s="691" t="s">
        <v>992</v>
      </c>
      <c r="L25" s="686">
        <v>0</v>
      </c>
      <c r="M25" s="691" t="s">
        <v>992</v>
      </c>
      <c r="N25" s="691" t="s">
        <v>992</v>
      </c>
      <c r="O25" s="691" t="s">
        <v>992</v>
      </c>
      <c r="P25" s="691" t="s">
        <v>992</v>
      </c>
      <c r="Q25" s="691" t="s">
        <v>992</v>
      </c>
      <c r="R25" s="691" t="s">
        <v>992</v>
      </c>
      <c r="S25" s="691" t="s">
        <v>992</v>
      </c>
      <c r="T25" s="686">
        <v>0</v>
      </c>
      <c r="U25" s="691" t="s">
        <v>992</v>
      </c>
      <c r="V25" s="691" t="s">
        <v>992</v>
      </c>
      <c r="W25" s="691" t="s">
        <v>992</v>
      </c>
      <c r="X25" s="691" t="s">
        <v>992</v>
      </c>
      <c r="Y25" s="691" t="s">
        <v>992</v>
      </c>
      <c r="Z25" s="691" t="s">
        <v>992</v>
      </c>
      <c r="AA25" s="691" t="s">
        <v>992</v>
      </c>
    </row>
    <row r="26" spans="1:27">
      <c r="A26" s="452">
        <v>3.4</v>
      </c>
      <c r="B26" s="469" t="s">
        <v>566</v>
      </c>
      <c r="C26" s="689">
        <v>15139564.672900001</v>
      </c>
      <c r="D26" s="686">
        <v>15139564.672900001</v>
      </c>
      <c r="E26" s="691" t="s">
        <v>992</v>
      </c>
      <c r="F26" s="691" t="s">
        <v>992</v>
      </c>
      <c r="G26" s="691" t="s">
        <v>992</v>
      </c>
      <c r="H26" s="686">
        <v>0</v>
      </c>
      <c r="I26" s="691" t="s">
        <v>992</v>
      </c>
      <c r="J26" s="691" t="s">
        <v>992</v>
      </c>
      <c r="K26" s="691" t="s">
        <v>992</v>
      </c>
      <c r="L26" s="686">
        <v>0</v>
      </c>
      <c r="M26" s="691" t="s">
        <v>992</v>
      </c>
      <c r="N26" s="691" t="s">
        <v>992</v>
      </c>
      <c r="O26" s="691" t="s">
        <v>992</v>
      </c>
      <c r="P26" s="691" t="s">
        <v>992</v>
      </c>
      <c r="Q26" s="691" t="s">
        <v>992</v>
      </c>
      <c r="R26" s="691" t="s">
        <v>992</v>
      </c>
      <c r="S26" s="691" t="s">
        <v>992</v>
      </c>
      <c r="T26" s="686">
        <v>0</v>
      </c>
      <c r="U26" s="691" t="s">
        <v>992</v>
      </c>
      <c r="V26" s="691" t="s">
        <v>992</v>
      </c>
      <c r="W26" s="691" t="s">
        <v>992</v>
      </c>
      <c r="X26" s="691" t="s">
        <v>992</v>
      </c>
      <c r="Y26" s="691" t="s">
        <v>992</v>
      </c>
      <c r="Z26" s="691" t="s">
        <v>992</v>
      </c>
      <c r="AA26" s="691" t="s">
        <v>992</v>
      </c>
    </row>
    <row r="27" spans="1:27">
      <c r="A27" s="452">
        <v>3.5</v>
      </c>
      <c r="B27" s="469" t="s">
        <v>567</v>
      </c>
      <c r="C27" s="689">
        <v>96742656.092899993</v>
      </c>
      <c r="D27" s="686">
        <v>96430521.743499994</v>
      </c>
      <c r="E27" s="691" t="s">
        <v>992</v>
      </c>
      <c r="F27" s="691" t="s">
        <v>992</v>
      </c>
      <c r="G27" s="691" t="s">
        <v>992</v>
      </c>
      <c r="H27" s="686">
        <v>312134.3493</v>
      </c>
      <c r="I27" s="691" t="s">
        <v>992</v>
      </c>
      <c r="J27" s="691" t="s">
        <v>992</v>
      </c>
      <c r="K27" s="691" t="s">
        <v>992</v>
      </c>
      <c r="L27" s="686">
        <v>0</v>
      </c>
      <c r="M27" s="691" t="s">
        <v>992</v>
      </c>
      <c r="N27" s="691" t="s">
        <v>992</v>
      </c>
      <c r="O27" s="691" t="s">
        <v>992</v>
      </c>
      <c r="P27" s="691" t="s">
        <v>992</v>
      </c>
      <c r="Q27" s="691" t="s">
        <v>992</v>
      </c>
      <c r="R27" s="691" t="s">
        <v>992</v>
      </c>
      <c r="S27" s="691" t="s">
        <v>992</v>
      </c>
      <c r="T27" s="686">
        <v>0</v>
      </c>
      <c r="U27" s="691" t="s">
        <v>992</v>
      </c>
      <c r="V27" s="691" t="s">
        <v>992</v>
      </c>
      <c r="W27" s="691" t="s">
        <v>992</v>
      </c>
      <c r="X27" s="691" t="s">
        <v>992</v>
      </c>
      <c r="Y27" s="691" t="s">
        <v>992</v>
      </c>
      <c r="Z27" s="691" t="s">
        <v>992</v>
      </c>
      <c r="AA27" s="691" t="s">
        <v>992</v>
      </c>
    </row>
    <row r="28" spans="1:27">
      <c r="A28" s="452">
        <v>3.6</v>
      </c>
      <c r="B28" s="469" t="s">
        <v>568</v>
      </c>
      <c r="C28" s="689">
        <v>71913909.189999998</v>
      </c>
      <c r="D28" s="686">
        <v>71086652.920000002</v>
      </c>
      <c r="E28" s="691" t="s">
        <v>992</v>
      </c>
      <c r="F28" s="691" t="s">
        <v>992</v>
      </c>
      <c r="G28" s="691" t="s">
        <v>992</v>
      </c>
      <c r="H28" s="686">
        <v>817704.52</v>
      </c>
      <c r="I28" s="691" t="s">
        <v>992</v>
      </c>
      <c r="J28" s="691" t="s">
        <v>992</v>
      </c>
      <c r="K28" s="691" t="s">
        <v>992</v>
      </c>
      <c r="L28" s="686">
        <v>9551.75</v>
      </c>
      <c r="M28" s="691" t="s">
        <v>992</v>
      </c>
      <c r="N28" s="691" t="s">
        <v>992</v>
      </c>
      <c r="O28" s="691" t="s">
        <v>992</v>
      </c>
      <c r="P28" s="691" t="s">
        <v>992</v>
      </c>
      <c r="Q28" s="691" t="s">
        <v>992</v>
      </c>
      <c r="R28" s="691" t="s">
        <v>992</v>
      </c>
      <c r="S28" s="691" t="s">
        <v>992</v>
      </c>
      <c r="T28" s="686">
        <v>0</v>
      </c>
      <c r="U28" s="691" t="s">
        <v>992</v>
      </c>
      <c r="V28" s="691" t="s">
        <v>992</v>
      </c>
      <c r="W28" s="691" t="s">
        <v>992</v>
      </c>
      <c r="X28" s="691" t="s">
        <v>992</v>
      </c>
      <c r="Y28" s="691" t="s">
        <v>992</v>
      </c>
      <c r="Z28" s="691" t="s">
        <v>992</v>
      </c>
      <c r="AA28" s="691" t="s">
        <v>992</v>
      </c>
    </row>
  </sheetData>
  <mergeCells count="7">
    <mergeCell ref="U6:AA6"/>
    <mergeCell ref="A5:B7"/>
    <mergeCell ref="C5:S5"/>
    <mergeCell ref="C6:C7"/>
    <mergeCell ref="D6:G6"/>
    <mergeCell ref="H6:K6"/>
    <mergeCell ref="M6:S6"/>
  </mergeCells>
  <pageMargins left="0.7" right="0.7" top="0.75" bottom="0.75" header="0.3" footer="0.3"/>
  <pageSetup paperSize="9"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A22"/>
  <sheetViews>
    <sheetView showGridLines="0" topLeftCell="N1" zoomScaleNormal="100" workbookViewId="0">
      <selection activeCell="B8" sqref="B8"/>
    </sheetView>
  </sheetViews>
  <sheetFormatPr defaultColWidth="9.21875" defaultRowHeight="12"/>
  <cols>
    <col min="1" max="1" width="11.77734375" style="462" bestFit="1" customWidth="1"/>
    <col min="2" max="2" width="90.21875" style="462" bestFit="1" customWidth="1"/>
    <col min="3" max="3" width="20.21875" style="462" customWidth="1"/>
    <col min="4" max="4" width="22.21875" style="462" customWidth="1"/>
    <col min="5" max="7" width="17.109375" style="462" customWidth="1"/>
    <col min="8" max="8" width="22.21875" style="462" customWidth="1"/>
    <col min="9" max="10" width="17.109375" style="462" customWidth="1"/>
    <col min="11" max="27" width="22.21875" style="462" customWidth="1"/>
    <col min="28" max="16384" width="9.21875" style="462"/>
  </cols>
  <sheetData>
    <row r="1" spans="1:27" ht="13.8">
      <c r="A1" s="386" t="s">
        <v>108</v>
      </c>
      <c r="B1" s="305" t="str">
        <f>Info!C2</f>
        <v>სს " პაშა ბანკი საქართველო"</v>
      </c>
    </row>
    <row r="2" spans="1:27">
      <c r="A2" s="386" t="s">
        <v>109</v>
      </c>
      <c r="B2" s="389">
        <f>'1. key ratios'!B2</f>
        <v>45291</v>
      </c>
    </row>
    <row r="3" spans="1:27">
      <c r="A3" s="388" t="s">
        <v>571</v>
      </c>
      <c r="C3" s="464"/>
    </row>
    <row r="4" spans="1:27" ht="12.6" thickBot="1">
      <c r="A4" s="388"/>
      <c r="B4" s="464"/>
      <c r="C4" s="464"/>
    </row>
    <row r="5" spans="1:27" ht="13.5" customHeight="1">
      <c r="A5" s="845" t="s">
        <v>901</v>
      </c>
      <c r="B5" s="846"/>
      <c r="C5" s="842" t="s">
        <v>572</v>
      </c>
      <c r="D5" s="843"/>
      <c r="E5" s="843"/>
      <c r="F5" s="843"/>
      <c r="G5" s="843"/>
      <c r="H5" s="843"/>
      <c r="I5" s="843"/>
      <c r="J5" s="843"/>
      <c r="K5" s="843"/>
      <c r="L5" s="843"/>
      <c r="M5" s="843"/>
      <c r="N5" s="843"/>
      <c r="O5" s="843"/>
      <c r="P5" s="843"/>
      <c r="Q5" s="843"/>
      <c r="R5" s="843"/>
      <c r="S5" s="843"/>
      <c r="T5" s="843"/>
      <c r="U5" s="843"/>
      <c r="V5" s="843"/>
      <c r="W5" s="843"/>
      <c r="X5" s="843"/>
      <c r="Y5" s="843"/>
      <c r="Z5" s="843"/>
      <c r="AA5" s="844"/>
    </row>
    <row r="6" spans="1:27" ht="12" customHeight="1">
      <c r="A6" s="847"/>
      <c r="B6" s="848"/>
      <c r="C6" s="851" t="s">
        <v>66</v>
      </c>
      <c r="D6" s="816" t="s">
        <v>892</v>
      </c>
      <c r="E6" s="816"/>
      <c r="F6" s="816"/>
      <c r="G6" s="816"/>
      <c r="H6" s="837" t="s">
        <v>891</v>
      </c>
      <c r="I6" s="838"/>
      <c r="J6" s="838"/>
      <c r="K6" s="838"/>
      <c r="L6" s="486"/>
      <c r="M6" s="820" t="s">
        <v>890</v>
      </c>
      <c r="N6" s="820"/>
      <c r="O6" s="820"/>
      <c r="P6" s="820"/>
      <c r="Q6" s="820"/>
      <c r="R6" s="820"/>
      <c r="S6" s="818"/>
      <c r="T6" s="486"/>
      <c r="U6" s="820" t="s">
        <v>889</v>
      </c>
      <c r="V6" s="820"/>
      <c r="W6" s="820"/>
      <c r="X6" s="820"/>
      <c r="Y6" s="820"/>
      <c r="Z6" s="820"/>
      <c r="AA6" s="841"/>
    </row>
    <row r="7" spans="1:27" ht="36">
      <c r="A7" s="849"/>
      <c r="B7" s="850"/>
      <c r="C7" s="852"/>
      <c r="D7" s="484"/>
      <c r="E7" s="459" t="s">
        <v>561</v>
      </c>
      <c r="F7" s="459" t="s">
        <v>887</v>
      </c>
      <c r="G7" s="459" t="s">
        <v>888</v>
      </c>
      <c r="H7" s="463"/>
      <c r="I7" s="459" t="s">
        <v>561</v>
      </c>
      <c r="J7" s="459" t="s">
        <v>887</v>
      </c>
      <c r="K7" s="459" t="s">
        <v>888</v>
      </c>
      <c r="L7" s="481"/>
      <c r="M7" s="459" t="s">
        <v>561</v>
      </c>
      <c r="N7" s="459" t="s">
        <v>900</v>
      </c>
      <c r="O7" s="459" t="s">
        <v>899</v>
      </c>
      <c r="P7" s="459" t="s">
        <v>898</v>
      </c>
      <c r="Q7" s="459" t="s">
        <v>897</v>
      </c>
      <c r="R7" s="459" t="s">
        <v>896</v>
      </c>
      <c r="S7" s="459" t="s">
        <v>882</v>
      </c>
      <c r="T7" s="481"/>
      <c r="U7" s="459" t="s">
        <v>561</v>
      </c>
      <c r="V7" s="459" t="s">
        <v>900</v>
      </c>
      <c r="W7" s="459" t="s">
        <v>899</v>
      </c>
      <c r="X7" s="459" t="s">
        <v>898</v>
      </c>
      <c r="Y7" s="459" t="s">
        <v>897</v>
      </c>
      <c r="Z7" s="459" t="s">
        <v>896</v>
      </c>
      <c r="AA7" s="459" t="s">
        <v>882</v>
      </c>
    </row>
    <row r="8" spans="1:27">
      <c r="A8" s="507">
        <v>1</v>
      </c>
      <c r="B8" s="506" t="s">
        <v>562</v>
      </c>
      <c r="C8" s="692">
        <v>352308810.99089998</v>
      </c>
      <c r="D8" s="685">
        <v>301456115.25300002</v>
      </c>
      <c r="E8" s="685">
        <v>12378052.914799999</v>
      </c>
      <c r="F8" s="685">
        <v>0</v>
      </c>
      <c r="G8" s="685">
        <v>3293.5079999999998</v>
      </c>
      <c r="H8" s="685">
        <v>20744142.589499999</v>
      </c>
      <c r="I8" s="685">
        <v>2864046.5899</v>
      </c>
      <c r="J8" s="685">
        <v>6066726.4029999999</v>
      </c>
      <c r="K8" s="685">
        <v>0</v>
      </c>
      <c r="L8" s="685">
        <v>27636288.488000002</v>
      </c>
      <c r="M8" s="685">
        <v>318101.17849999998</v>
      </c>
      <c r="N8" s="685">
        <v>1634820.6294</v>
      </c>
      <c r="O8" s="685">
        <v>8866003.9083999991</v>
      </c>
      <c r="P8" s="685">
        <v>3649303.6576</v>
      </c>
      <c r="Q8" s="685">
        <v>5400732.3044999996</v>
      </c>
      <c r="R8" s="685">
        <v>7035746.4112</v>
      </c>
      <c r="S8" s="685">
        <v>0</v>
      </c>
      <c r="T8" s="685">
        <v>2472264.6603999999</v>
      </c>
      <c r="U8" s="685">
        <v>0</v>
      </c>
      <c r="V8" s="685">
        <v>0</v>
      </c>
      <c r="W8" s="685">
        <v>0</v>
      </c>
      <c r="X8" s="685">
        <v>2420748.6603999999</v>
      </c>
      <c r="Y8" s="685">
        <v>0</v>
      </c>
      <c r="Z8" s="685">
        <v>0</v>
      </c>
      <c r="AA8" s="693">
        <v>0</v>
      </c>
    </row>
    <row r="9" spans="1:27">
      <c r="A9" s="499">
        <v>1.1000000000000001</v>
      </c>
      <c r="B9" s="505" t="s">
        <v>573</v>
      </c>
      <c r="C9" s="694">
        <v>267035953.4084</v>
      </c>
      <c r="D9" s="685">
        <v>224896771.91499999</v>
      </c>
      <c r="E9" s="685">
        <v>11561468.114800001</v>
      </c>
      <c r="F9" s="685">
        <v>0</v>
      </c>
      <c r="G9" s="685">
        <v>0</v>
      </c>
      <c r="H9" s="685">
        <v>16457300.8695</v>
      </c>
      <c r="I9" s="685">
        <v>2544292.2899000002</v>
      </c>
      <c r="J9" s="685">
        <v>4866388.7130000005</v>
      </c>
      <c r="K9" s="685">
        <v>0</v>
      </c>
      <c r="L9" s="685">
        <v>23284723.490699999</v>
      </c>
      <c r="M9" s="685">
        <v>165847.5606</v>
      </c>
      <c r="N9" s="685">
        <v>1400951.9155999999</v>
      </c>
      <c r="O9" s="685">
        <v>7173050.5537999999</v>
      </c>
      <c r="P9" s="685">
        <v>2090909.5242999999</v>
      </c>
      <c r="Q9" s="685">
        <v>5400732.3044999996</v>
      </c>
      <c r="R9" s="685">
        <v>6994688.1311999997</v>
      </c>
      <c r="S9" s="685">
        <v>0</v>
      </c>
      <c r="T9" s="685">
        <v>2397157.1332</v>
      </c>
      <c r="U9" s="685">
        <v>0</v>
      </c>
      <c r="V9" s="685">
        <v>0</v>
      </c>
      <c r="W9" s="685">
        <v>0</v>
      </c>
      <c r="X9" s="685">
        <v>2397157.1332</v>
      </c>
      <c r="Y9" s="685">
        <v>0</v>
      </c>
      <c r="Z9" s="685">
        <v>0</v>
      </c>
      <c r="AA9" s="693">
        <v>0</v>
      </c>
    </row>
    <row r="10" spans="1:27">
      <c r="A10" s="503" t="s">
        <v>157</v>
      </c>
      <c r="B10" s="504" t="s">
        <v>574</v>
      </c>
      <c r="C10" s="695">
        <v>201968990.8612</v>
      </c>
      <c r="D10" s="685">
        <v>160219306.77379999</v>
      </c>
      <c r="E10" s="685">
        <v>11561468.114800001</v>
      </c>
      <c r="F10" s="685">
        <v>0</v>
      </c>
      <c r="G10" s="685">
        <v>0</v>
      </c>
      <c r="H10" s="685">
        <v>16457300.8695</v>
      </c>
      <c r="I10" s="685">
        <v>2544292.2899000002</v>
      </c>
      <c r="J10" s="685">
        <v>4866388.7130000005</v>
      </c>
      <c r="K10" s="685">
        <v>0</v>
      </c>
      <c r="L10" s="685">
        <v>22895226.0847</v>
      </c>
      <c r="M10" s="685">
        <v>165847.5606</v>
      </c>
      <c r="N10" s="685">
        <v>1172818.5096</v>
      </c>
      <c r="O10" s="685">
        <v>7173050.5537999999</v>
      </c>
      <c r="P10" s="685">
        <v>2090909.5242999999</v>
      </c>
      <c r="Q10" s="685">
        <v>5400732.3044999996</v>
      </c>
      <c r="R10" s="685">
        <v>6833324.1311999997</v>
      </c>
      <c r="S10" s="685">
        <v>0</v>
      </c>
      <c r="T10" s="685">
        <v>2397157.1332</v>
      </c>
      <c r="U10" s="685">
        <v>0</v>
      </c>
      <c r="V10" s="685">
        <v>0</v>
      </c>
      <c r="W10" s="685">
        <v>0</v>
      </c>
      <c r="X10" s="685">
        <v>2397157.1332</v>
      </c>
      <c r="Y10" s="685">
        <v>0</v>
      </c>
      <c r="Z10" s="685">
        <v>0</v>
      </c>
      <c r="AA10" s="693">
        <v>0</v>
      </c>
    </row>
    <row r="11" spans="1:27">
      <c r="A11" s="501" t="s">
        <v>575</v>
      </c>
      <c r="B11" s="502" t="s">
        <v>576</v>
      </c>
      <c r="C11" s="696">
        <v>124225360.8776</v>
      </c>
      <c r="D11" s="685">
        <v>98433577.083100006</v>
      </c>
      <c r="E11" s="685">
        <v>6233743.9622999998</v>
      </c>
      <c r="F11" s="685">
        <v>0</v>
      </c>
      <c r="G11" s="685">
        <v>0</v>
      </c>
      <c r="H11" s="685">
        <v>8114509.9003999997</v>
      </c>
      <c r="I11" s="685">
        <v>0</v>
      </c>
      <c r="J11" s="685">
        <v>70492.533299999996</v>
      </c>
      <c r="K11" s="685">
        <v>0</v>
      </c>
      <c r="L11" s="685">
        <v>17677273.894099999</v>
      </c>
      <c r="M11" s="685">
        <v>165847.5606</v>
      </c>
      <c r="N11" s="685">
        <v>1172818.5096</v>
      </c>
      <c r="O11" s="685">
        <v>6397913.0915000001</v>
      </c>
      <c r="P11" s="685">
        <v>2091053.9942999999</v>
      </c>
      <c r="Q11" s="685">
        <v>5403714.9744999995</v>
      </c>
      <c r="R11" s="685">
        <v>2445925.7636000002</v>
      </c>
      <c r="S11" s="685">
        <v>0</v>
      </c>
      <c r="T11" s="685">
        <v>0</v>
      </c>
      <c r="U11" s="685">
        <v>0</v>
      </c>
      <c r="V11" s="685">
        <v>0</v>
      </c>
      <c r="W11" s="685">
        <v>0</v>
      </c>
      <c r="X11" s="685">
        <v>0</v>
      </c>
      <c r="Y11" s="685">
        <v>0</v>
      </c>
      <c r="Z11" s="685">
        <v>0</v>
      </c>
      <c r="AA11" s="693">
        <v>0</v>
      </c>
    </row>
    <row r="12" spans="1:27">
      <c r="A12" s="501" t="s">
        <v>577</v>
      </c>
      <c r="B12" s="502" t="s">
        <v>578</v>
      </c>
      <c r="C12" s="696">
        <v>7659660.5857999995</v>
      </c>
      <c r="D12" s="685">
        <v>7659660.5857999995</v>
      </c>
      <c r="E12" s="685">
        <v>0</v>
      </c>
      <c r="F12" s="685">
        <v>0</v>
      </c>
      <c r="G12" s="685">
        <v>0</v>
      </c>
      <c r="H12" s="685">
        <v>0</v>
      </c>
      <c r="I12" s="685">
        <v>0</v>
      </c>
      <c r="J12" s="685">
        <v>0</v>
      </c>
      <c r="K12" s="685">
        <v>0</v>
      </c>
      <c r="L12" s="685">
        <v>0</v>
      </c>
      <c r="M12" s="685">
        <v>0</v>
      </c>
      <c r="N12" s="685">
        <v>0</v>
      </c>
      <c r="O12" s="685">
        <v>0</v>
      </c>
      <c r="P12" s="685">
        <v>0</v>
      </c>
      <c r="Q12" s="685">
        <v>0</v>
      </c>
      <c r="R12" s="685">
        <v>0</v>
      </c>
      <c r="S12" s="685">
        <v>0</v>
      </c>
      <c r="T12" s="685">
        <v>0</v>
      </c>
      <c r="U12" s="685">
        <v>0</v>
      </c>
      <c r="V12" s="685">
        <v>0</v>
      </c>
      <c r="W12" s="685">
        <v>0</v>
      </c>
      <c r="X12" s="685">
        <v>0</v>
      </c>
      <c r="Y12" s="685">
        <v>0</v>
      </c>
      <c r="Z12" s="685">
        <v>0</v>
      </c>
      <c r="AA12" s="693">
        <v>0</v>
      </c>
    </row>
    <row r="13" spans="1:27">
      <c r="A13" s="501" t="s">
        <v>579</v>
      </c>
      <c r="B13" s="502" t="s">
        <v>580</v>
      </c>
      <c r="C13" s="696">
        <v>4626625.8397000004</v>
      </c>
      <c r="D13" s="685">
        <v>0</v>
      </c>
      <c r="E13" s="685">
        <v>0</v>
      </c>
      <c r="F13" s="685">
        <v>0</v>
      </c>
      <c r="G13" s="685">
        <v>0</v>
      </c>
      <c r="H13" s="685">
        <v>0</v>
      </c>
      <c r="I13" s="685">
        <v>0</v>
      </c>
      <c r="J13" s="685">
        <v>0</v>
      </c>
      <c r="K13" s="685">
        <v>0</v>
      </c>
      <c r="L13" s="685">
        <v>4626625.8397000004</v>
      </c>
      <c r="M13" s="685">
        <v>0</v>
      </c>
      <c r="N13" s="685">
        <v>0</v>
      </c>
      <c r="O13" s="685">
        <v>233076.06909999999</v>
      </c>
      <c r="P13" s="685">
        <v>0</v>
      </c>
      <c r="Q13" s="685">
        <v>0</v>
      </c>
      <c r="R13" s="685">
        <v>4393549.7706000004</v>
      </c>
      <c r="S13" s="685">
        <v>0</v>
      </c>
      <c r="T13" s="685">
        <v>0</v>
      </c>
      <c r="U13" s="685">
        <v>0</v>
      </c>
      <c r="V13" s="685">
        <v>0</v>
      </c>
      <c r="W13" s="685">
        <v>0</v>
      </c>
      <c r="X13" s="685">
        <v>0</v>
      </c>
      <c r="Y13" s="685">
        <v>0</v>
      </c>
      <c r="Z13" s="685">
        <v>0</v>
      </c>
      <c r="AA13" s="693">
        <v>0</v>
      </c>
    </row>
    <row r="14" spans="1:27">
      <c r="A14" s="501" t="s">
        <v>581</v>
      </c>
      <c r="B14" s="502" t="s">
        <v>582</v>
      </c>
      <c r="C14" s="696">
        <v>65721942.125500001</v>
      </c>
      <c r="D14" s="685">
        <v>54358739.0317</v>
      </c>
      <c r="E14" s="685">
        <v>5351926.0093</v>
      </c>
      <c r="F14" s="685">
        <v>0</v>
      </c>
      <c r="G14" s="685">
        <v>0</v>
      </c>
      <c r="H14" s="685">
        <v>8358406.1703000003</v>
      </c>
      <c r="I14" s="685">
        <v>2548550.7955999998</v>
      </c>
      <c r="J14" s="685">
        <v>4803344.2533</v>
      </c>
      <c r="K14" s="685">
        <v>0</v>
      </c>
      <c r="L14" s="685">
        <v>607639.79029999999</v>
      </c>
      <c r="M14" s="685">
        <v>0</v>
      </c>
      <c r="N14" s="685">
        <v>0</v>
      </c>
      <c r="O14" s="685">
        <v>542235.93319999997</v>
      </c>
      <c r="P14" s="685">
        <v>0</v>
      </c>
      <c r="Q14" s="685">
        <v>0</v>
      </c>
      <c r="R14" s="685">
        <v>0</v>
      </c>
      <c r="S14" s="685">
        <v>0</v>
      </c>
      <c r="T14" s="685">
        <v>2397157.1332</v>
      </c>
      <c r="U14" s="685">
        <v>0</v>
      </c>
      <c r="V14" s="685">
        <v>0</v>
      </c>
      <c r="W14" s="685">
        <v>0</v>
      </c>
      <c r="X14" s="685">
        <v>2397157.1332</v>
      </c>
      <c r="Y14" s="685">
        <v>0</v>
      </c>
      <c r="Z14" s="685">
        <v>0</v>
      </c>
      <c r="AA14" s="693">
        <v>0</v>
      </c>
    </row>
    <row r="15" spans="1:27">
      <c r="A15" s="500">
        <v>1.2</v>
      </c>
      <c r="B15" s="498" t="s">
        <v>895</v>
      </c>
      <c r="C15" s="694">
        <v>8655471.0527999997</v>
      </c>
      <c r="D15" s="685">
        <v>1556505.7448</v>
      </c>
      <c r="E15" s="685">
        <v>147704.17000000001</v>
      </c>
      <c r="F15" s="685">
        <v>0</v>
      </c>
      <c r="G15" s="685">
        <v>0</v>
      </c>
      <c r="H15" s="685">
        <v>499818.48859999998</v>
      </c>
      <c r="I15" s="685">
        <v>102567.2562</v>
      </c>
      <c r="J15" s="685">
        <v>317774.24910000002</v>
      </c>
      <c r="K15" s="685">
        <v>0</v>
      </c>
      <c r="L15" s="685">
        <v>5167055.9433000004</v>
      </c>
      <c r="M15" s="685">
        <v>16434.8884</v>
      </c>
      <c r="N15" s="685">
        <v>136999.34580000001</v>
      </c>
      <c r="O15" s="685">
        <v>2543063.2577</v>
      </c>
      <c r="P15" s="685">
        <v>202728.0379</v>
      </c>
      <c r="Q15" s="685">
        <v>506342.0624</v>
      </c>
      <c r="R15" s="685">
        <v>1731461.7379999999</v>
      </c>
      <c r="S15" s="685">
        <v>0</v>
      </c>
      <c r="T15" s="685">
        <v>1432090.8761</v>
      </c>
      <c r="U15" s="685">
        <v>0</v>
      </c>
      <c r="V15" s="685">
        <v>0</v>
      </c>
      <c r="W15" s="685">
        <v>0</v>
      </c>
      <c r="X15" s="685">
        <v>1432090.8761</v>
      </c>
      <c r="Y15" s="685">
        <v>0</v>
      </c>
      <c r="Z15" s="685">
        <v>0</v>
      </c>
      <c r="AA15" s="693">
        <v>0</v>
      </c>
    </row>
    <row r="16" spans="1:27">
      <c r="A16" s="499">
        <v>1.3</v>
      </c>
      <c r="B16" s="498" t="s">
        <v>583</v>
      </c>
      <c r="C16" s="697" t="s">
        <v>992</v>
      </c>
      <c r="D16" s="698" t="s">
        <v>992</v>
      </c>
      <c r="E16" s="698" t="s">
        <v>992</v>
      </c>
      <c r="F16" s="698" t="s">
        <v>992</v>
      </c>
      <c r="G16" s="698" t="s">
        <v>992</v>
      </c>
      <c r="H16" s="698" t="s">
        <v>992</v>
      </c>
      <c r="I16" s="698" t="s">
        <v>992</v>
      </c>
      <c r="J16" s="698" t="s">
        <v>992</v>
      </c>
      <c r="K16" s="698" t="s">
        <v>992</v>
      </c>
      <c r="L16" s="698" t="s">
        <v>992</v>
      </c>
      <c r="M16" s="698" t="s">
        <v>992</v>
      </c>
      <c r="N16" s="698" t="s">
        <v>992</v>
      </c>
      <c r="O16" s="698" t="s">
        <v>992</v>
      </c>
      <c r="P16" s="698" t="s">
        <v>992</v>
      </c>
      <c r="Q16" s="698" t="s">
        <v>992</v>
      </c>
      <c r="R16" s="698" t="s">
        <v>992</v>
      </c>
      <c r="S16" s="698" t="s">
        <v>992</v>
      </c>
      <c r="T16" s="698" t="s">
        <v>992</v>
      </c>
      <c r="U16" s="698" t="s">
        <v>992</v>
      </c>
      <c r="V16" s="698" t="s">
        <v>992</v>
      </c>
      <c r="W16" s="698" t="s">
        <v>992</v>
      </c>
      <c r="X16" s="698" t="s">
        <v>992</v>
      </c>
      <c r="Y16" s="698" t="s">
        <v>992</v>
      </c>
      <c r="Z16" s="698" t="s">
        <v>992</v>
      </c>
      <c r="AA16" s="699" t="s">
        <v>992</v>
      </c>
    </row>
    <row r="17" spans="1:27" ht="24">
      <c r="A17" s="495" t="s">
        <v>584</v>
      </c>
      <c r="B17" s="497" t="s">
        <v>585</v>
      </c>
      <c r="C17" s="700">
        <v>189365062.41280001</v>
      </c>
      <c r="D17" s="685">
        <v>148297821.44459999</v>
      </c>
      <c r="E17" s="685">
        <v>6827830.6871999996</v>
      </c>
      <c r="F17" s="685">
        <v>0</v>
      </c>
      <c r="G17" s="685">
        <v>0</v>
      </c>
      <c r="H17" s="685">
        <v>15847329.8192</v>
      </c>
      <c r="I17" s="685">
        <v>2502276.2788</v>
      </c>
      <c r="J17" s="685">
        <v>4373931.0906999996</v>
      </c>
      <c r="K17" s="685">
        <v>0</v>
      </c>
      <c r="L17" s="685">
        <v>20849704.2236</v>
      </c>
      <c r="M17" s="685">
        <v>164348.88440000001</v>
      </c>
      <c r="N17" s="685">
        <v>1147909.7978000001</v>
      </c>
      <c r="O17" s="685">
        <v>7094183.9510000004</v>
      </c>
      <c r="P17" s="685">
        <v>1924708.1595000001</v>
      </c>
      <c r="Q17" s="685">
        <v>4621704.8689000001</v>
      </c>
      <c r="R17" s="685">
        <v>5835571.0936000003</v>
      </c>
      <c r="S17" s="685">
        <v>0</v>
      </c>
      <c r="T17" s="685">
        <v>2302129.0893999999</v>
      </c>
      <c r="U17" s="685">
        <v>0</v>
      </c>
      <c r="V17" s="685">
        <v>0</v>
      </c>
      <c r="W17" s="685">
        <v>0</v>
      </c>
      <c r="X17" s="685">
        <v>2302129.0893999999</v>
      </c>
      <c r="Y17" s="685">
        <v>0</v>
      </c>
      <c r="Z17" s="685">
        <v>0</v>
      </c>
      <c r="AA17" s="693">
        <v>0</v>
      </c>
    </row>
    <row r="18" spans="1:27" ht="24">
      <c r="A18" s="493" t="s">
        <v>586</v>
      </c>
      <c r="B18" s="494" t="s">
        <v>587</v>
      </c>
      <c r="C18" s="701">
        <v>179454118.42480001</v>
      </c>
      <c r="D18" s="685">
        <v>138386877.45660001</v>
      </c>
      <c r="E18" s="685">
        <v>6827830.6871999996</v>
      </c>
      <c r="F18" s="685">
        <v>0</v>
      </c>
      <c r="G18" s="685">
        <v>0</v>
      </c>
      <c r="H18" s="685">
        <v>15847329.8192</v>
      </c>
      <c r="I18" s="685">
        <v>2502276.2788</v>
      </c>
      <c r="J18" s="685">
        <v>4373931.0906999996</v>
      </c>
      <c r="K18" s="685">
        <v>0</v>
      </c>
      <c r="L18" s="685">
        <v>20849704.2236</v>
      </c>
      <c r="M18" s="685">
        <v>164348.88440000001</v>
      </c>
      <c r="N18" s="685">
        <v>1147909.7978000001</v>
      </c>
      <c r="O18" s="685">
        <v>7094183.9510000004</v>
      </c>
      <c r="P18" s="685">
        <v>1924708.1595000001</v>
      </c>
      <c r="Q18" s="685">
        <v>4621704.8689000001</v>
      </c>
      <c r="R18" s="685">
        <v>5835571.0936000003</v>
      </c>
      <c r="S18" s="685">
        <v>0</v>
      </c>
      <c r="T18" s="685">
        <v>2302129.0893999999</v>
      </c>
      <c r="U18" s="685">
        <v>0</v>
      </c>
      <c r="V18" s="685">
        <v>0</v>
      </c>
      <c r="W18" s="685">
        <v>0</v>
      </c>
      <c r="X18" s="685">
        <v>2302129.0893999999</v>
      </c>
      <c r="Y18" s="685">
        <v>0</v>
      </c>
      <c r="Z18" s="685">
        <v>0</v>
      </c>
      <c r="AA18" s="693">
        <v>0</v>
      </c>
    </row>
    <row r="19" spans="1:27">
      <c r="A19" s="495" t="s">
        <v>588</v>
      </c>
      <c r="B19" s="496" t="s">
        <v>589</v>
      </c>
      <c r="C19" s="702">
        <v>204265555.38609999</v>
      </c>
      <c r="D19" s="685">
        <v>168608161.57229999</v>
      </c>
      <c r="E19" s="685">
        <v>5660760.4656999996</v>
      </c>
      <c r="F19" s="685">
        <v>0</v>
      </c>
      <c r="G19" s="685">
        <v>0</v>
      </c>
      <c r="H19" s="685">
        <v>20784206.158100002</v>
      </c>
      <c r="I19" s="685">
        <v>0</v>
      </c>
      <c r="J19" s="685">
        <v>301092.28590000002</v>
      </c>
      <c r="K19" s="685">
        <v>0</v>
      </c>
      <c r="L19" s="685">
        <v>14873187.6557</v>
      </c>
      <c r="M19" s="685">
        <v>108471.23940000001</v>
      </c>
      <c r="N19" s="685">
        <v>1279511.1492000001</v>
      </c>
      <c r="O19" s="685">
        <v>3293445.2344</v>
      </c>
      <c r="P19" s="685">
        <v>3679873.2563</v>
      </c>
      <c r="Q19" s="685">
        <v>4791830.1341000004</v>
      </c>
      <c r="R19" s="685">
        <v>1720056.6422999999</v>
      </c>
      <c r="S19" s="685">
        <v>0</v>
      </c>
      <c r="T19" s="685">
        <v>0</v>
      </c>
      <c r="U19" s="685">
        <v>0</v>
      </c>
      <c r="V19" s="685">
        <v>0</v>
      </c>
      <c r="W19" s="685">
        <v>0</v>
      </c>
      <c r="X19" s="685">
        <v>0</v>
      </c>
      <c r="Y19" s="685">
        <v>0</v>
      </c>
      <c r="Z19" s="685">
        <v>0</v>
      </c>
      <c r="AA19" s="693">
        <v>0</v>
      </c>
    </row>
    <row r="20" spans="1:27">
      <c r="A20" s="493" t="s">
        <v>590</v>
      </c>
      <c r="B20" s="494" t="s">
        <v>591</v>
      </c>
      <c r="C20" s="701">
        <v>182981974.63550001</v>
      </c>
      <c r="D20" s="685">
        <v>147871454.2868</v>
      </c>
      <c r="E20" s="685">
        <v>5660760.4656999996</v>
      </c>
      <c r="F20" s="685">
        <v>0</v>
      </c>
      <c r="G20" s="685">
        <v>0</v>
      </c>
      <c r="H20" s="685">
        <v>20689771.645599999</v>
      </c>
      <c r="I20" s="685">
        <v>0</v>
      </c>
      <c r="J20" s="685">
        <v>277929.56280000001</v>
      </c>
      <c r="K20" s="685">
        <v>0</v>
      </c>
      <c r="L20" s="685">
        <v>14420748.7031</v>
      </c>
      <c r="M20" s="685">
        <v>108471.23940000001</v>
      </c>
      <c r="N20" s="685">
        <v>1024421.2903</v>
      </c>
      <c r="O20" s="685">
        <v>3096096.1406999999</v>
      </c>
      <c r="P20" s="685">
        <v>3679873.2563</v>
      </c>
      <c r="Q20" s="685">
        <v>4791830.1341000004</v>
      </c>
      <c r="R20" s="685">
        <v>1720056.6422999999</v>
      </c>
      <c r="S20" s="685">
        <v>0</v>
      </c>
      <c r="T20" s="685">
        <v>0</v>
      </c>
      <c r="U20" s="685">
        <v>0</v>
      </c>
      <c r="V20" s="685">
        <v>0</v>
      </c>
      <c r="W20" s="685">
        <v>0</v>
      </c>
      <c r="X20" s="685">
        <v>0</v>
      </c>
      <c r="Y20" s="685">
        <v>0</v>
      </c>
      <c r="Z20" s="685">
        <v>0</v>
      </c>
      <c r="AA20" s="693">
        <v>0</v>
      </c>
    </row>
    <row r="21" spans="1:27">
      <c r="A21" s="492">
        <v>1.4</v>
      </c>
      <c r="B21" s="491" t="s">
        <v>680</v>
      </c>
      <c r="C21" s="703" t="s">
        <v>992</v>
      </c>
      <c r="D21" s="685" t="s">
        <v>992</v>
      </c>
      <c r="E21" s="685" t="s">
        <v>992</v>
      </c>
      <c r="F21" s="685" t="s">
        <v>992</v>
      </c>
      <c r="G21" s="685" t="s">
        <v>992</v>
      </c>
      <c r="H21" s="685" t="s">
        <v>992</v>
      </c>
      <c r="I21" s="685" t="s">
        <v>992</v>
      </c>
      <c r="J21" s="685" t="s">
        <v>992</v>
      </c>
      <c r="K21" s="685" t="s">
        <v>992</v>
      </c>
      <c r="L21" s="685" t="s">
        <v>992</v>
      </c>
      <c r="M21" s="685" t="s">
        <v>992</v>
      </c>
      <c r="N21" s="685" t="s">
        <v>992</v>
      </c>
      <c r="O21" s="685" t="s">
        <v>992</v>
      </c>
      <c r="P21" s="685" t="s">
        <v>992</v>
      </c>
      <c r="Q21" s="685" t="s">
        <v>992</v>
      </c>
      <c r="R21" s="685" t="s">
        <v>992</v>
      </c>
      <c r="S21" s="685" t="s">
        <v>992</v>
      </c>
      <c r="T21" s="685" t="s">
        <v>992</v>
      </c>
      <c r="U21" s="685" t="s">
        <v>992</v>
      </c>
      <c r="V21" s="685" t="s">
        <v>992</v>
      </c>
      <c r="W21" s="685" t="s">
        <v>992</v>
      </c>
      <c r="X21" s="685" t="s">
        <v>992</v>
      </c>
      <c r="Y21" s="685" t="s">
        <v>992</v>
      </c>
      <c r="Z21" s="685" t="s">
        <v>992</v>
      </c>
      <c r="AA21" s="693" t="s">
        <v>992</v>
      </c>
    </row>
    <row r="22" spans="1:27" ht="12.6" thickBot="1">
      <c r="A22" s="490">
        <v>1.5</v>
      </c>
      <c r="B22" s="489" t="s">
        <v>681</v>
      </c>
      <c r="C22" s="704">
        <v>595060</v>
      </c>
      <c r="D22" s="705">
        <v>595060</v>
      </c>
      <c r="E22" s="705">
        <v>0</v>
      </c>
      <c r="F22" s="705">
        <v>0</v>
      </c>
      <c r="G22" s="705">
        <v>0</v>
      </c>
      <c r="H22" s="705">
        <v>0</v>
      </c>
      <c r="I22" s="705">
        <v>0</v>
      </c>
      <c r="J22" s="705">
        <v>0</v>
      </c>
      <c r="K22" s="705">
        <v>0</v>
      </c>
      <c r="L22" s="705">
        <v>0</v>
      </c>
      <c r="M22" s="705">
        <v>0</v>
      </c>
      <c r="N22" s="705">
        <v>0</v>
      </c>
      <c r="O22" s="705">
        <v>0</v>
      </c>
      <c r="P22" s="705">
        <v>0</v>
      </c>
      <c r="Q22" s="705">
        <v>0</v>
      </c>
      <c r="R22" s="705">
        <v>0</v>
      </c>
      <c r="S22" s="705">
        <v>0</v>
      </c>
      <c r="T22" s="705">
        <v>0</v>
      </c>
      <c r="U22" s="705">
        <v>0</v>
      </c>
      <c r="V22" s="705">
        <v>0</v>
      </c>
      <c r="W22" s="705">
        <v>0</v>
      </c>
      <c r="X22" s="705">
        <v>0</v>
      </c>
      <c r="Y22" s="705">
        <v>0</v>
      </c>
      <c r="Z22" s="705">
        <v>0</v>
      </c>
      <c r="AA22" s="706">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paperSize="9" scale="1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L35"/>
  <sheetViews>
    <sheetView showGridLines="0" zoomScaleNormal="100" workbookViewId="0">
      <selection activeCell="B8" sqref="B8"/>
    </sheetView>
  </sheetViews>
  <sheetFormatPr defaultColWidth="9.21875" defaultRowHeight="12"/>
  <cols>
    <col min="1" max="1" width="11.77734375" style="462" bestFit="1" customWidth="1"/>
    <col min="2" max="2" width="93.44140625" style="462" customWidth="1"/>
    <col min="3" max="3" width="14.6640625" style="462" customWidth="1"/>
    <col min="4" max="5" width="16.109375" style="462" customWidth="1"/>
    <col min="6" max="6" width="16.109375" style="480" customWidth="1"/>
    <col min="7" max="7" width="25.21875" style="480" customWidth="1"/>
    <col min="8" max="8" width="16.109375" style="462" customWidth="1"/>
    <col min="9" max="11" width="16.109375" style="480" customWidth="1"/>
    <col min="12" max="12" width="26.21875" style="480" customWidth="1"/>
    <col min="13" max="16384" width="9.21875" style="462"/>
  </cols>
  <sheetData>
    <row r="1" spans="1:12" ht="13.8">
      <c r="A1" s="386" t="s">
        <v>108</v>
      </c>
      <c r="B1" s="305" t="str">
        <f>Info!C2</f>
        <v>სს " პაშა ბანკი საქართველო"</v>
      </c>
      <c r="F1" s="462"/>
      <c r="G1" s="462"/>
      <c r="I1" s="462"/>
      <c r="J1" s="462"/>
      <c r="K1" s="462"/>
      <c r="L1" s="462"/>
    </row>
    <row r="2" spans="1:12">
      <c r="A2" s="386" t="s">
        <v>109</v>
      </c>
      <c r="B2" s="389">
        <f>'1. key ratios'!B2</f>
        <v>45291</v>
      </c>
      <c r="F2" s="462"/>
      <c r="G2" s="462"/>
      <c r="I2" s="462"/>
      <c r="J2" s="462"/>
      <c r="K2" s="462"/>
      <c r="L2" s="462"/>
    </row>
    <row r="3" spans="1:12">
      <c r="A3" s="388" t="s">
        <v>594</v>
      </c>
      <c r="F3" s="462"/>
      <c r="G3" s="462"/>
      <c r="I3" s="462"/>
      <c r="J3" s="462"/>
      <c r="K3" s="462"/>
      <c r="L3" s="462"/>
    </row>
    <row r="4" spans="1:12">
      <c r="F4" s="462"/>
      <c r="G4" s="462"/>
      <c r="I4" s="462"/>
      <c r="J4" s="462"/>
      <c r="K4" s="462"/>
      <c r="L4" s="462"/>
    </row>
    <row r="5" spans="1:12" ht="37.5" customHeight="1">
      <c r="A5" s="804" t="s">
        <v>595</v>
      </c>
      <c r="B5" s="805"/>
      <c r="C5" s="853" t="s">
        <v>596</v>
      </c>
      <c r="D5" s="854"/>
      <c r="E5" s="854"/>
      <c r="F5" s="854"/>
      <c r="G5" s="854"/>
      <c r="H5" s="853" t="s">
        <v>907</v>
      </c>
      <c r="I5" s="855"/>
      <c r="J5" s="855"/>
      <c r="K5" s="855"/>
      <c r="L5" s="856"/>
    </row>
    <row r="6" spans="1:12" ht="39.450000000000003" customHeight="1">
      <c r="A6" s="808"/>
      <c r="B6" s="809"/>
      <c r="C6" s="393"/>
      <c r="D6" s="460" t="s">
        <v>892</v>
      </c>
      <c r="E6" s="460" t="s">
        <v>891</v>
      </c>
      <c r="F6" s="460" t="s">
        <v>890</v>
      </c>
      <c r="G6" s="460" t="s">
        <v>889</v>
      </c>
      <c r="H6" s="481"/>
      <c r="I6" s="460" t="s">
        <v>892</v>
      </c>
      <c r="J6" s="460" t="s">
        <v>891</v>
      </c>
      <c r="K6" s="460" t="s">
        <v>890</v>
      </c>
      <c r="L6" s="460" t="s">
        <v>889</v>
      </c>
    </row>
    <row r="7" spans="1:12" ht="17.399999999999999">
      <c r="A7" s="452">
        <v>1</v>
      </c>
      <c r="B7" s="465" t="s">
        <v>518</v>
      </c>
      <c r="C7" s="707">
        <v>8182599.0822000001</v>
      </c>
      <c r="D7" s="685">
        <v>7501304.1090000002</v>
      </c>
      <c r="E7" s="685">
        <v>278349.44</v>
      </c>
      <c r="F7" s="685">
        <v>402945.53320000001</v>
      </c>
      <c r="G7" s="708">
        <v>0</v>
      </c>
      <c r="H7" s="685">
        <v>610482.36780000001</v>
      </c>
      <c r="I7" s="709">
        <v>239417.3737</v>
      </c>
      <c r="J7" s="709">
        <v>35759.1947</v>
      </c>
      <c r="K7" s="709">
        <v>335305.79940000002</v>
      </c>
      <c r="L7" s="708">
        <v>0</v>
      </c>
    </row>
    <row r="8" spans="1:12">
      <c r="A8" s="452">
        <v>2</v>
      </c>
      <c r="B8" s="465" t="s">
        <v>519</v>
      </c>
      <c r="C8" s="707">
        <v>61273013.759599999</v>
      </c>
      <c r="D8" s="685">
        <v>60958686.2663</v>
      </c>
      <c r="E8" s="685">
        <v>78248.87</v>
      </c>
      <c r="F8" s="709">
        <v>236078.62330000001</v>
      </c>
      <c r="G8" s="709">
        <v>0</v>
      </c>
      <c r="H8" s="685">
        <v>1209923.5075000001</v>
      </c>
      <c r="I8" s="709">
        <v>971951.12970000005</v>
      </c>
      <c r="J8" s="709">
        <v>13820.277099999999</v>
      </c>
      <c r="K8" s="709">
        <v>224152.10070000001</v>
      </c>
      <c r="L8" s="709">
        <v>0</v>
      </c>
    </row>
    <row r="9" spans="1:12">
      <c r="A9" s="452">
        <v>3</v>
      </c>
      <c r="B9" s="465" t="s">
        <v>868</v>
      </c>
      <c r="C9" s="707">
        <v>552259.18999999994</v>
      </c>
      <c r="D9" s="685">
        <v>552259.18999999994</v>
      </c>
      <c r="E9" s="685">
        <v>0</v>
      </c>
      <c r="F9" s="710">
        <v>0</v>
      </c>
      <c r="G9" s="710">
        <v>0</v>
      </c>
      <c r="H9" s="685">
        <v>5048.4210999999996</v>
      </c>
      <c r="I9" s="710">
        <v>5048.4210999999996</v>
      </c>
      <c r="J9" s="710">
        <v>0</v>
      </c>
      <c r="K9" s="710">
        <v>0</v>
      </c>
      <c r="L9" s="710">
        <v>0</v>
      </c>
    </row>
    <row r="10" spans="1:12">
      <c r="A10" s="452">
        <v>4</v>
      </c>
      <c r="B10" s="465" t="s">
        <v>520</v>
      </c>
      <c r="C10" s="707">
        <v>24244212.337200001</v>
      </c>
      <c r="D10" s="685">
        <v>15718151.920600001</v>
      </c>
      <c r="E10" s="685">
        <v>1846862.8026000001</v>
      </c>
      <c r="F10" s="710">
        <v>6679197.6140000001</v>
      </c>
      <c r="G10" s="710">
        <v>0</v>
      </c>
      <c r="H10" s="685">
        <v>2381228.9169999999</v>
      </c>
      <c r="I10" s="710">
        <v>71824.676800000001</v>
      </c>
      <c r="J10" s="710">
        <v>14358.317300000001</v>
      </c>
      <c r="K10" s="710">
        <v>2295045.9229000001</v>
      </c>
      <c r="L10" s="710">
        <v>0</v>
      </c>
    </row>
    <row r="11" spans="1:12">
      <c r="A11" s="452">
        <v>5</v>
      </c>
      <c r="B11" s="465" t="s">
        <v>521</v>
      </c>
      <c r="C11" s="707">
        <v>38963773.9604</v>
      </c>
      <c r="D11" s="685">
        <v>38151447.427100003</v>
      </c>
      <c r="E11" s="685">
        <v>812326.53330000001</v>
      </c>
      <c r="F11" s="710">
        <v>0</v>
      </c>
      <c r="G11" s="710">
        <v>0</v>
      </c>
      <c r="H11" s="685">
        <v>60470.917399999998</v>
      </c>
      <c r="I11" s="710">
        <v>53733.594299999997</v>
      </c>
      <c r="J11" s="710">
        <v>6737.3230999999996</v>
      </c>
      <c r="K11" s="710">
        <v>0</v>
      </c>
      <c r="L11" s="710">
        <v>0</v>
      </c>
    </row>
    <row r="12" spans="1:12">
      <c r="A12" s="452">
        <v>6</v>
      </c>
      <c r="B12" s="465" t="s">
        <v>522</v>
      </c>
      <c r="C12" s="707">
        <v>1762500.7796</v>
      </c>
      <c r="D12" s="685">
        <v>1308692.9409</v>
      </c>
      <c r="E12" s="685">
        <v>40568.93</v>
      </c>
      <c r="F12" s="710">
        <v>413238.90870000003</v>
      </c>
      <c r="G12" s="710">
        <v>0</v>
      </c>
      <c r="H12" s="685">
        <v>210626.9253</v>
      </c>
      <c r="I12" s="710">
        <v>28126.589400000001</v>
      </c>
      <c r="J12" s="710">
        <v>7860.0011000000004</v>
      </c>
      <c r="K12" s="710">
        <v>174640.33480000001</v>
      </c>
      <c r="L12" s="710">
        <v>0</v>
      </c>
    </row>
    <row r="13" spans="1:12">
      <c r="A13" s="452">
        <v>7</v>
      </c>
      <c r="B13" s="465" t="s">
        <v>523</v>
      </c>
      <c r="C13" s="707">
        <v>790142.80570000003</v>
      </c>
      <c r="D13" s="685">
        <v>779395.51899999997</v>
      </c>
      <c r="E13" s="685">
        <v>3362.82</v>
      </c>
      <c r="F13" s="710">
        <v>7384.4666999999999</v>
      </c>
      <c r="G13" s="710">
        <v>0</v>
      </c>
      <c r="H13" s="685">
        <v>16676.992699999999</v>
      </c>
      <c r="I13" s="710">
        <v>7788.7205000000004</v>
      </c>
      <c r="J13" s="710">
        <v>793.29330000000004</v>
      </c>
      <c r="K13" s="710">
        <v>8094.9789000000001</v>
      </c>
      <c r="L13" s="710">
        <v>0</v>
      </c>
    </row>
    <row r="14" spans="1:12">
      <c r="A14" s="452">
        <v>8</v>
      </c>
      <c r="B14" s="465" t="s">
        <v>524</v>
      </c>
      <c r="C14" s="707">
        <v>5724758.2095999997</v>
      </c>
      <c r="D14" s="685">
        <v>3925941.2404</v>
      </c>
      <c r="E14" s="685">
        <v>182.35</v>
      </c>
      <c r="F14" s="710">
        <v>1798634.6192000001</v>
      </c>
      <c r="G14" s="710">
        <v>0</v>
      </c>
      <c r="H14" s="685">
        <v>302655.30109999998</v>
      </c>
      <c r="I14" s="710">
        <v>19019.604500000001</v>
      </c>
      <c r="J14" s="710">
        <v>16.692699999999999</v>
      </c>
      <c r="K14" s="710">
        <v>283619.00390000001</v>
      </c>
      <c r="L14" s="710">
        <v>0</v>
      </c>
    </row>
    <row r="15" spans="1:12">
      <c r="A15" s="452">
        <v>9</v>
      </c>
      <c r="B15" s="465" t="s">
        <v>525</v>
      </c>
      <c r="C15" s="707">
        <v>8927105.4503000006</v>
      </c>
      <c r="D15" s="685">
        <v>8792666.8003000002</v>
      </c>
      <c r="E15" s="685">
        <v>134438.65</v>
      </c>
      <c r="F15" s="710">
        <v>0</v>
      </c>
      <c r="G15" s="710">
        <v>0</v>
      </c>
      <c r="H15" s="685">
        <v>94244.338199999998</v>
      </c>
      <c r="I15" s="710">
        <v>90525.492100000003</v>
      </c>
      <c r="J15" s="710">
        <v>3718.8461000000002</v>
      </c>
      <c r="K15" s="710">
        <v>0</v>
      </c>
      <c r="L15" s="710">
        <v>0</v>
      </c>
    </row>
    <row r="16" spans="1:12">
      <c r="A16" s="452">
        <v>10</v>
      </c>
      <c r="B16" s="465" t="s">
        <v>526</v>
      </c>
      <c r="C16" s="707">
        <v>194606.43669999999</v>
      </c>
      <c r="D16" s="685">
        <v>194606.43669999999</v>
      </c>
      <c r="E16" s="685">
        <v>0</v>
      </c>
      <c r="F16" s="710">
        <v>0</v>
      </c>
      <c r="G16" s="710">
        <v>0</v>
      </c>
      <c r="H16" s="685">
        <v>6789.8062</v>
      </c>
      <c r="I16" s="710">
        <v>6789.8062</v>
      </c>
      <c r="J16" s="710">
        <v>0</v>
      </c>
      <c r="K16" s="710">
        <v>0</v>
      </c>
      <c r="L16" s="710">
        <v>0</v>
      </c>
    </row>
    <row r="17" spans="1:12">
      <c r="A17" s="452">
        <v>11</v>
      </c>
      <c r="B17" s="465" t="s">
        <v>527</v>
      </c>
      <c r="C17" s="707">
        <v>15919453.5155</v>
      </c>
      <c r="D17" s="685">
        <v>15911284.854</v>
      </c>
      <c r="E17" s="685">
        <v>2069.41</v>
      </c>
      <c r="F17" s="710">
        <v>6099.2515000000003</v>
      </c>
      <c r="G17" s="710">
        <v>0</v>
      </c>
      <c r="H17" s="685">
        <v>159534.8921</v>
      </c>
      <c r="I17" s="710">
        <v>153635.54240000001</v>
      </c>
      <c r="J17" s="710">
        <v>999.32600000000002</v>
      </c>
      <c r="K17" s="710">
        <v>4900.0236999999997</v>
      </c>
      <c r="L17" s="710">
        <v>0</v>
      </c>
    </row>
    <row r="18" spans="1:12">
      <c r="A18" s="452">
        <v>12</v>
      </c>
      <c r="B18" s="465" t="s">
        <v>528</v>
      </c>
      <c r="C18" s="707">
        <v>9254228.9427000005</v>
      </c>
      <c r="D18" s="685">
        <v>8337575.8932999996</v>
      </c>
      <c r="E18" s="685">
        <v>328696.15000000002</v>
      </c>
      <c r="F18" s="710">
        <v>564365.37219999998</v>
      </c>
      <c r="G18" s="710">
        <v>23591.5272</v>
      </c>
      <c r="H18" s="685">
        <v>600362.7415</v>
      </c>
      <c r="I18" s="710">
        <v>269178.70689999999</v>
      </c>
      <c r="J18" s="710">
        <v>55917.852899999998</v>
      </c>
      <c r="K18" s="710">
        <v>256117.78630000001</v>
      </c>
      <c r="L18" s="710">
        <v>19148.395400000001</v>
      </c>
    </row>
    <row r="19" spans="1:12">
      <c r="A19" s="452">
        <v>13</v>
      </c>
      <c r="B19" s="465" t="s">
        <v>529</v>
      </c>
      <c r="C19" s="707">
        <v>1542504.0514</v>
      </c>
      <c r="D19" s="685">
        <v>914129.74849999999</v>
      </c>
      <c r="E19" s="685">
        <v>51980.5</v>
      </c>
      <c r="F19" s="710">
        <v>576393.80290000001</v>
      </c>
      <c r="G19" s="710">
        <v>0</v>
      </c>
      <c r="H19" s="685">
        <v>329711.3039</v>
      </c>
      <c r="I19" s="710">
        <v>37726.713400000001</v>
      </c>
      <c r="J19" s="710">
        <v>10994.054</v>
      </c>
      <c r="K19" s="710">
        <v>280990.53649999999</v>
      </c>
      <c r="L19" s="710">
        <v>0</v>
      </c>
    </row>
    <row r="20" spans="1:12">
      <c r="A20" s="452">
        <v>14</v>
      </c>
      <c r="B20" s="465" t="s">
        <v>530</v>
      </c>
      <c r="C20" s="707">
        <v>25111128.3101</v>
      </c>
      <c r="D20" s="685">
        <v>17687193.116799999</v>
      </c>
      <c r="E20" s="685">
        <v>4980641.2547000004</v>
      </c>
      <c r="F20" s="710">
        <v>2391777.9386</v>
      </c>
      <c r="G20" s="710">
        <v>51516</v>
      </c>
      <c r="H20" s="685">
        <v>586446.20790000004</v>
      </c>
      <c r="I20" s="710">
        <v>164846.75469999999</v>
      </c>
      <c r="J20" s="710">
        <v>40658.666899999997</v>
      </c>
      <c r="K20" s="710">
        <v>329424.78629999998</v>
      </c>
      <c r="L20" s="710">
        <v>51516</v>
      </c>
    </row>
    <row r="21" spans="1:12">
      <c r="A21" s="452">
        <v>15</v>
      </c>
      <c r="B21" s="465" t="s">
        <v>531</v>
      </c>
      <c r="C21" s="707">
        <v>11897918.0459</v>
      </c>
      <c r="D21" s="685">
        <v>2932923.8752000001</v>
      </c>
      <c r="E21" s="685">
        <v>15998.49</v>
      </c>
      <c r="F21" s="710">
        <v>8948995.6807000004</v>
      </c>
      <c r="G21" s="710">
        <v>0</v>
      </c>
      <c r="H21" s="685">
        <v>1777863.6296000001</v>
      </c>
      <c r="I21" s="710">
        <v>28650.631799999999</v>
      </c>
      <c r="J21" s="710">
        <v>3995.6583999999998</v>
      </c>
      <c r="K21" s="710">
        <v>1745217.3393999999</v>
      </c>
      <c r="L21" s="710">
        <v>0</v>
      </c>
    </row>
    <row r="22" spans="1:12">
      <c r="A22" s="452">
        <v>16</v>
      </c>
      <c r="B22" s="465" t="s">
        <v>532</v>
      </c>
      <c r="C22" s="707">
        <v>78886.896399999998</v>
      </c>
      <c r="D22" s="685">
        <v>62011.6</v>
      </c>
      <c r="E22" s="685">
        <v>0</v>
      </c>
      <c r="F22" s="710">
        <v>16875.296399999999</v>
      </c>
      <c r="G22" s="710">
        <v>0</v>
      </c>
      <c r="H22" s="685">
        <v>16512.078699999998</v>
      </c>
      <c r="I22" s="710">
        <v>2481.9605000000001</v>
      </c>
      <c r="J22" s="710">
        <v>0</v>
      </c>
      <c r="K22" s="710">
        <v>14030.118200000001</v>
      </c>
      <c r="L22" s="710">
        <v>0</v>
      </c>
    </row>
    <row r="23" spans="1:12">
      <c r="A23" s="452">
        <v>17</v>
      </c>
      <c r="B23" s="465" t="s">
        <v>533</v>
      </c>
      <c r="C23" s="707">
        <v>8937862.7467</v>
      </c>
      <c r="D23" s="685">
        <v>8927584.5066999998</v>
      </c>
      <c r="E23" s="685">
        <v>10278.24</v>
      </c>
      <c r="F23" s="710">
        <v>0</v>
      </c>
      <c r="G23" s="710">
        <v>0</v>
      </c>
      <c r="H23" s="685">
        <v>43062.099399999999</v>
      </c>
      <c r="I23" s="710">
        <v>40747.938199999997</v>
      </c>
      <c r="J23" s="710">
        <v>2314.1612</v>
      </c>
      <c r="K23" s="710">
        <v>0</v>
      </c>
      <c r="L23" s="710">
        <v>0</v>
      </c>
    </row>
    <row r="24" spans="1:12">
      <c r="A24" s="452">
        <v>18</v>
      </c>
      <c r="B24" s="465" t="s">
        <v>534</v>
      </c>
      <c r="C24" s="707">
        <v>57370522.175099999</v>
      </c>
      <c r="D24" s="685">
        <v>57292580.621100001</v>
      </c>
      <c r="E24" s="685">
        <v>16914.54</v>
      </c>
      <c r="F24" s="710">
        <v>61027.014000000003</v>
      </c>
      <c r="G24" s="710">
        <v>0</v>
      </c>
      <c r="H24" s="685">
        <v>622661.51119999995</v>
      </c>
      <c r="I24" s="710">
        <v>570532.78469999996</v>
      </c>
      <c r="J24" s="710">
        <v>2315.4139</v>
      </c>
      <c r="K24" s="710">
        <v>49813.312599999997</v>
      </c>
      <c r="L24" s="710">
        <v>0</v>
      </c>
    </row>
    <row r="25" spans="1:12">
      <c r="A25" s="452">
        <v>19</v>
      </c>
      <c r="B25" s="465" t="s">
        <v>535</v>
      </c>
      <c r="C25" s="707">
        <v>5327809.3952000001</v>
      </c>
      <c r="D25" s="685">
        <v>5326948.6151999999</v>
      </c>
      <c r="E25" s="685">
        <v>860.78</v>
      </c>
      <c r="F25" s="710">
        <v>0</v>
      </c>
      <c r="G25" s="710">
        <v>0</v>
      </c>
      <c r="H25" s="685">
        <v>19598.768499999998</v>
      </c>
      <c r="I25" s="710">
        <v>19490.007399999999</v>
      </c>
      <c r="J25" s="710">
        <v>108.7611</v>
      </c>
      <c r="K25" s="710">
        <v>0</v>
      </c>
      <c r="L25" s="710">
        <v>0</v>
      </c>
    </row>
    <row r="26" spans="1:12">
      <c r="A26" s="452">
        <v>20</v>
      </c>
      <c r="B26" s="465" t="s">
        <v>536</v>
      </c>
      <c r="C26" s="707">
        <v>1571669.9310999999</v>
      </c>
      <c r="D26" s="685">
        <v>1487782.37</v>
      </c>
      <c r="E26" s="685">
        <v>52493.64</v>
      </c>
      <c r="F26" s="710">
        <v>31393.9211</v>
      </c>
      <c r="G26" s="710">
        <v>0</v>
      </c>
      <c r="H26" s="685">
        <v>85776.692299999995</v>
      </c>
      <c r="I26" s="710">
        <v>50736.836900000002</v>
      </c>
      <c r="J26" s="710">
        <v>9136.2780000000002</v>
      </c>
      <c r="K26" s="710">
        <v>25903.577399999998</v>
      </c>
      <c r="L26" s="710">
        <v>0</v>
      </c>
    </row>
    <row r="27" spans="1:12">
      <c r="A27" s="452">
        <v>21</v>
      </c>
      <c r="B27" s="465" t="s">
        <v>537</v>
      </c>
      <c r="C27" s="707">
        <v>449313.51390000002</v>
      </c>
      <c r="D27" s="685">
        <v>428977.52</v>
      </c>
      <c r="E27" s="685">
        <v>17855.41</v>
      </c>
      <c r="F27" s="710">
        <v>2480.5839000000001</v>
      </c>
      <c r="G27" s="710">
        <v>0</v>
      </c>
      <c r="H27" s="685">
        <v>19795.497299999999</v>
      </c>
      <c r="I27" s="710">
        <v>16233.1854</v>
      </c>
      <c r="J27" s="710">
        <v>1522.6973</v>
      </c>
      <c r="K27" s="710">
        <v>2039.6146000000001</v>
      </c>
      <c r="L27" s="710">
        <v>0</v>
      </c>
    </row>
    <row r="28" spans="1:12">
      <c r="A28" s="452">
        <v>22</v>
      </c>
      <c r="B28" s="465" t="s">
        <v>538</v>
      </c>
      <c r="C28" s="707">
        <v>301333.16489999997</v>
      </c>
      <c r="D28" s="685">
        <v>279397.89</v>
      </c>
      <c r="E28" s="685">
        <v>20281.330000000002</v>
      </c>
      <c r="F28" s="710">
        <v>1653.9449</v>
      </c>
      <c r="G28" s="710">
        <v>0</v>
      </c>
      <c r="H28" s="685">
        <v>14027.2502</v>
      </c>
      <c r="I28" s="710">
        <v>9102.2194</v>
      </c>
      <c r="J28" s="710">
        <v>3592.7546000000002</v>
      </c>
      <c r="K28" s="710">
        <v>1332.2762</v>
      </c>
      <c r="L28" s="710">
        <v>0</v>
      </c>
    </row>
    <row r="29" spans="1:12">
      <c r="A29" s="452">
        <v>23</v>
      </c>
      <c r="B29" s="465" t="s">
        <v>539</v>
      </c>
      <c r="C29" s="707">
        <v>13300216.2575</v>
      </c>
      <c r="D29" s="685">
        <v>6809885.3168000001</v>
      </c>
      <c r="E29" s="685">
        <v>3687452.7601000001</v>
      </c>
      <c r="F29" s="710">
        <v>2802878.1806000001</v>
      </c>
      <c r="G29" s="710">
        <v>0</v>
      </c>
      <c r="H29" s="685">
        <v>904960.68500000006</v>
      </c>
      <c r="I29" s="710">
        <v>234304.5588</v>
      </c>
      <c r="J29" s="710">
        <v>159690.66560000001</v>
      </c>
      <c r="K29" s="710">
        <v>510965.46059999999</v>
      </c>
      <c r="L29" s="710">
        <v>0</v>
      </c>
    </row>
    <row r="30" spans="1:12">
      <c r="A30" s="452">
        <v>24</v>
      </c>
      <c r="B30" s="465" t="s">
        <v>540</v>
      </c>
      <c r="C30" s="707">
        <v>10712634.488399999</v>
      </c>
      <c r="D30" s="685">
        <v>3031912.2</v>
      </c>
      <c r="E30" s="685">
        <v>5278187.5987999998</v>
      </c>
      <c r="F30" s="710">
        <v>5377.5564000000004</v>
      </c>
      <c r="G30" s="710">
        <v>2397157.1332</v>
      </c>
      <c r="H30" s="685">
        <v>1801514.1624</v>
      </c>
      <c r="I30" s="710">
        <v>37220.057999999997</v>
      </c>
      <c r="J30" s="710">
        <v>327565.68770000001</v>
      </c>
      <c r="K30" s="710">
        <v>4637.5406000000003</v>
      </c>
      <c r="L30" s="710">
        <v>1432090.8761</v>
      </c>
    </row>
    <row r="31" spans="1:12">
      <c r="A31" s="452">
        <v>25</v>
      </c>
      <c r="B31" s="465" t="s">
        <v>541</v>
      </c>
      <c r="C31" s="707">
        <v>6807298.7489999998</v>
      </c>
      <c r="D31" s="685">
        <v>5549660.9188000001</v>
      </c>
      <c r="E31" s="685">
        <v>387759.14</v>
      </c>
      <c r="F31" s="710">
        <v>869878.69019999995</v>
      </c>
      <c r="G31" s="710">
        <v>0</v>
      </c>
      <c r="H31" s="685">
        <v>1015182.0425</v>
      </c>
      <c r="I31" s="710">
        <v>228395.88699999999</v>
      </c>
      <c r="J31" s="710">
        <v>65299.334699999999</v>
      </c>
      <c r="K31" s="710">
        <v>721486.82079999999</v>
      </c>
      <c r="L31" s="710">
        <v>0</v>
      </c>
    </row>
    <row r="32" spans="1:12">
      <c r="A32" s="452">
        <v>26</v>
      </c>
      <c r="B32" s="465" t="s">
        <v>597</v>
      </c>
      <c r="C32" s="707">
        <v>33111058.7958</v>
      </c>
      <c r="D32" s="685">
        <v>28593114.3563</v>
      </c>
      <c r="E32" s="685">
        <v>2698332.95</v>
      </c>
      <c r="F32" s="710">
        <v>1819611.4894999999</v>
      </c>
      <c r="G32" s="710">
        <v>0</v>
      </c>
      <c r="H32" s="685">
        <v>3307161.9071999998</v>
      </c>
      <c r="I32" s="710">
        <v>1372475.5053999999</v>
      </c>
      <c r="J32" s="710">
        <v>461935.35759999999</v>
      </c>
      <c r="K32" s="710">
        <v>1472751.0441999999</v>
      </c>
      <c r="L32" s="710">
        <v>0</v>
      </c>
    </row>
    <row r="33" spans="1:12">
      <c r="A33" s="452">
        <v>27</v>
      </c>
      <c r="B33" s="509" t="s">
        <v>66</v>
      </c>
      <c r="C33" s="711">
        <f>SUM(C7:C32)</f>
        <v>352308810.99089992</v>
      </c>
      <c r="D33" s="711">
        <f t="shared" ref="D33:L33" si="0">SUM(D7:D32)</f>
        <v>301456115.25300002</v>
      </c>
      <c r="E33" s="711">
        <f t="shared" si="0"/>
        <v>20744142.589499999</v>
      </c>
      <c r="F33" s="711">
        <f t="shared" si="0"/>
        <v>27636288.487999998</v>
      </c>
      <c r="G33" s="711">
        <f t="shared" si="0"/>
        <v>2472264.6603999999</v>
      </c>
      <c r="H33" s="711">
        <f t="shared" si="0"/>
        <v>16202318.964000002</v>
      </c>
      <c r="I33" s="711">
        <f t="shared" si="0"/>
        <v>4729984.6991999997</v>
      </c>
      <c r="J33" s="711">
        <f t="shared" si="0"/>
        <v>1229110.6152999999</v>
      </c>
      <c r="K33" s="711">
        <f t="shared" si="0"/>
        <v>8740468.3779999986</v>
      </c>
      <c r="L33" s="711">
        <f t="shared" si="0"/>
        <v>1502755.2715</v>
      </c>
    </row>
    <row r="35" spans="1:12">
      <c r="B35" s="508"/>
      <c r="C35" s="508"/>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paperSize="9" scale="3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13"/>
  <sheetViews>
    <sheetView showGridLines="0" zoomScaleNormal="100" workbookViewId="0">
      <selection activeCell="B8" sqref="B8"/>
    </sheetView>
  </sheetViews>
  <sheetFormatPr defaultColWidth="8.77734375" defaultRowHeight="12"/>
  <cols>
    <col min="1" max="1" width="11.77734375" style="394" bestFit="1" customWidth="1"/>
    <col min="2" max="2" width="165.109375" style="394" customWidth="1"/>
    <col min="3" max="13" width="14" style="394" customWidth="1"/>
    <col min="14" max="16384" width="8.77734375" style="394"/>
  </cols>
  <sheetData>
    <row r="1" spans="1:11" s="387" customFormat="1" ht="13.8">
      <c r="A1" s="386" t="s">
        <v>108</v>
      </c>
      <c r="B1" s="305" t="str">
        <f>Info!C2</f>
        <v>სს " პაშა ბანკი საქართველო"</v>
      </c>
      <c r="C1" s="462"/>
      <c r="D1" s="462"/>
      <c r="E1" s="462"/>
      <c r="F1" s="462"/>
      <c r="G1" s="462"/>
      <c r="H1" s="462"/>
      <c r="I1" s="462"/>
      <c r="J1" s="462"/>
      <c r="K1" s="462"/>
    </row>
    <row r="2" spans="1:11" s="387" customFormat="1">
      <c r="A2" s="386" t="s">
        <v>109</v>
      </c>
      <c r="B2" s="389">
        <f>'1. key ratios'!B2</f>
        <v>45291</v>
      </c>
      <c r="C2" s="462"/>
      <c r="D2" s="462"/>
      <c r="E2" s="462"/>
      <c r="F2" s="462"/>
      <c r="G2" s="462"/>
      <c r="H2" s="462"/>
      <c r="I2" s="462"/>
      <c r="J2" s="462"/>
      <c r="K2" s="462"/>
    </row>
    <row r="3" spans="1:11" s="387" customFormat="1">
      <c r="A3" s="388" t="s">
        <v>598</v>
      </c>
      <c r="B3" s="462"/>
      <c r="C3" s="462"/>
      <c r="D3" s="462"/>
      <c r="E3" s="462"/>
      <c r="F3" s="462"/>
      <c r="G3" s="462"/>
      <c r="H3" s="462"/>
      <c r="I3" s="462"/>
      <c r="J3" s="462"/>
      <c r="K3" s="462"/>
    </row>
    <row r="4" spans="1:11">
      <c r="A4" s="513"/>
      <c r="B4" s="513"/>
      <c r="C4" s="512" t="s">
        <v>502</v>
      </c>
      <c r="D4" s="512" t="s">
        <v>503</v>
      </c>
      <c r="E4" s="512" t="s">
        <v>504</v>
      </c>
      <c r="F4" s="512" t="s">
        <v>505</v>
      </c>
      <c r="G4" s="512" t="s">
        <v>506</v>
      </c>
      <c r="H4" s="512" t="s">
        <v>507</v>
      </c>
      <c r="I4" s="512" t="s">
        <v>508</v>
      </c>
      <c r="J4" s="512" t="s">
        <v>509</v>
      </c>
      <c r="K4" s="512" t="s">
        <v>510</v>
      </c>
    </row>
    <row r="5" spans="1:11" ht="103.95" customHeight="1">
      <c r="A5" s="857" t="s">
        <v>906</v>
      </c>
      <c r="B5" s="858"/>
      <c r="C5" s="511" t="s">
        <v>599</v>
      </c>
      <c r="D5" s="511" t="s">
        <v>592</v>
      </c>
      <c r="E5" s="511" t="s">
        <v>593</v>
      </c>
      <c r="F5" s="511" t="s">
        <v>905</v>
      </c>
      <c r="G5" s="511" t="s">
        <v>600</v>
      </c>
      <c r="H5" s="511" t="s">
        <v>601</v>
      </c>
      <c r="I5" s="511" t="s">
        <v>602</v>
      </c>
      <c r="J5" s="511" t="s">
        <v>603</v>
      </c>
      <c r="K5" s="511" t="s">
        <v>604</v>
      </c>
    </row>
    <row r="6" spans="1:11">
      <c r="A6" s="452">
        <v>1</v>
      </c>
      <c r="B6" s="452" t="s">
        <v>605</v>
      </c>
      <c r="C6" s="685">
        <v>2053977.1791999999</v>
      </c>
      <c r="D6" s="685" t="s">
        <v>992</v>
      </c>
      <c r="E6" s="685">
        <v>595060</v>
      </c>
      <c r="F6" s="685" t="s">
        <v>992</v>
      </c>
      <c r="G6" s="685">
        <v>168957621.43669999</v>
      </c>
      <c r="H6" s="685" t="s">
        <v>992</v>
      </c>
      <c r="I6" s="685">
        <v>58188796.022799999</v>
      </c>
      <c r="J6" s="685">
        <v>16473943.0888</v>
      </c>
      <c r="K6" s="685">
        <v>106039413.2634</v>
      </c>
    </row>
    <row r="7" spans="1:11">
      <c r="A7" s="452">
        <v>2</v>
      </c>
      <c r="B7" s="452" t="s">
        <v>606</v>
      </c>
      <c r="C7" s="685" t="s">
        <v>992</v>
      </c>
      <c r="D7" s="685" t="s">
        <v>992</v>
      </c>
      <c r="E7" s="685" t="s">
        <v>992</v>
      </c>
      <c r="F7" s="685" t="s">
        <v>992</v>
      </c>
      <c r="G7" s="685">
        <v>2730661.9849999999</v>
      </c>
      <c r="H7" s="685" t="s">
        <v>992</v>
      </c>
      <c r="I7" s="685">
        <v>29118574.039999999</v>
      </c>
      <c r="J7" s="685">
        <v>0</v>
      </c>
      <c r="K7" s="685">
        <v>28329562.923099998</v>
      </c>
    </row>
    <row r="8" spans="1:11">
      <c r="A8" s="452">
        <v>3</v>
      </c>
      <c r="B8" s="452" t="s">
        <v>570</v>
      </c>
      <c r="C8" s="685">
        <v>8856.4573999999993</v>
      </c>
      <c r="D8" s="685" t="s">
        <v>992</v>
      </c>
      <c r="E8" s="685">
        <v>33669.075400000002</v>
      </c>
      <c r="F8" s="685" t="s">
        <v>992</v>
      </c>
      <c r="G8" s="685">
        <v>7065851.8360000001</v>
      </c>
      <c r="H8" s="685" t="s">
        <v>992</v>
      </c>
      <c r="I8" s="685">
        <v>10599533.131200001</v>
      </c>
      <c r="J8" s="685">
        <v>24958804.954</v>
      </c>
      <c r="K8" s="685">
        <v>141799414.50170001</v>
      </c>
    </row>
    <row r="9" spans="1:11">
      <c r="A9" s="452">
        <v>4</v>
      </c>
      <c r="B9" s="469" t="s">
        <v>904</v>
      </c>
      <c r="C9" s="712" t="s">
        <v>992</v>
      </c>
      <c r="D9" s="712" t="s">
        <v>992</v>
      </c>
      <c r="E9" s="712" t="s">
        <v>992</v>
      </c>
      <c r="F9" s="712" t="s">
        <v>992</v>
      </c>
      <c r="G9" s="712">
        <v>25116379.402899999</v>
      </c>
      <c r="H9" s="712" t="s">
        <v>992</v>
      </c>
      <c r="I9" s="712">
        <v>305119.27559999999</v>
      </c>
      <c r="J9" s="712">
        <v>99031.392399999997</v>
      </c>
      <c r="K9" s="712">
        <v>4588023.0774999997</v>
      </c>
    </row>
    <row r="10" spans="1:11">
      <c r="A10" s="452">
        <v>5</v>
      </c>
      <c r="B10" s="469" t="s">
        <v>903</v>
      </c>
      <c r="C10" s="712" t="s">
        <v>992</v>
      </c>
      <c r="D10" s="712" t="s">
        <v>992</v>
      </c>
      <c r="E10" s="712" t="s">
        <v>992</v>
      </c>
      <c r="F10" s="712" t="s">
        <v>992</v>
      </c>
      <c r="G10" s="712" t="s">
        <v>992</v>
      </c>
      <c r="H10" s="712" t="s">
        <v>992</v>
      </c>
      <c r="I10" s="712" t="s">
        <v>992</v>
      </c>
      <c r="J10" s="712" t="s">
        <v>992</v>
      </c>
      <c r="K10" s="712" t="s">
        <v>992</v>
      </c>
    </row>
    <row r="11" spans="1:11">
      <c r="A11" s="452">
        <v>6</v>
      </c>
      <c r="B11" s="469" t="s">
        <v>902</v>
      </c>
      <c r="C11" s="712" t="s">
        <v>992</v>
      </c>
      <c r="D11" s="712" t="s">
        <v>992</v>
      </c>
      <c r="E11" s="712" t="s">
        <v>992</v>
      </c>
      <c r="F11" s="712" t="s">
        <v>992</v>
      </c>
      <c r="G11" s="712">
        <v>0</v>
      </c>
      <c r="H11" s="712" t="s">
        <v>992</v>
      </c>
      <c r="I11" s="712">
        <v>0</v>
      </c>
      <c r="J11" s="712">
        <v>0</v>
      </c>
      <c r="K11" s="712">
        <v>9551.75</v>
      </c>
    </row>
    <row r="13" spans="1:11" ht="13.8">
      <c r="B13" s="510"/>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paperSize="9" scale="2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V26"/>
  <sheetViews>
    <sheetView showGridLines="0" zoomScale="68" zoomScaleNormal="68" workbookViewId="0">
      <selection activeCell="B8" sqref="B8"/>
    </sheetView>
  </sheetViews>
  <sheetFormatPr defaultColWidth="8.77734375" defaultRowHeight="14.4"/>
  <cols>
    <col min="1" max="1" width="10" style="514" bestFit="1" customWidth="1"/>
    <col min="2" max="2" width="71.77734375" style="514" customWidth="1"/>
    <col min="3" max="3" width="13.33203125" style="514" bestFit="1" customWidth="1"/>
    <col min="4" max="5" width="15.33203125" style="514" bestFit="1" customWidth="1"/>
    <col min="6" max="6" width="20.109375" style="514" bestFit="1" customWidth="1"/>
    <col min="7" max="7" width="37.6640625" style="514" bestFit="1" customWidth="1"/>
    <col min="8" max="8" width="13.33203125" style="514" bestFit="1" customWidth="1"/>
    <col min="9" max="10" width="15.33203125" style="514" bestFit="1" customWidth="1"/>
    <col min="11" max="11" width="20.109375" style="514" bestFit="1" customWidth="1"/>
    <col min="12" max="12" width="37.6640625" style="514" bestFit="1" customWidth="1"/>
    <col min="13" max="13" width="12.33203125" style="514" bestFit="1" customWidth="1"/>
    <col min="14" max="15" width="15.33203125" style="514" bestFit="1" customWidth="1"/>
    <col min="16" max="16" width="20.109375" style="514" bestFit="1" customWidth="1"/>
    <col min="17" max="17" width="37.6640625" style="514" bestFit="1" customWidth="1"/>
    <col min="18" max="18" width="18.109375" style="514" bestFit="1" customWidth="1"/>
    <col min="19" max="19" width="48.109375" style="514" bestFit="1" customWidth="1"/>
    <col min="20" max="20" width="45.88671875" style="514" bestFit="1" customWidth="1"/>
    <col min="21" max="21" width="48.109375" style="514" bestFit="1" customWidth="1"/>
    <col min="22" max="22" width="44.44140625" style="514" bestFit="1" customWidth="1"/>
    <col min="23" max="16384" width="8.77734375" style="514"/>
  </cols>
  <sheetData>
    <row r="1" spans="1:22">
      <c r="A1" s="386" t="s">
        <v>108</v>
      </c>
      <c r="B1" s="305" t="str">
        <f>Info!C2</f>
        <v>სს " პაშა ბანკი საქართველო"</v>
      </c>
    </row>
    <row r="2" spans="1:22">
      <c r="A2" s="386" t="s">
        <v>109</v>
      </c>
      <c r="B2" s="389">
        <f>'1. key ratios'!B2</f>
        <v>45291</v>
      </c>
    </row>
    <row r="3" spans="1:22">
      <c r="A3" s="388" t="s">
        <v>689</v>
      </c>
      <c r="B3" s="462"/>
    </row>
    <row r="4" spans="1:22">
      <c r="A4" s="388"/>
      <c r="B4" s="462"/>
    </row>
    <row r="5" spans="1:22" ht="24" customHeight="1">
      <c r="A5" s="859" t="s">
        <v>716</v>
      </c>
      <c r="B5" s="859"/>
      <c r="C5" s="861" t="s">
        <v>908</v>
      </c>
      <c r="D5" s="861"/>
      <c r="E5" s="861"/>
      <c r="F5" s="861"/>
      <c r="G5" s="861"/>
      <c r="H5" s="861" t="s">
        <v>596</v>
      </c>
      <c r="I5" s="861"/>
      <c r="J5" s="861"/>
      <c r="K5" s="861"/>
      <c r="L5" s="861"/>
      <c r="M5" s="861" t="s">
        <v>907</v>
      </c>
      <c r="N5" s="861"/>
      <c r="O5" s="861"/>
      <c r="P5" s="861"/>
      <c r="Q5" s="861"/>
      <c r="R5" s="860" t="s">
        <v>715</v>
      </c>
      <c r="S5" s="860" t="s">
        <v>719</v>
      </c>
      <c r="T5" s="860" t="s">
        <v>718</v>
      </c>
      <c r="U5" s="860" t="s">
        <v>956</v>
      </c>
      <c r="V5" s="860" t="s">
        <v>957</v>
      </c>
    </row>
    <row r="6" spans="1:22" ht="36" customHeight="1">
      <c r="A6" s="859"/>
      <c r="B6" s="859"/>
      <c r="C6" s="523"/>
      <c r="D6" s="460" t="s">
        <v>892</v>
      </c>
      <c r="E6" s="460" t="s">
        <v>891</v>
      </c>
      <c r="F6" s="460" t="s">
        <v>890</v>
      </c>
      <c r="G6" s="460" t="s">
        <v>889</v>
      </c>
      <c r="H6" s="523"/>
      <c r="I6" s="460" t="s">
        <v>892</v>
      </c>
      <c r="J6" s="460" t="s">
        <v>891</v>
      </c>
      <c r="K6" s="460" t="s">
        <v>890</v>
      </c>
      <c r="L6" s="460" t="s">
        <v>889</v>
      </c>
      <c r="M6" s="523"/>
      <c r="N6" s="460" t="s">
        <v>892</v>
      </c>
      <c r="O6" s="460" t="s">
        <v>891</v>
      </c>
      <c r="P6" s="460" t="s">
        <v>890</v>
      </c>
      <c r="Q6" s="460" t="s">
        <v>889</v>
      </c>
      <c r="R6" s="860"/>
      <c r="S6" s="860"/>
      <c r="T6" s="860"/>
      <c r="U6" s="860"/>
      <c r="V6" s="860"/>
    </row>
    <row r="7" spans="1:22">
      <c r="A7" s="518">
        <v>1</v>
      </c>
      <c r="B7" s="522" t="s">
        <v>690</v>
      </c>
      <c r="C7" s="712" t="s">
        <v>992</v>
      </c>
      <c r="D7" s="712" t="s">
        <v>992</v>
      </c>
      <c r="E7" s="712" t="s">
        <v>992</v>
      </c>
      <c r="F7" s="712" t="s">
        <v>992</v>
      </c>
      <c r="G7" s="712"/>
      <c r="H7" s="712" t="s">
        <v>992</v>
      </c>
      <c r="I7" s="712" t="s">
        <v>992</v>
      </c>
      <c r="J7" s="712" t="s">
        <v>992</v>
      </c>
      <c r="K7" s="712" t="s">
        <v>992</v>
      </c>
      <c r="L7" s="712"/>
      <c r="M7" s="712" t="s">
        <v>992</v>
      </c>
      <c r="N7" s="712" t="s">
        <v>992</v>
      </c>
      <c r="O7" s="712" t="s">
        <v>992</v>
      </c>
      <c r="P7" s="712" t="s">
        <v>992</v>
      </c>
      <c r="Q7" s="712"/>
      <c r="R7" s="712">
        <v>0</v>
      </c>
      <c r="S7" s="712" t="s">
        <v>992</v>
      </c>
      <c r="T7" s="712" t="s">
        <v>992</v>
      </c>
      <c r="U7" s="712" t="s">
        <v>992</v>
      </c>
      <c r="V7" s="712" t="s">
        <v>992</v>
      </c>
    </row>
    <row r="8" spans="1:22">
      <c r="A8" s="518">
        <v>2</v>
      </c>
      <c r="B8" s="521" t="s">
        <v>691</v>
      </c>
      <c r="C8" s="712">
        <v>20436427.021000002</v>
      </c>
      <c r="D8" s="712">
        <v>16051200.880999999</v>
      </c>
      <c r="E8" s="712">
        <v>1644406.91</v>
      </c>
      <c r="F8" s="712">
        <v>2740819.23</v>
      </c>
      <c r="G8" s="712"/>
      <c r="H8" s="712">
        <v>20436555.086399999</v>
      </c>
      <c r="I8" s="712">
        <v>16032166.754000001</v>
      </c>
      <c r="J8" s="712">
        <v>1661832.64</v>
      </c>
      <c r="K8" s="712">
        <v>2742555.6924000001</v>
      </c>
      <c r="L8" s="712"/>
      <c r="M8" s="712">
        <v>2872375.5362</v>
      </c>
      <c r="N8" s="712">
        <v>463851.72499999998</v>
      </c>
      <c r="O8" s="712">
        <v>134248.37950000001</v>
      </c>
      <c r="P8" s="712">
        <v>2274275.4317000001</v>
      </c>
      <c r="Q8" s="712"/>
      <c r="R8" s="712">
        <v>5347</v>
      </c>
      <c r="S8" s="712">
        <v>0.17860000000000001</v>
      </c>
      <c r="T8" s="712">
        <v>0.2069</v>
      </c>
      <c r="U8" s="712">
        <v>0.18240000000000001</v>
      </c>
      <c r="V8" s="712">
        <v>27.4754</v>
      </c>
    </row>
    <row r="9" spans="1:22">
      <c r="A9" s="518">
        <v>3</v>
      </c>
      <c r="B9" s="521" t="s">
        <v>692</v>
      </c>
      <c r="C9" s="712" t="s">
        <v>992</v>
      </c>
      <c r="D9" s="712" t="s">
        <v>992</v>
      </c>
      <c r="E9" s="712" t="s">
        <v>992</v>
      </c>
      <c r="F9" s="712" t="s">
        <v>992</v>
      </c>
      <c r="G9" s="712"/>
      <c r="H9" s="712" t="s">
        <v>992</v>
      </c>
      <c r="I9" s="712" t="s">
        <v>992</v>
      </c>
      <c r="J9" s="712" t="s">
        <v>992</v>
      </c>
      <c r="K9" s="712" t="s">
        <v>992</v>
      </c>
      <c r="L9" s="712"/>
      <c r="M9" s="712" t="s">
        <v>992</v>
      </c>
      <c r="N9" s="712" t="s">
        <v>992</v>
      </c>
      <c r="O9" s="712" t="s">
        <v>992</v>
      </c>
      <c r="P9" s="712" t="s">
        <v>992</v>
      </c>
      <c r="Q9" s="712"/>
      <c r="R9" s="712">
        <v>0</v>
      </c>
      <c r="S9" s="712" t="s">
        <v>992</v>
      </c>
      <c r="T9" s="712" t="s">
        <v>992</v>
      </c>
      <c r="U9" s="712" t="s">
        <v>992</v>
      </c>
      <c r="V9" s="712" t="s">
        <v>992</v>
      </c>
    </row>
    <row r="10" spans="1:22">
      <c r="A10" s="518">
        <v>4</v>
      </c>
      <c r="B10" s="521" t="s">
        <v>693</v>
      </c>
      <c r="C10" s="712" t="s">
        <v>992</v>
      </c>
      <c r="D10" s="712" t="s">
        <v>992</v>
      </c>
      <c r="E10" s="712" t="s">
        <v>992</v>
      </c>
      <c r="F10" s="712" t="s">
        <v>992</v>
      </c>
      <c r="G10" s="712"/>
      <c r="H10" s="712" t="s">
        <v>992</v>
      </c>
      <c r="I10" s="712" t="s">
        <v>992</v>
      </c>
      <c r="J10" s="712" t="s">
        <v>992</v>
      </c>
      <c r="K10" s="712" t="s">
        <v>992</v>
      </c>
      <c r="L10" s="712"/>
      <c r="M10" s="712" t="s">
        <v>992</v>
      </c>
      <c r="N10" s="712" t="s">
        <v>992</v>
      </c>
      <c r="O10" s="712" t="s">
        <v>992</v>
      </c>
      <c r="P10" s="712" t="s">
        <v>992</v>
      </c>
      <c r="Q10" s="712"/>
      <c r="R10" s="712">
        <v>0</v>
      </c>
      <c r="S10" s="712" t="s">
        <v>992</v>
      </c>
      <c r="T10" s="712" t="s">
        <v>992</v>
      </c>
      <c r="U10" s="712" t="s">
        <v>992</v>
      </c>
      <c r="V10" s="712" t="s">
        <v>992</v>
      </c>
    </row>
    <row r="11" spans="1:22">
      <c r="A11" s="518">
        <v>5</v>
      </c>
      <c r="B11" s="521" t="s">
        <v>694</v>
      </c>
      <c r="C11" s="712">
        <v>9026.2080000000005</v>
      </c>
      <c r="D11" s="712">
        <v>9026.2080000000005</v>
      </c>
      <c r="E11" s="712">
        <v>0</v>
      </c>
      <c r="F11" s="712">
        <v>0</v>
      </c>
      <c r="G11" s="712"/>
      <c r="H11" s="712">
        <v>9041.7479999999996</v>
      </c>
      <c r="I11" s="712">
        <v>9041.7479999999996</v>
      </c>
      <c r="J11" s="712">
        <v>0</v>
      </c>
      <c r="K11" s="712">
        <v>0</v>
      </c>
      <c r="L11" s="712"/>
      <c r="M11" s="712">
        <v>111.8023</v>
      </c>
      <c r="N11" s="712">
        <v>111.8023</v>
      </c>
      <c r="O11" s="712">
        <v>0</v>
      </c>
      <c r="P11" s="712">
        <v>0</v>
      </c>
      <c r="Q11" s="712"/>
      <c r="R11" s="712">
        <v>51</v>
      </c>
      <c r="S11" s="712">
        <v>0.1303</v>
      </c>
      <c r="T11" s="712">
        <v>0.13980000000000001</v>
      </c>
      <c r="U11" s="712">
        <v>9.5299999999999996E-2</v>
      </c>
      <c r="V11" s="712">
        <v>-0.36770000000000003</v>
      </c>
    </row>
    <row r="12" spans="1:22">
      <c r="A12" s="518">
        <v>6</v>
      </c>
      <c r="B12" s="521" t="s">
        <v>695</v>
      </c>
      <c r="C12" s="712">
        <v>50530158.600000001</v>
      </c>
      <c r="D12" s="712">
        <v>46441710.700000003</v>
      </c>
      <c r="E12" s="712">
        <v>2545001.56</v>
      </c>
      <c r="F12" s="712">
        <v>1543446.34</v>
      </c>
      <c r="G12" s="712"/>
      <c r="H12" s="712">
        <v>50094413.412100002</v>
      </c>
      <c r="I12" s="712">
        <v>45877861.780000001</v>
      </c>
      <c r="J12" s="712">
        <v>2625009.08</v>
      </c>
      <c r="K12" s="712">
        <v>1591542.5521</v>
      </c>
      <c r="L12" s="712"/>
      <c r="M12" s="712">
        <v>4038629.2565000001</v>
      </c>
      <c r="N12" s="712">
        <v>2166489.6809</v>
      </c>
      <c r="O12" s="712">
        <v>595043.74719999998</v>
      </c>
      <c r="P12" s="712">
        <v>1277095.8284</v>
      </c>
      <c r="Q12" s="712"/>
      <c r="R12" s="712">
        <v>31846</v>
      </c>
      <c r="S12" s="712">
        <v>0.36</v>
      </c>
      <c r="T12" s="712">
        <v>0.39360000000000001</v>
      </c>
      <c r="U12" s="712">
        <v>0.36</v>
      </c>
      <c r="V12" s="712">
        <v>417.00510000000003</v>
      </c>
    </row>
    <row r="13" spans="1:22">
      <c r="A13" s="518">
        <v>7</v>
      </c>
      <c r="B13" s="521" t="s">
        <v>696</v>
      </c>
      <c r="C13" s="712">
        <v>90979.685700000002</v>
      </c>
      <c r="D13" s="712">
        <v>90979.685700000002</v>
      </c>
      <c r="E13" s="712">
        <v>0</v>
      </c>
      <c r="F13" s="712">
        <v>0</v>
      </c>
      <c r="G13" s="712"/>
      <c r="H13" s="712">
        <v>91150.812300000005</v>
      </c>
      <c r="I13" s="712">
        <v>91150.812300000005</v>
      </c>
      <c r="J13" s="712">
        <v>0</v>
      </c>
      <c r="K13" s="712">
        <v>0</v>
      </c>
      <c r="L13" s="712"/>
      <c r="M13" s="712">
        <v>3941.0387999999998</v>
      </c>
      <c r="N13" s="712">
        <v>3941.0387999999998</v>
      </c>
      <c r="O13" s="712">
        <v>0</v>
      </c>
      <c r="P13" s="712">
        <v>0</v>
      </c>
      <c r="Q13" s="712"/>
      <c r="R13" s="712">
        <v>1</v>
      </c>
      <c r="S13" s="712" t="s">
        <v>992</v>
      </c>
      <c r="T13" s="712" t="s">
        <v>992</v>
      </c>
      <c r="U13" s="712">
        <v>0.1085</v>
      </c>
      <c r="V13" s="712">
        <v>24</v>
      </c>
    </row>
    <row r="14" spans="1:22">
      <c r="A14" s="516">
        <v>7.1</v>
      </c>
      <c r="B14" s="515" t="s">
        <v>697</v>
      </c>
      <c r="C14" s="712">
        <v>90979.685700000002</v>
      </c>
      <c r="D14" s="712">
        <v>90979.685700000002</v>
      </c>
      <c r="E14" s="712">
        <v>0</v>
      </c>
      <c r="F14" s="712">
        <v>0</v>
      </c>
      <c r="G14" s="712"/>
      <c r="H14" s="712">
        <v>91150.812300000005</v>
      </c>
      <c r="I14" s="712">
        <v>91150.812300000005</v>
      </c>
      <c r="J14" s="712">
        <v>0</v>
      </c>
      <c r="K14" s="712">
        <v>0</v>
      </c>
      <c r="L14" s="712"/>
      <c r="M14" s="712">
        <v>3941.0387999999998</v>
      </c>
      <c r="N14" s="712">
        <v>3941.0387999999998</v>
      </c>
      <c r="O14" s="712">
        <v>0</v>
      </c>
      <c r="P14" s="712">
        <v>0</v>
      </c>
      <c r="Q14" s="712"/>
      <c r="R14" s="712">
        <v>1</v>
      </c>
      <c r="S14" s="712" t="s">
        <v>992</v>
      </c>
      <c r="T14" s="712" t="s">
        <v>992</v>
      </c>
      <c r="U14" s="712">
        <v>0.1085</v>
      </c>
      <c r="V14" s="712">
        <v>24</v>
      </c>
    </row>
    <row r="15" spans="1:22" ht="24">
      <c r="A15" s="516">
        <v>7.2</v>
      </c>
      <c r="B15" s="515" t="s">
        <v>698</v>
      </c>
      <c r="C15" s="712" t="s">
        <v>992</v>
      </c>
      <c r="D15" s="712" t="s">
        <v>992</v>
      </c>
      <c r="E15" s="712" t="s">
        <v>992</v>
      </c>
      <c r="F15" s="712" t="s">
        <v>992</v>
      </c>
      <c r="G15" s="712"/>
      <c r="H15" s="712" t="s">
        <v>992</v>
      </c>
      <c r="I15" s="712" t="s">
        <v>992</v>
      </c>
      <c r="J15" s="712" t="s">
        <v>992</v>
      </c>
      <c r="K15" s="712" t="s">
        <v>992</v>
      </c>
      <c r="L15" s="712"/>
      <c r="M15" s="712" t="s">
        <v>992</v>
      </c>
      <c r="N15" s="712" t="s">
        <v>992</v>
      </c>
      <c r="O15" s="712" t="s">
        <v>992</v>
      </c>
      <c r="P15" s="712" t="s">
        <v>992</v>
      </c>
      <c r="Q15" s="712"/>
      <c r="R15" s="712">
        <v>0</v>
      </c>
      <c r="S15" s="712" t="s">
        <v>992</v>
      </c>
      <c r="T15" s="712" t="s">
        <v>992</v>
      </c>
      <c r="U15" s="712" t="s">
        <v>992</v>
      </c>
      <c r="V15" s="712" t="s">
        <v>992</v>
      </c>
    </row>
    <row r="16" spans="1:22">
      <c r="A16" s="516">
        <v>7.3</v>
      </c>
      <c r="B16" s="515" t="s">
        <v>699</v>
      </c>
      <c r="C16" s="712" t="s">
        <v>992</v>
      </c>
      <c r="D16" s="712" t="s">
        <v>992</v>
      </c>
      <c r="E16" s="712" t="s">
        <v>992</v>
      </c>
      <c r="F16" s="712" t="s">
        <v>992</v>
      </c>
      <c r="G16" s="712"/>
      <c r="H16" s="712" t="s">
        <v>992</v>
      </c>
      <c r="I16" s="712" t="s">
        <v>992</v>
      </c>
      <c r="J16" s="712" t="s">
        <v>992</v>
      </c>
      <c r="K16" s="712" t="s">
        <v>992</v>
      </c>
      <c r="L16" s="712"/>
      <c r="M16" s="712" t="s">
        <v>992</v>
      </c>
      <c r="N16" s="712" t="s">
        <v>992</v>
      </c>
      <c r="O16" s="712" t="s">
        <v>992</v>
      </c>
      <c r="P16" s="712" t="s">
        <v>992</v>
      </c>
      <c r="Q16" s="712"/>
      <c r="R16" s="712">
        <v>0</v>
      </c>
      <c r="S16" s="712" t="s">
        <v>992</v>
      </c>
      <c r="T16" s="712" t="s">
        <v>992</v>
      </c>
      <c r="U16" s="712" t="s">
        <v>992</v>
      </c>
      <c r="V16" s="712" t="s">
        <v>992</v>
      </c>
    </row>
    <row r="17" spans="1:22">
      <c r="A17" s="518">
        <v>8</v>
      </c>
      <c r="B17" s="521" t="s">
        <v>700</v>
      </c>
      <c r="C17" s="712" t="s">
        <v>992</v>
      </c>
      <c r="D17" s="712" t="s">
        <v>992</v>
      </c>
      <c r="E17" s="712" t="s">
        <v>992</v>
      </c>
      <c r="F17" s="712" t="s">
        <v>992</v>
      </c>
      <c r="G17" s="712"/>
      <c r="H17" s="712" t="s">
        <v>992</v>
      </c>
      <c r="I17" s="712" t="s">
        <v>992</v>
      </c>
      <c r="J17" s="712" t="s">
        <v>992</v>
      </c>
      <c r="K17" s="712" t="s">
        <v>992</v>
      </c>
      <c r="L17" s="712"/>
      <c r="M17" s="712" t="s">
        <v>992</v>
      </c>
      <c r="N17" s="712" t="s">
        <v>992</v>
      </c>
      <c r="O17" s="712" t="s">
        <v>992</v>
      </c>
      <c r="P17" s="712" t="s">
        <v>992</v>
      </c>
      <c r="Q17" s="712"/>
      <c r="R17" s="712">
        <v>0</v>
      </c>
      <c r="S17" s="712" t="s">
        <v>992</v>
      </c>
      <c r="T17" s="712" t="s">
        <v>992</v>
      </c>
      <c r="U17" s="712" t="s">
        <v>992</v>
      </c>
      <c r="V17" s="712" t="s">
        <v>992</v>
      </c>
    </row>
    <row r="18" spans="1:22">
      <c r="A18" s="520">
        <v>9</v>
      </c>
      <c r="B18" s="519" t="s">
        <v>701</v>
      </c>
      <c r="C18" s="713" t="s">
        <v>992</v>
      </c>
      <c r="D18" s="713" t="s">
        <v>992</v>
      </c>
      <c r="E18" s="713" t="s">
        <v>992</v>
      </c>
      <c r="F18" s="713" t="s">
        <v>992</v>
      </c>
      <c r="G18" s="713"/>
      <c r="H18" s="713" t="s">
        <v>992</v>
      </c>
      <c r="I18" s="713" t="s">
        <v>992</v>
      </c>
      <c r="J18" s="713" t="s">
        <v>992</v>
      </c>
      <c r="K18" s="713" t="s">
        <v>992</v>
      </c>
      <c r="L18" s="713"/>
      <c r="M18" s="713" t="s">
        <v>992</v>
      </c>
      <c r="N18" s="713" t="s">
        <v>992</v>
      </c>
      <c r="O18" s="713" t="s">
        <v>992</v>
      </c>
      <c r="P18" s="713" t="s">
        <v>992</v>
      </c>
      <c r="Q18" s="713"/>
      <c r="R18" s="713">
        <v>0</v>
      </c>
      <c r="S18" s="713" t="s">
        <v>992</v>
      </c>
      <c r="T18" s="713" t="s">
        <v>992</v>
      </c>
      <c r="U18" s="713" t="s">
        <v>992</v>
      </c>
      <c r="V18" s="713" t="s">
        <v>992</v>
      </c>
    </row>
    <row r="19" spans="1:22">
      <c r="A19" s="518">
        <v>10</v>
      </c>
      <c r="B19" s="517" t="s">
        <v>717</v>
      </c>
      <c r="C19" s="714">
        <f>SUM(C8:C13)</f>
        <v>71066591.514699996</v>
      </c>
      <c r="D19" s="714">
        <f t="shared" ref="D19:Q19" si="0">SUM(D8:D13)</f>
        <v>62592917.474700004</v>
      </c>
      <c r="E19" s="714">
        <f t="shared" si="0"/>
        <v>4189408.4699999997</v>
      </c>
      <c r="F19" s="714">
        <f t="shared" si="0"/>
        <v>4284265.57</v>
      </c>
      <c r="G19" s="714">
        <f t="shared" si="0"/>
        <v>0</v>
      </c>
      <c r="H19" s="714">
        <f t="shared" si="0"/>
        <v>70631161.058799997</v>
      </c>
      <c r="I19" s="714">
        <f t="shared" si="0"/>
        <v>62010221.094300002</v>
      </c>
      <c r="J19" s="714">
        <f t="shared" si="0"/>
        <v>4286841.72</v>
      </c>
      <c r="K19" s="714">
        <f t="shared" si="0"/>
        <v>4334098.2445</v>
      </c>
      <c r="L19" s="714">
        <f t="shared" si="0"/>
        <v>0</v>
      </c>
      <c r="M19" s="714">
        <f t="shared" si="0"/>
        <v>6915057.6338000009</v>
      </c>
      <c r="N19" s="714">
        <f t="shared" si="0"/>
        <v>2634394.2470000004</v>
      </c>
      <c r="O19" s="714">
        <f t="shared" si="0"/>
        <v>729292.12670000002</v>
      </c>
      <c r="P19" s="714">
        <f t="shared" si="0"/>
        <v>3551371.2601000001</v>
      </c>
      <c r="Q19" s="714">
        <f t="shared" si="0"/>
        <v>0</v>
      </c>
      <c r="R19" s="714">
        <v>37245</v>
      </c>
      <c r="S19" s="714">
        <v>0.34429999999999999</v>
      </c>
      <c r="T19" s="714">
        <v>0.3775</v>
      </c>
      <c r="U19" s="714">
        <v>0.30859999999999999</v>
      </c>
      <c r="V19" s="714">
        <v>304.43299999999999</v>
      </c>
    </row>
    <row r="20" spans="1:22" ht="24">
      <c r="A20" s="516">
        <v>10.1</v>
      </c>
      <c r="B20" s="515" t="s">
        <v>720</v>
      </c>
      <c r="C20" s="712">
        <v>9124.33</v>
      </c>
      <c r="D20" s="712">
        <v>9124.33</v>
      </c>
      <c r="E20" s="712" t="s">
        <v>992</v>
      </c>
      <c r="F20" s="712" t="s">
        <v>992</v>
      </c>
      <c r="G20" s="712"/>
      <c r="H20" s="712">
        <v>9179.32</v>
      </c>
      <c r="I20" s="712">
        <v>9179.32</v>
      </c>
      <c r="J20" s="712" t="s">
        <v>992</v>
      </c>
      <c r="K20" s="712" t="s">
        <v>992</v>
      </c>
      <c r="L20" s="712"/>
      <c r="M20" s="712">
        <v>225.77340000000001</v>
      </c>
      <c r="N20" s="712">
        <v>225.77340000000001</v>
      </c>
      <c r="O20" s="712" t="s">
        <v>992</v>
      </c>
      <c r="P20" s="712" t="s">
        <v>992</v>
      </c>
      <c r="Q20" s="712"/>
      <c r="R20" s="712">
        <v>3</v>
      </c>
      <c r="S20" s="712">
        <v>0.20849999999999999</v>
      </c>
      <c r="T20" s="712">
        <v>0.2271</v>
      </c>
      <c r="U20" s="712">
        <v>0.2051</v>
      </c>
      <c r="V20" s="712">
        <v>52.7089</v>
      </c>
    </row>
    <row r="26" spans="1:22">
      <c r="C26" s="715"/>
      <c r="D26" s="715"/>
      <c r="E26" s="715"/>
      <c r="F26" s="715"/>
      <c r="G26" s="715"/>
      <c r="H26" s="715"/>
      <c r="I26" s="715"/>
      <c r="J26" s="715"/>
      <c r="K26" s="715"/>
      <c r="L26" s="715"/>
      <c r="M26" s="715"/>
      <c r="N26" s="715"/>
      <c r="O26" s="715"/>
      <c r="P26" s="715"/>
      <c r="Q26" s="715"/>
      <c r="R26" s="715"/>
      <c r="S26" s="715"/>
      <c r="T26" s="715"/>
      <c r="U26" s="715"/>
      <c r="V26" s="71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74"/>
  <sheetViews>
    <sheetView zoomScale="70" zoomScaleNormal="70" workbookViewId="0">
      <selection activeCell="B8" sqref="B8"/>
    </sheetView>
  </sheetViews>
  <sheetFormatPr defaultRowHeight="14.4"/>
  <cols>
    <col min="1" max="1" width="8.77734375" style="431"/>
    <col min="2" max="2" width="69.21875" style="416" customWidth="1"/>
    <col min="3" max="3" width="16" customWidth="1"/>
    <col min="4" max="4" width="16.77734375" customWidth="1"/>
    <col min="5" max="8" width="13.21875" customWidth="1"/>
  </cols>
  <sheetData>
    <row r="1" spans="1:8">
      <c r="A1" s="13" t="s">
        <v>108</v>
      </c>
      <c r="B1" s="305" t="str">
        <f>Info!C2</f>
        <v>სს " პაშა ბანკი საქართველო"</v>
      </c>
      <c r="C1" s="12"/>
      <c r="D1" s="1"/>
      <c r="E1" s="1"/>
      <c r="F1" s="1"/>
      <c r="G1" s="1"/>
    </row>
    <row r="2" spans="1:8">
      <c r="A2" s="13" t="s">
        <v>109</v>
      </c>
      <c r="B2" s="342">
        <f>'1. key ratios'!B2</f>
        <v>45291</v>
      </c>
      <c r="C2" s="12"/>
      <c r="D2" s="1"/>
      <c r="E2" s="1"/>
      <c r="F2" s="1"/>
      <c r="G2" s="1"/>
    </row>
    <row r="3" spans="1:8">
      <c r="A3" s="13"/>
      <c r="B3" s="12"/>
      <c r="C3" s="12"/>
      <c r="D3" s="1"/>
      <c r="E3" s="1"/>
      <c r="F3" s="1"/>
      <c r="G3" s="1"/>
    </row>
    <row r="4" spans="1:8" ht="21" customHeight="1">
      <c r="A4" s="753" t="s">
        <v>25</v>
      </c>
      <c r="B4" s="754" t="s">
        <v>729</v>
      </c>
      <c r="C4" s="756" t="s">
        <v>114</v>
      </c>
      <c r="D4" s="756"/>
      <c r="E4" s="756"/>
      <c r="F4" s="756" t="s">
        <v>115</v>
      </c>
      <c r="G4" s="756"/>
      <c r="H4" s="757"/>
    </row>
    <row r="5" spans="1:8" ht="21" customHeight="1">
      <c r="A5" s="753"/>
      <c r="B5" s="755"/>
      <c r="C5" s="406" t="s">
        <v>26</v>
      </c>
      <c r="D5" s="406" t="s">
        <v>88</v>
      </c>
      <c r="E5" s="406" t="s">
        <v>66</v>
      </c>
      <c r="F5" s="406" t="s">
        <v>26</v>
      </c>
      <c r="G5" s="406" t="s">
        <v>88</v>
      </c>
      <c r="H5" s="406" t="s">
        <v>66</v>
      </c>
    </row>
    <row r="6" spans="1:8" ht="26.55" customHeight="1">
      <c r="A6" s="753"/>
      <c r="B6" s="407" t="s">
        <v>95</v>
      </c>
      <c r="C6" s="758"/>
      <c r="D6" s="759"/>
      <c r="E6" s="759"/>
      <c r="F6" s="759"/>
      <c r="G6" s="759"/>
      <c r="H6" s="760"/>
    </row>
    <row r="7" spans="1:8" ht="22.95" customHeight="1">
      <c r="A7" s="419">
        <v>1</v>
      </c>
      <c r="B7" s="605" t="s">
        <v>843</v>
      </c>
      <c r="C7" s="633">
        <f>SUM(C8:C10)</f>
        <v>12401233.3836</v>
      </c>
      <c r="D7" s="633">
        <f>SUM(D8:D10)</f>
        <v>89174285.323599994</v>
      </c>
      <c r="E7" s="627">
        <f>C7+D7</f>
        <v>101575518.70719999</v>
      </c>
      <c r="F7" s="640">
        <f>SUM(F8:F10)</f>
        <v>28837466.531399999</v>
      </c>
      <c r="G7" s="640">
        <f>SUM(G8:G10)</f>
        <v>80631280.497299999</v>
      </c>
      <c r="H7" s="627">
        <f>F7+G7</f>
        <v>109468747.02869999</v>
      </c>
    </row>
    <row r="8" spans="1:8">
      <c r="A8" s="419">
        <v>1.1000000000000001</v>
      </c>
      <c r="B8" s="606" t="s">
        <v>96</v>
      </c>
      <c r="C8" s="633">
        <v>1246327.8</v>
      </c>
      <c r="D8" s="633">
        <v>1672847.0731000002</v>
      </c>
      <c r="E8" s="627">
        <f t="shared" ref="E8:E36" si="0">C8+D8</f>
        <v>2919174.8731000004</v>
      </c>
      <c r="F8" s="640">
        <v>1391066.15</v>
      </c>
      <c r="G8" s="640">
        <v>2937345.04</v>
      </c>
      <c r="H8" s="627">
        <f t="shared" ref="H8:H36" si="1">F8+G8</f>
        <v>4328411.1899999995</v>
      </c>
    </row>
    <row r="9" spans="1:8">
      <c r="A9" s="419">
        <v>1.2</v>
      </c>
      <c r="B9" s="606" t="s">
        <v>97</v>
      </c>
      <c r="C9" s="633">
        <v>3412664.05</v>
      </c>
      <c r="D9" s="633">
        <v>27813649.270999998</v>
      </c>
      <c r="E9" s="627">
        <f t="shared" si="0"/>
        <v>31226313.320999999</v>
      </c>
      <c r="F9" s="640">
        <v>268613.59999999998</v>
      </c>
      <c r="G9" s="640">
        <v>43473517.196100004</v>
      </c>
      <c r="H9" s="627">
        <f t="shared" si="1"/>
        <v>43742130.796100006</v>
      </c>
    </row>
    <row r="10" spans="1:8">
      <c r="A10" s="419">
        <v>1.3</v>
      </c>
      <c r="B10" s="606" t="s">
        <v>98</v>
      </c>
      <c r="C10" s="633">
        <v>7742241.5335999997</v>
      </c>
      <c r="D10" s="633">
        <v>59687788.979499996</v>
      </c>
      <c r="E10" s="627">
        <f t="shared" si="0"/>
        <v>67430030.513099998</v>
      </c>
      <c r="F10" s="640">
        <v>27177786.781399999</v>
      </c>
      <c r="G10" s="640">
        <v>34220418.261200003</v>
      </c>
      <c r="H10" s="627">
        <f t="shared" si="1"/>
        <v>61398205.042600006</v>
      </c>
    </row>
    <row r="11" spans="1:8">
      <c r="A11" s="419">
        <v>2</v>
      </c>
      <c r="B11" s="607" t="s">
        <v>730</v>
      </c>
      <c r="C11" s="640">
        <f>C12</f>
        <v>690915.74</v>
      </c>
      <c r="D11" s="640"/>
      <c r="E11" s="627">
        <f t="shared" si="0"/>
        <v>690915.74</v>
      </c>
      <c r="F11" s="640">
        <f>F12</f>
        <v>976077.48</v>
      </c>
      <c r="G11" s="640"/>
      <c r="H11" s="627">
        <f t="shared" si="1"/>
        <v>976077.48</v>
      </c>
    </row>
    <row r="12" spans="1:8">
      <c r="A12" s="419">
        <v>2.1</v>
      </c>
      <c r="B12" s="608" t="s">
        <v>731</v>
      </c>
      <c r="C12" s="633">
        <v>690915.74</v>
      </c>
      <c r="D12" s="633"/>
      <c r="E12" s="627">
        <f t="shared" si="0"/>
        <v>690915.74</v>
      </c>
      <c r="F12" s="640">
        <v>976077.48</v>
      </c>
      <c r="G12" s="640"/>
      <c r="H12" s="627">
        <f t="shared" si="1"/>
        <v>976077.48</v>
      </c>
    </row>
    <row r="13" spans="1:8" ht="26.55" customHeight="1">
      <c r="A13" s="419">
        <v>3</v>
      </c>
      <c r="B13" s="609" t="s">
        <v>732</v>
      </c>
      <c r="C13" s="640"/>
      <c r="D13" s="640"/>
      <c r="E13" s="627">
        <f t="shared" si="0"/>
        <v>0</v>
      </c>
      <c r="F13" s="640"/>
      <c r="G13" s="640"/>
      <c r="H13" s="627">
        <f t="shared" si="1"/>
        <v>0</v>
      </c>
    </row>
    <row r="14" spans="1:8" ht="26.55" customHeight="1">
      <c r="A14" s="419">
        <v>4</v>
      </c>
      <c r="B14" s="610" t="s">
        <v>733</v>
      </c>
      <c r="C14" s="640"/>
      <c r="D14" s="640"/>
      <c r="E14" s="627">
        <f t="shared" si="0"/>
        <v>0</v>
      </c>
      <c r="F14" s="640"/>
      <c r="G14" s="640"/>
      <c r="H14" s="627">
        <f t="shared" si="1"/>
        <v>0</v>
      </c>
    </row>
    <row r="15" spans="1:8" ht="24.45" customHeight="1">
      <c r="A15" s="419">
        <v>5</v>
      </c>
      <c r="B15" s="610" t="s">
        <v>734</v>
      </c>
      <c r="C15" s="641">
        <f>SUM(C16:C18)</f>
        <v>0</v>
      </c>
      <c r="D15" s="641">
        <f>SUM(D16:D18)</f>
        <v>0</v>
      </c>
      <c r="E15" s="628">
        <f t="shared" si="0"/>
        <v>0</v>
      </c>
      <c r="F15" s="641">
        <f>SUM(F16:F18)</f>
        <v>0</v>
      </c>
      <c r="G15" s="641">
        <f>SUM(G16:G18)</f>
        <v>0</v>
      </c>
      <c r="H15" s="628">
        <f t="shared" si="1"/>
        <v>0</v>
      </c>
    </row>
    <row r="16" spans="1:8">
      <c r="A16" s="419">
        <v>5.0999999999999996</v>
      </c>
      <c r="B16" s="611" t="s">
        <v>735</v>
      </c>
      <c r="C16" s="640"/>
      <c r="D16" s="640"/>
      <c r="E16" s="627">
        <f t="shared" si="0"/>
        <v>0</v>
      </c>
      <c r="F16" s="640"/>
      <c r="G16" s="640"/>
      <c r="H16" s="627">
        <f t="shared" si="1"/>
        <v>0</v>
      </c>
    </row>
    <row r="17" spans="1:8">
      <c r="A17" s="419">
        <v>5.2</v>
      </c>
      <c r="B17" s="611" t="s">
        <v>569</v>
      </c>
      <c r="C17" s="640"/>
      <c r="D17" s="640"/>
      <c r="E17" s="627">
        <f t="shared" si="0"/>
        <v>0</v>
      </c>
      <c r="F17" s="640"/>
      <c r="G17" s="640"/>
      <c r="H17" s="627">
        <f t="shared" si="1"/>
        <v>0</v>
      </c>
    </row>
    <row r="18" spans="1:8">
      <c r="A18" s="419">
        <v>5.3</v>
      </c>
      <c r="B18" s="611" t="s">
        <v>736</v>
      </c>
      <c r="C18" s="640"/>
      <c r="D18" s="640"/>
      <c r="E18" s="627">
        <f t="shared" si="0"/>
        <v>0</v>
      </c>
      <c r="F18" s="640"/>
      <c r="G18" s="640"/>
      <c r="H18" s="627">
        <f t="shared" si="1"/>
        <v>0</v>
      </c>
    </row>
    <row r="19" spans="1:8">
      <c r="A19" s="419">
        <v>6</v>
      </c>
      <c r="B19" s="609" t="s">
        <v>737</v>
      </c>
      <c r="C19" s="633">
        <f>SUM(C20:C21)</f>
        <v>203622157.20409998</v>
      </c>
      <c r="D19" s="633">
        <f>SUM(D20:D21)</f>
        <v>197714355.64559999</v>
      </c>
      <c r="E19" s="627">
        <f t="shared" si="0"/>
        <v>401336512.84969997</v>
      </c>
      <c r="F19" s="640">
        <f>SUM(F20:F21)</f>
        <v>177528820.73589998</v>
      </c>
      <c r="G19" s="640">
        <f>SUM(G20:G21)</f>
        <v>217087136.8197</v>
      </c>
      <c r="H19" s="627">
        <f t="shared" si="1"/>
        <v>394615957.55559999</v>
      </c>
    </row>
    <row r="20" spans="1:8">
      <c r="A20" s="419">
        <v>6.1</v>
      </c>
      <c r="B20" s="611" t="s">
        <v>569</v>
      </c>
      <c r="C20" s="633">
        <v>56222218.098800004</v>
      </c>
      <c r="D20" s="633">
        <v>9007802.7440999988</v>
      </c>
      <c r="E20" s="627">
        <f t="shared" si="0"/>
        <v>65230020.842900001</v>
      </c>
      <c r="F20" s="640">
        <v>36274468.810800001</v>
      </c>
      <c r="G20" s="640">
        <v>7586753.1078999992</v>
      </c>
      <c r="H20" s="627">
        <f t="shared" si="1"/>
        <v>43861221.918700002</v>
      </c>
    </row>
    <row r="21" spans="1:8">
      <c r="A21" s="419">
        <v>6.2</v>
      </c>
      <c r="B21" s="611" t="s">
        <v>736</v>
      </c>
      <c r="C21" s="633">
        <v>147399939.10529998</v>
      </c>
      <c r="D21" s="633">
        <v>188706552.90149999</v>
      </c>
      <c r="E21" s="627">
        <f t="shared" si="0"/>
        <v>336106492.00679994</v>
      </c>
      <c r="F21" s="640">
        <v>141254351.9251</v>
      </c>
      <c r="G21" s="640">
        <v>209500383.71180001</v>
      </c>
      <c r="H21" s="627">
        <f t="shared" si="1"/>
        <v>350754735.63690001</v>
      </c>
    </row>
    <row r="22" spans="1:8">
      <c r="A22" s="419">
        <v>7</v>
      </c>
      <c r="B22" s="612" t="s">
        <v>738</v>
      </c>
      <c r="C22" s="640"/>
      <c r="D22" s="640"/>
      <c r="E22" s="627">
        <f t="shared" si="0"/>
        <v>0</v>
      </c>
      <c r="F22" s="640"/>
      <c r="G22" s="640"/>
      <c r="H22" s="627">
        <f t="shared" si="1"/>
        <v>0</v>
      </c>
    </row>
    <row r="23" spans="1:8">
      <c r="A23" s="419">
        <v>8</v>
      </c>
      <c r="B23" s="612" t="s">
        <v>739</v>
      </c>
      <c r="C23" s="633">
        <v>11631520.42</v>
      </c>
      <c r="D23" s="640"/>
      <c r="E23" s="627">
        <f t="shared" si="0"/>
        <v>11631520.42</v>
      </c>
      <c r="F23" s="640">
        <v>604170</v>
      </c>
      <c r="G23" s="640"/>
      <c r="H23" s="627">
        <f t="shared" si="1"/>
        <v>604170</v>
      </c>
    </row>
    <row r="24" spans="1:8">
      <c r="A24" s="419">
        <v>9</v>
      </c>
      <c r="B24" s="610" t="s">
        <v>740</v>
      </c>
      <c r="C24" s="633">
        <f>SUM(C25:C26)</f>
        <v>9048070.0600000005</v>
      </c>
      <c r="D24" s="640">
        <f>SUM(D25:D26)</f>
        <v>0</v>
      </c>
      <c r="E24" s="627">
        <f t="shared" si="0"/>
        <v>9048070.0600000005</v>
      </c>
      <c r="F24" s="640">
        <f>SUM(F25:F26)</f>
        <v>6186559.6299999999</v>
      </c>
      <c r="G24" s="640">
        <f>SUM(G25:G26)</f>
        <v>0</v>
      </c>
      <c r="H24" s="627">
        <f t="shared" si="1"/>
        <v>6186559.6299999999</v>
      </c>
    </row>
    <row r="25" spans="1:8">
      <c r="A25" s="419">
        <v>9.1</v>
      </c>
      <c r="B25" s="613" t="s">
        <v>741</v>
      </c>
      <c r="C25" s="633">
        <v>4969672.78</v>
      </c>
      <c r="D25" s="640"/>
      <c r="E25" s="627">
        <f t="shared" si="0"/>
        <v>4969672.78</v>
      </c>
      <c r="F25" s="640">
        <v>6186559.6299999999</v>
      </c>
      <c r="G25" s="640"/>
      <c r="H25" s="627">
        <f t="shared" si="1"/>
        <v>6186559.6299999999</v>
      </c>
    </row>
    <row r="26" spans="1:8">
      <c r="A26" s="419">
        <v>9.1999999999999993</v>
      </c>
      <c r="B26" s="613" t="s">
        <v>742</v>
      </c>
      <c r="C26" s="633">
        <v>4078397.28</v>
      </c>
      <c r="D26" s="640"/>
      <c r="E26" s="627">
        <f t="shared" si="0"/>
        <v>4078397.28</v>
      </c>
      <c r="F26" s="640">
        <v>0</v>
      </c>
      <c r="G26" s="640"/>
      <c r="H26" s="627">
        <f t="shared" si="1"/>
        <v>0</v>
      </c>
    </row>
    <row r="27" spans="1:8">
      <c r="A27" s="419">
        <v>10</v>
      </c>
      <c r="B27" s="610" t="s">
        <v>36</v>
      </c>
      <c r="C27" s="633">
        <f>SUM(C28:C29)</f>
        <v>4894841.96</v>
      </c>
      <c r="D27" s="640">
        <f>SUM(D28:D29)</f>
        <v>0</v>
      </c>
      <c r="E27" s="627">
        <f t="shared" si="0"/>
        <v>4894841.96</v>
      </c>
      <c r="F27" s="640">
        <f>SUM(F28:F29)</f>
        <v>5254529.8</v>
      </c>
      <c r="G27" s="640">
        <f>SUM(G28:G29)</f>
        <v>0</v>
      </c>
      <c r="H27" s="627">
        <f t="shared" si="1"/>
        <v>5254529.8</v>
      </c>
    </row>
    <row r="28" spans="1:8">
      <c r="A28" s="419">
        <v>10.1</v>
      </c>
      <c r="B28" s="613" t="s">
        <v>743</v>
      </c>
      <c r="C28" s="633"/>
      <c r="D28" s="640"/>
      <c r="E28" s="627">
        <f t="shared" si="0"/>
        <v>0</v>
      </c>
      <c r="F28" s="640"/>
      <c r="G28" s="640"/>
      <c r="H28" s="627">
        <f t="shared" si="1"/>
        <v>0</v>
      </c>
    </row>
    <row r="29" spans="1:8">
      <c r="A29" s="419">
        <v>10.199999999999999</v>
      </c>
      <c r="B29" s="613" t="s">
        <v>744</v>
      </c>
      <c r="C29" s="633">
        <v>4894841.96</v>
      </c>
      <c r="D29" s="640"/>
      <c r="E29" s="627">
        <f t="shared" si="0"/>
        <v>4894841.96</v>
      </c>
      <c r="F29" s="640">
        <v>5254529.8</v>
      </c>
      <c r="G29" s="640"/>
      <c r="H29" s="627">
        <f t="shared" si="1"/>
        <v>5254529.8</v>
      </c>
    </row>
    <row r="30" spans="1:8">
      <c r="A30" s="419">
        <v>11</v>
      </c>
      <c r="B30" s="610" t="s">
        <v>745</v>
      </c>
      <c r="C30" s="640">
        <f>SUM(C31:C32)</f>
        <v>0</v>
      </c>
      <c r="D30" s="640">
        <f>SUM(D31:D32)</f>
        <v>0</v>
      </c>
      <c r="E30" s="627">
        <f t="shared" si="0"/>
        <v>0</v>
      </c>
      <c r="F30" s="640">
        <f>SUM(F31:F32)</f>
        <v>0</v>
      </c>
      <c r="G30" s="640">
        <f>SUM(G31:G32)</f>
        <v>0</v>
      </c>
      <c r="H30" s="627">
        <f t="shared" si="1"/>
        <v>0</v>
      </c>
    </row>
    <row r="31" spans="1:8">
      <c r="A31" s="419">
        <v>11.1</v>
      </c>
      <c r="B31" s="613" t="s">
        <v>746</v>
      </c>
      <c r="C31" s="640"/>
      <c r="D31" s="640"/>
      <c r="E31" s="627">
        <f t="shared" si="0"/>
        <v>0</v>
      </c>
      <c r="F31" s="640"/>
      <c r="G31" s="640"/>
      <c r="H31" s="627">
        <f t="shared" si="1"/>
        <v>0</v>
      </c>
    </row>
    <row r="32" spans="1:8">
      <c r="A32" s="419">
        <v>11.2</v>
      </c>
      <c r="B32" s="613" t="s">
        <v>747</v>
      </c>
      <c r="C32" s="640"/>
      <c r="D32" s="640"/>
      <c r="E32" s="627">
        <f t="shared" si="0"/>
        <v>0</v>
      </c>
      <c r="F32" s="640"/>
      <c r="G32" s="640"/>
      <c r="H32" s="627">
        <f t="shared" si="1"/>
        <v>0</v>
      </c>
    </row>
    <row r="33" spans="1:8">
      <c r="A33" s="419">
        <v>13</v>
      </c>
      <c r="B33" s="610" t="s">
        <v>99</v>
      </c>
      <c r="C33" s="633">
        <v>5488829.9566000002</v>
      </c>
      <c r="D33" s="633">
        <v>42801.501799999998</v>
      </c>
      <c r="E33" s="627">
        <f t="shared" si="0"/>
        <v>5531631.4583999999</v>
      </c>
      <c r="F33" s="640">
        <v>1921753.6800000002</v>
      </c>
      <c r="G33" s="640">
        <v>63622.070500000002</v>
      </c>
      <c r="H33" s="627">
        <f t="shared" si="1"/>
        <v>1985375.7505000001</v>
      </c>
    </row>
    <row r="34" spans="1:8">
      <c r="A34" s="419">
        <v>13.1</v>
      </c>
      <c r="B34" s="614" t="s">
        <v>748</v>
      </c>
      <c r="C34" s="640"/>
      <c r="D34" s="640"/>
      <c r="E34" s="627">
        <f t="shared" si="0"/>
        <v>0</v>
      </c>
      <c r="F34" s="640"/>
      <c r="G34" s="640"/>
      <c r="H34" s="627">
        <f t="shared" si="1"/>
        <v>0</v>
      </c>
    </row>
    <row r="35" spans="1:8">
      <c r="A35" s="419">
        <v>13.2</v>
      </c>
      <c r="B35" s="614" t="s">
        <v>749</v>
      </c>
      <c r="C35" s="640"/>
      <c r="D35" s="640"/>
      <c r="E35" s="627">
        <f t="shared" si="0"/>
        <v>0</v>
      </c>
      <c r="F35" s="640"/>
      <c r="G35" s="640"/>
      <c r="H35" s="627">
        <f t="shared" si="1"/>
        <v>0</v>
      </c>
    </row>
    <row r="36" spans="1:8">
      <c r="A36" s="419">
        <v>14</v>
      </c>
      <c r="B36" s="615" t="s">
        <v>750</v>
      </c>
      <c r="C36" s="633">
        <f>SUM(C7,C11,C13,C14,C15,C19,C22,C23,C24,C27,C30,C33)</f>
        <v>247777568.7243</v>
      </c>
      <c r="D36" s="633">
        <f>SUM(D7,D11,D13,D14,D15,D19,D22,D23,D24,D27,D30,D33)</f>
        <v>286931442.47100002</v>
      </c>
      <c r="E36" s="627">
        <f t="shared" si="0"/>
        <v>534709011.19529998</v>
      </c>
      <c r="F36" s="640">
        <f>SUM(F7,F11,F13,F14,F15,F19,F22,F23,F24,F27,F30,F33)</f>
        <v>221309377.85729998</v>
      </c>
      <c r="G36" s="640">
        <f>SUM(G7,G11,G13,G14,G15,G19,G22,G23,G24,G27,G30,G33)</f>
        <v>297782039.38750005</v>
      </c>
      <c r="H36" s="627">
        <f t="shared" si="1"/>
        <v>519091417.24480003</v>
      </c>
    </row>
    <row r="37" spans="1:8" ht="22.5" customHeight="1">
      <c r="A37" s="419"/>
      <c r="B37" s="410" t="s">
        <v>104</v>
      </c>
      <c r="C37" s="747"/>
      <c r="D37" s="748"/>
      <c r="E37" s="748"/>
      <c r="F37" s="748"/>
      <c r="G37" s="748"/>
      <c r="H37" s="749"/>
    </row>
    <row r="38" spans="1:8">
      <c r="A38" s="419">
        <v>15</v>
      </c>
      <c r="B38" s="612" t="s">
        <v>751</v>
      </c>
      <c r="C38" s="629">
        <f>C39</f>
        <v>825800.46</v>
      </c>
      <c r="D38" s="629"/>
      <c r="E38" s="632">
        <f>C38+D38</f>
        <v>825800.46</v>
      </c>
      <c r="F38" s="629">
        <f>F39</f>
        <v>1520147.05</v>
      </c>
      <c r="G38" s="629"/>
      <c r="H38" s="632">
        <f>F38+G38</f>
        <v>1520147.05</v>
      </c>
    </row>
    <row r="39" spans="1:8">
      <c r="A39" s="419">
        <v>15.1</v>
      </c>
      <c r="B39" s="608" t="s">
        <v>731</v>
      </c>
      <c r="C39" s="630">
        <v>825800.46</v>
      </c>
      <c r="D39" s="629"/>
      <c r="E39" s="632">
        <f t="shared" ref="E39:E53" si="2">C39+D39</f>
        <v>825800.46</v>
      </c>
      <c r="F39" s="629">
        <v>1520147.05</v>
      </c>
      <c r="G39" s="629"/>
      <c r="H39" s="632">
        <f t="shared" ref="H39:H53" si="3">F39+G39</f>
        <v>1520147.05</v>
      </c>
    </row>
    <row r="40" spans="1:8" ht="24" customHeight="1">
      <c r="A40" s="419">
        <v>16</v>
      </c>
      <c r="B40" s="612" t="s">
        <v>752</v>
      </c>
      <c r="C40" s="629"/>
      <c r="D40" s="629"/>
      <c r="E40" s="632">
        <f t="shared" si="2"/>
        <v>0</v>
      </c>
      <c r="F40" s="629"/>
      <c r="G40" s="629"/>
      <c r="H40" s="632">
        <f t="shared" si="3"/>
        <v>0</v>
      </c>
    </row>
    <row r="41" spans="1:8">
      <c r="A41" s="419">
        <v>17</v>
      </c>
      <c r="B41" s="612" t="s">
        <v>753</v>
      </c>
      <c r="C41" s="630">
        <f>SUM(C42:C45)</f>
        <v>134789265.25999999</v>
      </c>
      <c r="D41" s="630">
        <f>SUM(D42:D45)</f>
        <v>247339034.72869995</v>
      </c>
      <c r="E41" s="632">
        <f t="shared" si="2"/>
        <v>382128299.98869991</v>
      </c>
      <c r="F41" s="629">
        <f>SUM(F42:F45)</f>
        <v>120229753.44</v>
      </c>
      <c r="G41" s="629">
        <f>SUM(G42:G45)</f>
        <v>262260270.50799996</v>
      </c>
      <c r="H41" s="632">
        <f t="shared" si="3"/>
        <v>382490023.94799995</v>
      </c>
    </row>
    <row r="42" spans="1:8">
      <c r="A42" s="419">
        <v>17.100000000000001</v>
      </c>
      <c r="B42" s="616" t="s">
        <v>754</v>
      </c>
      <c r="C42" s="630">
        <v>134789265.25999999</v>
      </c>
      <c r="D42" s="630">
        <v>222025042.72599995</v>
      </c>
      <c r="E42" s="632">
        <f t="shared" si="2"/>
        <v>356814307.98599994</v>
      </c>
      <c r="F42" s="629">
        <v>104185685.5</v>
      </c>
      <c r="G42" s="629">
        <v>237128197.68149996</v>
      </c>
      <c r="H42" s="632">
        <f t="shared" si="3"/>
        <v>341313883.18149996</v>
      </c>
    </row>
    <row r="43" spans="1:8">
      <c r="A43" s="419">
        <v>17.2</v>
      </c>
      <c r="B43" s="606" t="s">
        <v>100</v>
      </c>
      <c r="C43" s="630">
        <v>0</v>
      </c>
      <c r="D43" s="630">
        <v>22179086.976</v>
      </c>
      <c r="E43" s="632">
        <f t="shared" si="2"/>
        <v>22179086.976</v>
      </c>
      <c r="F43" s="629">
        <v>16044067.939999999</v>
      </c>
      <c r="G43" s="629">
        <v>21360426.439399999</v>
      </c>
      <c r="H43" s="632">
        <f t="shared" si="3"/>
        <v>37404494.3794</v>
      </c>
    </row>
    <row r="44" spans="1:8">
      <c r="A44" s="419">
        <v>17.3</v>
      </c>
      <c r="B44" s="616" t="s">
        <v>755</v>
      </c>
      <c r="C44" s="630"/>
      <c r="D44" s="630"/>
      <c r="E44" s="632">
        <f t="shared" si="2"/>
        <v>0</v>
      </c>
      <c r="F44" s="629"/>
      <c r="G44" s="629"/>
      <c r="H44" s="632">
        <f t="shared" si="3"/>
        <v>0</v>
      </c>
    </row>
    <row r="45" spans="1:8">
      <c r="A45" s="419">
        <v>17.399999999999999</v>
      </c>
      <c r="B45" s="616" t="s">
        <v>756</v>
      </c>
      <c r="C45" s="630">
        <v>0</v>
      </c>
      <c r="D45" s="630">
        <v>3134905.0266999998</v>
      </c>
      <c r="E45" s="632">
        <f t="shared" si="2"/>
        <v>3134905.0266999998</v>
      </c>
      <c r="F45" s="629">
        <v>0</v>
      </c>
      <c r="G45" s="629">
        <v>3771646.3870999999</v>
      </c>
      <c r="H45" s="632">
        <f t="shared" si="3"/>
        <v>3771646.3870999999</v>
      </c>
    </row>
    <row r="46" spans="1:8">
      <c r="A46" s="419">
        <v>18</v>
      </c>
      <c r="B46" s="610" t="s">
        <v>757</v>
      </c>
      <c r="C46" s="630">
        <v>1015054.3245</v>
      </c>
      <c r="D46" s="630">
        <v>331825.37040000001</v>
      </c>
      <c r="E46" s="632">
        <f t="shared" si="2"/>
        <v>1346879.6949</v>
      </c>
      <c r="F46" s="629">
        <v>576287.83880000003</v>
      </c>
      <c r="G46" s="629">
        <v>52339.611600000004</v>
      </c>
      <c r="H46" s="632">
        <f t="shared" si="3"/>
        <v>628627.45039999997</v>
      </c>
    </row>
    <row r="47" spans="1:8">
      <c r="A47" s="419">
        <v>19</v>
      </c>
      <c r="B47" s="610" t="s">
        <v>758</v>
      </c>
      <c r="C47" s="629">
        <f>SUM(C48:C49)</f>
        <v>0</v>
      </c>
      <c r="D47" s="629">
        <f>SUM(D48:D49)</f>
        <v>0</v>
      </c>
      <c r="E47" s="632">
        <f t="shared" si="2"/>
        <v>0</v>
      </c>
      <c r="F47" s="629">
        <f>SUM(F48:F49)</f>
        <v>0</v>
      </c>
      <c r="G47" s="629">
        <f>SUM(G48:G49)</f>
        <v>0</v>
      </c>
      <c r="H47" s="632">
        <f t="shared" si="3"/>
        <v>0</v>
      </c>
    </row>
    <row r="48" spans="1:8">
      <c r="A48" s="419">
        <v>19.100000000000001</v>
      </c>
      <c r="B48" s="617" t="s">
        <v>759</v>
      </c>
      <c r="C48" s="629"/>
      <c r="D48" s="629"/>
      <c r="E48" s="632">
        <f t="shared" si="2"/>
        <v>0</v>
      </c>
      <c r="F48" s="629"/>
      <c r="G48" s="629"/>
      <c r="H48" s="632">
        <f t="shared" si="3"/>
        <v>0</v>
      </c>
    </row>
    <row r="49" spans="1:8">
      <c r="A49" s="419">
        <v>19.2</v>
      </c>
      <c r="B49" s="617" t="s">
        <v>760</v>
      </c>
      <c r="C49" s="629"/>
      <c r="D49" s="629"/>
      <c r="E49" s="632">
        <f t="shared" si="2"/>
        <v>0</v>
      </c>
      <c r="F49" s="629"/>
      <c r="G49" s="629"/>
      <c r="H49" s="632">
        <f t="shared" si="3"/>
        <v>0</v>
      </c>
    </row>
    <row r="50" spans="1:8">
      <c r="A50" s="419">
        <v>20</v>
      </c>
      <c r="B50" s="615" t="s">
        <v>101</v>
      </c>
      <c r="C50" s="629">
        <v>0</v>
      </c>
      <c r="D50" s="629">
        <v>27716206.595400002</v>
      </c>
      <c r="E50" s="632">
        <f t="shared" si="2"/>
        <v>27716206.595400002</v>
      </c>
      <c r="F50" s="629">
        <v>0</v>
      </c>
      <c r="G50" s="629">
        <v>26559483.879999999</v>
      </c>
      <c r="H50" s="632">
        <f t="shared" si="3"/>
        <v>26559483.879999999</v>
      </c>
    </row>
    <row r="51" spans="1:8">
      <c r="A51" s="419">
        <v>21</v>
      </c>
      <c r="B51" s="607" t="s">
        <v>89</v>
      </c>
      <c r="C51" s="629">
        <v>7086919.4100000001</v>
      </c>
      <c r="D51" s="629">
        <v>3291994.2923999997</v>
      </c>
      <c r="E51" s="632">
        <f t="shared" si="2"/>
        <v>10378913.702399999</v>
      </c>
      <c r="F51" s="629">
        <v>3743009.11</v>
      </c>
      <c r="G51" s="629">
        <v>1166668.5337</v>
      </c>
      <c r="H51" s="632">
        <f t="shared" si="3"/>
        <v>4909677.6436999999</v>
      </c>
    </row>
    <row r="52" spans="1:8">
      <c r="A52" s="419">
        <v>21.1</v>
      </c>
      <c r="B52" s="606" t="s">
        <v>761</v>
      </c>
      <c r="C52" s="629"/>
      <c r="D52" s="629"/>
      <c r="E52" s="632">
        <f t="shared" si="2"/>
        <v>0</v>
      </c>
      <c r="F52" s="629"/>
      <c r="G52" s="629"/>
      <c r="H52" s="632">
        <f t="shared" si="3"/>
        <v>0</v>
      </c>
    </row>
    <row r="53" spans="1:8">
      <c r="A53" s="419">
        <v>22</v>
      </c>
      <c r="B53" s="615" t="s">
        <v>762</v>
      </c>
      <c r="C53" s="629">
        <f>SUM(C38,C40,C41,C46,C47,C50,C51)</f>
        <v>143717039.45449999</v>
      </c>
      <c r="D53" s="629">
        <f>SUM(D38,D40,D41,D46,D47,D50,D51)</f>
        <v>278679060.98689997</v>
      </c>
      <c r="E53" s="632">
        <f t="shared" si="2"/>
        <v>422396100.44139993</v>
      </c>
      <c r="F53" s="629">
        <f>SUM(F38,F40,F41,F46,F47,F50,F51)</f>
        <v>126069197.43879999</v>
      </c>
      <c r="G53" s="629">
        <f>SUM(G38,G40,G41,G46,G47,G50,G51)</f>
        <v>290038762.53329998</v>
      </c>
      <c r="H53" s="632">
        <f t="shared" si="3"/>
        <v>416107959.97209996</v>
      </c>
    </row>
    <row r="54" spans="1:8" ht="24" customHeight="1">
      <c r="A54" s="419"/>
      <c r="B54" s="413" t="s">
        <v>763</v>
      </c>
      <c r="C54" s="750"/>
      <c r="D54" s="751"/>
      <c r="E54" s="751"/>
      <c r="F54" s="751"/>
      <c r="G54" s="751"/>
      <c r="H54" s="752"/>
    </row>
    <row r="55" spans="1:8">
      <c r="A55" s="419">
        <v>23</v>
      </c>
      <c r="B55" s="615" t="s">
        <v>105</v>
      </c>
      <c r="C55" s="629">
        <v>136800000</v>
      </c>
      <c r="D55" s="629"/>
      <c r="E55" s="632">
        <f>C55+D55</f>
        <v>136800000</v>
      </c>
      <c r="F55" s="629">
        <v>129000000</v>
      </c>
      <c r="G55" s="629"/>
      <c r="H55" s="632">
        <f>F55+G55</f>
        <v>129000000</v>
      </c>
    </row>
    <row r="56" spans="1:8">
      <c r="A56" s="419">
        <v>24</v>
      </c>
      <c r="B56" s="615" t="s">
        <v>764</v>
      </c>
      <c r="C56" s="629"/>
      <c r="D56" s="629"/>
      <c r="E56" s="632">
        <f t="shared" ref="E56:E69" si="4">C56+D56</f>
        <v>0</v>
      </c>
      <c r="F56" s="629"/>
      <c r="G56" s="629"/>
      <c r="H56" s="632">
        <f t="shared" ref="H56:H69" si="5">F56+G56</f>
        <v>0</v>
      </c>
    </row>
    <row r="57" spans="1:8">
      <c r="A57" s="419">
        <v>25</v>
      </c>
      <c r="B57" s="615" t="s">
        <v>102</v>
      </c>
      <c r="C57" s="629"/>
      <c r="D57" s="629"/>
      <c r="E57" s="632">
        <f t="shared" si="4"/>
        <v>0</v>
      </c>
      <c r="F57" s="629"/>
      <c r="G57" s="629"/>
      <c r="H57" s="632">
        <f t="shared" si="5"/>
        <v>0</v>
      </c>
    </row>
    <row r="58" spans="1:8">
      <c r="A58" s="419">
        <v>26</v>
      </c>
      <c r="B58" s="610" t="s">
        <v>765</v>
      </c>
      <c r="C58" s="629"/>
      <c r="D58" s="629"/>
      <c r="E58" s="632">
        <f t="shared" si="4"/>
        <v>0</v>
      </c>
      <c r="F58" s="629"/>
      <c r="G58" s="629"/>
      <c r="H58" s="632">
        <f t="shared" si="5"/>
        <v>0</v>
      </c>
    </row>
    <row r="59" spans="1:8">
      <c r="A59" s="419">
        <v>27</v>
      </c>
      <c r="B59" s="610" t="s">
        <v>766</v>
      </c>
      <c r="C59" s="629">
        <f>SUM(C60:C61)</f>
        <v>1154910.5</v>
      </c>
      <c r="D59" s="629">
        <f>SUM(D60:D61)</f>
        <v>0</v>
      </c>
      <c r="E59" s="632">
        <f t="shared" si="4"/>
        <v>1154910.5</v>
      </c>
      <c r="F59" s="629">
        <f>F60</f>
        <v>1154910.5</v>
      </c>
      <c r="G59" s="629"/>
      <c r="H59" s="632">
        <f t="shared" si="5"/>
        <v>1154910.5</v>
      </c>
    </row>
    <row r="60" spans="1:8">
      <c r="A60" s="419">
        <v>27.1</v>
      </c>
      <c r="B60" s="617" t="s">
        <v>767</v>
      </c>
      <c r="C60" s="629">
        <v>1154910.5</v>
      </c>
      <c r="D60" s="629"/>
      <c r="E60" s="632">
        <f t="shared" si="4"/>
        <v>1154910.5</v>
      </c>
      <c r="F60" s="629">
        <v>1154910.5</v>
      </c>
      <c r="G60" s="629"/>
      <c r="H60" s="632">
        <f t="shared" si="5"/>
        <v>1154910.5</v>
      </c>
    </row>
    <row r="61" spans="1:8">
      <c r="A61" s="419">
        <v>27.2</v>
      </c>
      <c r="B61" s="616" t="s">
        <v>768</v>
      </c>
      <c r="C61" s="629"/>
      <c r="D61" s="629"/>
      <c r="E61" s="632">
        <f t="shared" si="4"/>
        <v>0</v>
      </c>
      <c r="F61" s="629"/>
      <c r="G61" s="629"/>
      <c r="H61" s="632">
        <f t="shared" si="5"/>
        <v>0</v>
      </c>
    </row>
    <row r="62" spans="1:8">
      <c r="A62" s="419">
        <v>28</v>
      </c>
      <c r="B62" s="607" t="s">
        <v>769</v>
      </c>
      <c r="C62" s="629"/>
      <c r="D62" s="629"/>
      <c r="E62" s="632">
        <f t="shared" si="4"/>
        <v>0</v>
      </c>
      <c r="F62" s="629"/>
      <c r="G62" s="629"/>
      <c r="H62" s="632">
        <f t="shared" si="5"/>
        <v>0</v>
      </c>
    </row>
    <row r="63" spans="1:8">
      <c r="A63" s="419">
        <v>29</v>
      </c>
      <c r="B63" s="610" t="s">
        <v>770</v>
      </c>
      <c r="C63" s="629">
        <f>SUM(C64:C66)</f>
        <v>0</v>
      </c>
      <c r="D63" s="629">
        <f>SUM(D64:D66)</f>
        <v>0</v>
      </c>
      <c r="E63" s="632">
        <f t="shared" si="4"/>
        <v>0</v>
      </c>
      <c r="F63" s="629"/>
      <c r="G63" s="629"/>
      <c r="H63" s="632">
        <f t="shared" si="5"/>
        <v>0</v>
      </c>
    </row>
    <row r="64" spans="1:8">
      <c r="A64" s="419">
        <v>29.1</v>
      </c>
      <c r="B64" s="611" t="s">
        <v>771</v>
      </c>
      <c r="C64" s="629"/>
      <c r="D64" s="629"/>
      <c r="E64" s="632">
        <f t="shared" si="4"/>
        <v>0</v>
      </c>
      <c r="F64" s="629"/>
      <c r="G64" s="629"/>
      <c r="H64" s="632">
        <f t="shared" si="5"/>
        <v>0</v>
      </c>
    </row>
    <row r="65" spans="1:8" ht="25.05" customHeight="1">
      <c r="A65" s="419">
        <v>29.2</v>
      </c>
      <c r="B65" s="617" t="s">
        <v>772</v>
      </c>
      <c r="C65" s="629"/>
      <c r="D65" s="629"/>
      <c r="E65" s="632">
        <f t="shared" si="4"/>
        <v>0</v>
      </c>
      <c r="F65" s="629"/>
      <c r="G65" s="629"/>
      <c r="H65" s="632">
        <f t="shared" si="5"/>
        <v>0</v>
      </c>
    </row>
    <row r="66" spans="1:8" ht="22.5" customHeight="1">
      <c r="A66" s="419">
        <v>29.3</v>
      </c>
      <c r="B66" s="613" t="s">
        <v>773</v>
      </c>
      <c r="C66" s="629"/>
      <c r="D66" s="629"/>
      <c r="E66" s="632">
        <f t="shared" si="4"/>
        <v>0</v>
      </c>
      <c r="F66" s="629"/>
      <c r="G66" s="629"/>
      <c r="H66" s="632">
        <f t="shared" si="5"/>
        <v>0</v>
      </c>
    </row>
    <row r="67" spans="1:8">
      <c r="A67" s="419">
        <v>30</v>
      </c>
      <c r="B67" s="610" t="s">
        <v>103</v>
      </c>
      <c r="C67" s="629">
        <f>-25642001.25+1.5</f>
        <v>-25641999.75</v>
      </c>
      <c r="D67" s="629"/>
      <c r="E67" s="632">
        <f t="shared" si="4"/>
        <v>-25641999.75</v>
      </c>
      <c r="F67" s="629">
        <v>-27171453.232103299</v>
      </c>
      <c r="G67" s="629"/>
      <c r="H67" s="632">
        <f t="shared" si="5"/>
        <v>-27171453.232103299</v>
      </c>
    </row>
    <row r="68" spans="1:8">
      <c r="A68" s="419">
        <v>31</v>
      </c>
      <c r="B68" s="618" t="s">
        <v>774</v>
      </c>
      <c r="C68" s="629">
        <f>SUM(C55,C56,C57,C58,C59,C62,C63,C67)</f>
        <v>112312910.75</v>
      </c>
      <c r="D68" s="629">
        <f>SUM(D55,D56,D57,D58,D59,D62,D63,D67)</f>
        <v>0</v>
      </c>
      <c r="E68" s="632">
        <f t="shared" si="4"/>
        <v>112312910.75</v>
      </c>
      <c r="F68" s="629">
        <f>SUM(F55,F56,F57,F58,F59,F62,F63,F67)</f>
        <v>102983457.2678967</v>
      </c>
      <c r="G68" s="629">
        <f>SUM(G55,G56,G57,G58,G59,G62,G63,G67)</f>
        <v>0</v>
      </c>
      <c r="H68" s="632">
        <f t="shared" si="5"/>
        <v>102983457.2678967</v>
      </c>
    </row>
    <row r="69" spans="1:8">
      <c r="A69" s="419">
        <v>32</v>
      </c>
      <c r="B69" s="610" t="s">
        <v>775</v>
      </c>
      <c r="C69" s="629">
        <f>SUM(C53,C68)</f>
        <v>256029950.20449999</v>
      </c>
      <c r="D69" s="629">
        <f>SUM(D53,D68)</f>
        <v>278679060.98689997</v>
      </c>
      <c r="E69" s="632">
        <f t="shared" si="4"/>
        <v>534709011.19139993</v>
      </c>
      <c r="F69" s="629">
        <f>SUM(F53,F68)</f>
        <v>229052654.70669669</v>
      </c>
      <c r="G69" s="629">
        <f>SUM(G53,G68)</f>
        <v>290038762.53329998</v>
      </c>
      <c r="H69" s="632">
        <f t="shared" si="5"/>
        <v>519091417.23999667</v>
      </c>
    </row>
    <row r="72" spans="1:8">
      <c r="E72" s="634"/>
    </row>
    <row r="74" spans="1:8">
      <c r="H74" s="634"/>
    </row>
  </sheetData>
  <mergeCells count="7">
    <mergeCell ref="C37:H37"/>
    <mergeCell ref="C54:H54"/>
    <mergeCell ref="A4:A6"/>
    <mergeCell ref="B4:B5"/>
    <mergeCell ref="C4:E4"/>
    <mergeCell ref="F4:H4"/>
    <mergeCell ref="C6:H6"/>
  </mergeCells>
  <pageMargins left="0.7" right="0.7" top="0.75" bottom="0.75" header="0.3" footer="0.3"/>
  <pageSetup paperSize="9" scale="3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zoomScale="80" zoomScaleNormal="80" workbookViewId="0">
      <selection activeCell="B8" sqref="B8"/>
    </sheetView>
  </sheetViews>
  <sheetFormatPr defaultColWidth="43.5546875" defaultRowHeight="12"/>
  <cols>
    <col min="1" max="1" width="8" style="154" customWidth="1"/>
    <col min="2" max="2" width="66.21875" style="155" customWidth="1"/>
    <col min="3" max="3" width="131.44140625" style="156" customWidth="1"/>
    <col min="4" max="5" width="10.21875" style="147" customWidth="1"/>
    <col min="6" max="6" width="67.6640625" style="147" customWidth="1"/>
    <col min="7" max="16384" width="43.5546875" style="147"/>
  </cols>
  <sheetData>
    <row r="1" spans="1:3" ht="13.2" thickTop="1" thickBot="1">
      <c r="A1" s="913" t="s">
        <v>187</v>
      </c>
      <c r="B1" s="914"/>
      <c r="C1" s="915"/>
    </row>
    <row r="2" spans="1:3" ht="26.25" customHeight="1">
      <c r="A2" s="395"/>
      <c r="B2" s="916" t="s">
        <v>188</v>
      </c>
      <c r="C2" s="916"/>
    </row>
    <row r="3" spans="1:3" s="152" customFormat="1" ht="11.25" customHeight="1">
      <c r="A3" s="151"/>
      <c r="B3" s="916" t="s">
        <v>263</v>
      </c>
      <c r="C3" s="916"/>
    </row>
    <row r="4" spans="1:3" ht="12" customHeight="1" thickBot="1">
      <c r="A4" s="895" t="s">
        <v>267</v>
      </c>
      <c r="B4" s="896"/>
      <c r="C4" s="897"/>
    </row>
    <row r="5" spans="1:3" ht="12.6" thickTop="1">
      <c r="A5" s="148"/>
      <c r="B5" s="898" t="s">
        <v>189</v>
      </c>
      <c r="C5" s="899"/>
    </row>
    <row r="6" spans="1:3">
      <c r="A6" s="395"/>
      <c r="B6" s="875" t="s">
        <v>264</v>
      </c>
      <c r="C6" s="876"/>
    </row>
    <row r="7" spans="1:3">
      <c r="A7" s="395"/>
      <c r="B7" s="875" t="s">
        <v>190</v>
      </c>
      <c r="C7" s="876"/>
    </row>
    <row r="8" spans="1:3">
      <c r="A8" s="395"/>
      <c r="B8" s="875" t="s">
        <v>265</v>
      </c>
      <c r="C8" s="876"/>
    </row>
    <row r="9" spans="1:3">
      <c r="A9" s="395"/>
      <c r="B9" s="919" t="s">
        <v>266</v>
      </c>
      <c r="C9" s="920"/>
    </row>
    <row r="10" spans="1:3">
      <c r="A10" s="395"/>
      <c r="B10" s="911" t="s">
        <v>191</v>
      </c>
      <c r="C10" s="912" t="s">
        <v>191</v>
      </c>
    </row>
    <row r="11" spans="1:3">
      <c r="A11" s="395"/>
      <c r="B11" s="911" t="s">
        <v>192</v>
      </c>
      <c r="C11" s="912" t="s">
        <v>192</v>
      </c>
    </row>
    <row r="12" spans="1:3">
      <c r="A12" s="395"/>
      <c r="B12" s="911" t="s">
        <v>193</v>
      </c>
      <c r="C12" s="912" t="s">
        <v>193</v>
      </c>
    </row>
    <row r="13" spans="1:3">
      <c r="A13" s="395"/>
      <c r="B13" s="911" t="s">
        <v>194</v>
      </c>
      <c r="C13" s="912" t="s">
        <v>194</v>
      </c>
    </row>
    <row r="14" spans="1:3">
      <c r="A14" s="395"/>
      <c r="B14" s="911" t="s">
        <v>195</v>
      </c>
      <c r="C14" s="912" t="s">
        <v>195</v>
      </c>
    </row>
    <row r="15" spans="1:3" ht="21.75" customHeight="1">
      <c r="A15" s="395"/>
      <c r="B15" s="911" t="s">
        <v>196</v>
      </c>
      <c r="C15" s="912" t="s">
        <v>196</v>
      </c>
    </row>
    <row r="16" spans="1:3">
      <c r="A16" s="395"/>
      <c r="B16" s="911" t="s">
        <v>197</v>
      </c>
      <c r="C16" s="912" t="s">
        <v>198</v>
      </c>
    </row>
    <row r="17" spans="1:6">
      <c r="A17" s="395"/>
      <c r="B17" s="911" t="s">
        <v>199</v>
      </c>
      <c r="C17" s="912" t="s">
        <v>200</v>
      </c>
    </row>
    <row r="18" spans="1:6">
      <c r="A18" s="395"/>
      <c r="B18" s="911" t="s">
        <v>201</v>
      </c>
      <c r="C18" s="912" t="s">
        <v>202</v>
      </c>
    </row>
    <row r="19" spans="1:6">
      <c r="A19" s="395"/>
      <c r="B19" s="911" t="s">
        <v>203</v>
      </c>
      <c r="C19" s="912" t="s">
        <v>203</v>
      </c>
    </row>
    <row r="20" spans="1:6">
      <c r="A20" s="395"/>
      <c r="B20" s="917" t="s">
        <v>959</v>
      </c>
      <c r="C20" s="918" t="s">
        <v>204</v>
      </c>
    </row>
    <row r="21" spans="1:6">
      <c r="A21" s="395"/>
      <c r="B21" s="911" t="s">
        <v>948</v>
      </c>
      <c r="C21" s="912" t="s">
        <v>205</v>
      </c>
    </row>
    <row r="22" spans="1:6" ht="23.25" customHeight="1">
      <c r="A22" s="395"/>
      <c r="B22" s="911" t="s">
        <v>206</v>
      </c>
      <c r="C22" s="912" t="s">
        <v>207</v>
      </c>
      <c r="F22" s="584"/>
    </row>
    <row r="23" spans="1:6">
      <c r="A23" s="395"/>
      <c r="B23" s="911" t="s">
        <v>208</v>
      </c>
      <c r="C23" s="912" t="s">
        <v>208</v>
      </c>
    </row>
    <row r="24" spans="1:6">
      <c r="A24" s="395"/>
      <c r="B24" s="911" t="s">
        <v>209</v>
      </c>
      <c r="C24" s="912" t="s">
        <v>210</v>
      </c>
    </row>
    <row r="25" spans="1:6" ht="12.6" thickBot="1">
      <c r="A25" s="149"/>
      <c r="B25" s="905" t="s">
        <v>211</v>
      </c>
      <c r="C25" s="906"/>
    </row>
    <row r="26" spans="1:6" ht="13.2" thickTop="1" thickBot="1">
      <c r="A26" s="895" t="s">
        <v>844</v>
      </c>
      <c r="B26" s="896"/>
      <c r="C26" s="897"/>
    </row>
    <row r="27" spans="1:6" ht="13.2" thickTop="1" thickBot="1">
      <c r="A27" s="150"/>
      <c r="B27" s="907" t="s">
        <v>845</v>
      </c>
      <c r="C27" s="908"/>
    </row>
    <row r="28" spans="1:6" ht="13.2" thickTop="1" thickBot="1">
      <c r="A28" s="895" t="s">
        <v>268</v>
      </c>
      <c r="B28" s="896"/>
      <c r="C28" s="897"/>
    </row>
    <row r="29" spans="1:6" ht="12.6" thickTop="1">
      <c r="A29" s="148"/>
      <c r="B29" s="909" t="s">
        <v>848</v>
      </c>
      <c r="C29" s="910" t="s">
        <v>212</v>
      </c>
    </row>
    <row r="30" spans="1:6">
      <c r="A30" s="395"/>
      <c r="B30" s="900" t="s">
        <v>216</v>
      </c>
      <c r="C30" s="901" t="s">
        <v>213</v>
      </c>
    </row>
    <row r="31" spans="1:6">
      <c r="A31" s="395"/>
      <c r="B31" s="900" t="s">
        <v>846</v>
      </c>
      <c r="C31" s="901" t="s">
        <v>214</v>
      </c>
    </row>
    <row r="32" spans="1:6">
      <c r="A32" s="395"/>
      <c r="B32" s="900" t="s">
        <v>847</v>
      </c>
      <c r="C32" s="901" t="s">
        <v>215</v>
      </c>
    </row>
    <row r="33" spans="1:3">
      <c r="A33" s="395"/>
      <c r="B33" s="900" t="s">
        <v>219</v>
      </c>
      <c r="C33" s="901" t="s">
        <v>220</v>
      </c>
    </row>
    <row r="34" spans="1:3">
      <c r="A34" s="395"/>
      <c r="B34" s="900" t="s">
        <v>849</v>
      </c>
      <c r="C34" s="901" t="s">
        <v>217</v>
      </c>
    </row>
    <row r="35" spans="1:3">
      <c r="A35" s="395"/>
      <c r="B35" s="900" t="s">
        <v>850</v>
      </c>
      <c r="C35" s="901" t="s">
        <v>218</v>
      </c>
    </row>
    <row r="36" spans="1:3">
      <c r="A36" s="395"/>
      <c r="B36" s="902" t="s">
        <v>851</v>
      </c>
      <c r="C36" s="903"/>
    </row>
    <row r="37" spans="1:3" ht="24.75" customHeight="1">
      <c r="A37" s="395"/>
      <c r="B37" s="900" t="s">
        <v>852</v>
      </c>
      <c r="C37" s="901" t="s">
        <v>221</v>
      </c>
    </row>
    <row r="38" spans="1:3" ht="23.25" customHeight="1">
      <c r="A38" s="395"/>
      <c r="B38" s="900" t="s">
        <v>853</v>
      </c>
      <c r="C38" s="901" t="s">
        <v>222</v>
      </c>
    </row>
    <row r="39" spans="1:3" ht="23.25" customHeight="1">
      <c r="A39" s="433"/>
      <c r="B39" s="902" t="s">
        <v>854</v>
      </c>
      <c r="C39" s="904"/>
    </row>
    <row r="40" spans="1:3" ht="12" customHeight="1">
      <c r="A40" s="395"/>
      <c r="B40" s="900" t="s">
        <v>855</v>
      </c>
      <c r="C40" s="901"/>
    </row>
    <row r="41" spans="1:3" ht="12.6" thickBot="1">
      <c r="A41" s="895" t="s">
        <v>269</v>
      </c>
      <c r="B41" s="896"/>
      <c r="C41" s="897"/>
    </row>
    <row r="42" spans="1:3" ht="12.6" thickTop="1">
      <c r="A42" s="148"/>
      <c r="B42" s="898" t="s">
        <v>299</v>
      </c>
      <c r="C42" s="899" t="s">
        <v>223</v>
      </c>
    </row>
    <row r="43" spans="1:3">
      <c r="A43" s="395"/>
      <c r="B43" s="875" t="s">
        <v>298</v>
      </c>
      <c r="C43" s="876"/>
    </row>
    <row r="44" spans="1:3" ht="23.25" customHeight="1" thickBot="1">
      <c r="A44" s="149"/>
      <c r="B44" s="893" t="s">
        <v>224</v>
      </c>
      <c r="C44" s="894" t="s">
        <v>225</v>
      </c>
    </row>
    <row r="45" spans="1:3" ht="11.25" customHeight="1" thickTop="1" thickBot="1">
      <c r="A45" s="895" t="s">
        <v>270</v>
      </c>
      <c r="B45" s="896"/>
      <c r="C45" s="897"/>
    </row>
    <row r="46" spans="1:3" ht="26.25" customHeight="1" thickTop="1">
      <c r="A46" s="395"/>
      <c r="B46" s="875" t="s">
        <v>271</v>
      </c>
      <c r="C46" s="876"/>
    </row>
    <row r="47" spans="1:3" ht="12.6" thickBot="1">
      <c r="A47" s="895" t="s">
        <v>272</v>
      </c>
      <c r="B47" s="896"/>
      <c r="C47" s="897"/>
    </row>
    <row r="48" spans="1:3" ht="12.6" thickTop="1">
      <c r="A48" s="148"/>
      <c r="B48" s="898" t="s">
        <v>226</v>
      </c>
      <c r="C48" s="899" t="s">
        <v>226</v>
      </c>
    </row>
    <row r="49" spans="1:3" ht="11.25" customHeight="1">
      <c r="A49" s="395"/>
      <c r="B49" s="875" t="s">
        <v>227</v>
      </c>
      <c r="C49" s="876" t="s">
        <v>227</v>
      </c>
    </row>
    <row r="50" spans="1:3">
      <c r="A50" s="395"/>
      <c r="B50" s="875" t="s">
        <v>228</v>
      </c>
      <c r="C50" s="876" t="s">
        <v>228</v>
      </c>
    </row>
    <row r="51" spans="1:3" ht="11.25" customHeight="1">
      <c r="A51" s="395"/>
      <c r="B51" s="875" t="s">
        <v>857</v>
      </c>
      <c r="C51" s="876" t="s">
        <v>229</v>
      </c>
    </row>
    <row r="52" spans="1:3" ht="33.6" customHeight="1">
      <c r="A52" s="395"/>
      <c r="B52" s="875" t="s">
        <v>230</v>
      </c>
      <c r="C52" s="876" t="s">
        <v>230</v>
      </c>
    </row>
    <row r="53" spans="1:3" ht="11.25" customHeight="1">
      <c r="A53" s="395"/>
      <c r="B53" s="875" t="s">
        <v>319</v>
      </c>
      <c r="C53" s="876" t="s">
        <v>231</v>
      </c>
    </row>
    <row r="54" spans="1:3" ht="11.25" customHeight="1" thickBot="1">
      <c r="A54" s="895" t="s">
        <v>273</v>
      </c>
      <c r="B54" s="896"/>
      <c r="C54" s="897"/>
    </row>
    <row r="55" spans="1:3" ht="12.6" thickTop="1">
      <c r="A55" s="148"/>
      <c r="B55" s="898" t="s">
        <v>226</v>
      </c>
      <c r="C55" s="899" t="s">
        <v>226</v>
      </c>
    </row>
    <row r="56" spans="1:3">
      <c r="A56" s="395"/>
      <c r="B56" s="875" t="s">
        <v>232</v>
      </c>
      <c r="C56" s="876" t="s">
        <v>232</v>
      </c>
    </row>
    <row r="57" spans="1:3">
      <c r="A57" s="395"/>
      <c r="B57" s="875" t="s">
        <v>276</v>
      </c>
      <c r="C57" s="876" t="s">
        <v>233</v>
      </c>
    </row>
    <row r="58" spans="1:3">
      <c r="A58" s="395"/>
      <c r="B58" s="875" t="s">
        <v>234</v>
      </c>
      <c r="C58" s="876" t="s">
        <v>234</v>
      </c>
    </row>
    <row r="59" spans="1:3">
      <c r="A59" s="395"/>
      <c r="B59" s="875" t="s">
        <v>235</v>
      </c>
      <c r="C59" s="876" t="s">
        <v>235</v>
      </c>
    </row>
    <row r="60" spans="1:3">
      <c r="A60" s="395"/>
      <c r="B60" s="875" t="s">
        <v>236</v>
      </c>
      <c r="C60" s="876" t="s">
        <v>236</v>
      </c>
    </row>
    <row r="61" spans="1:3">
      <c r="A61" s="395"/>
      <c r="B61" s="875" t="s">
        <v>277</v>
      </c>
      <c r="C61" s="876" t="s">
        <v>237</v>
      </c>
    </row>
    <row r="62" spans="1:3">
      <c r="A62" s="395"/>
      <c r="B62" s="875" t="s">
        <v>238</v>
      </c>
      <c r="C62" s="876" t="s">
        <v>238</v>
      </c>
    </row>
    <row r="63" spans="1:3" ht="12.6" thickBot="1">
      <c r="A63" s="149"/>
      <c r="B63" s="893" t="s">
        <v>239</v>
      </c>
      <c r="C63" s="894" t="s">
        <v>239</v>
      </c>
    </row>
    <row r="64" spans="1:3" ht="11.25" customHeight="1" thickTop="1">
      <c r="A64" s="881" t="s">
        <v>274</v>
      </c>
      <c r="B64" s="882"/>
      <c r="C64" s="883"/>
    </row>
    <row r="65" spans="1:3" ht="12.6" thickBot="1">
      <c r="A65" s="149"/>
      <c r="B65" s="893" t="s">
        <v>240</v>
      </c>
      <c r="C65" s="894" t="s">
        <v>240</v>
      </c>
    </row>
    <row r="66" spans="1:3" ht="11.25" customHeight="1" thickTop="1" thickBot="1">
      <c r="A66" s="895" t="s">
        <v>275</v>
      </c>
      <c r="B66" s="896"/>
      <c r="C66" s="897"/>
    </row>
    <row r="67" spans="1:3" ht="12.6" thickTop="1">
      <c r="A67" s="148"/>
      <c r="B67" s="898" t="s">
        <v>241</v>
      </c>
      <c r="C67" s="899" t="s">
        <v>241</v>
      </c>
    </row>
    <row r="68" spans="1:3">
      <c r="A68" s="395"/>
      <c r="B68" s="875" t="s">
        <v>859</v>
      </c>
      <c r="C68" s="876" t="s">
        <v>242</v>
      </c>
    </row>
    <row r="69" spans="1:3">
      <c r="A69" s="395"/>
      <c r="B69" s="875" t="s">
        <v>243</v>
      </c>
      <c r="C69" s="876" t="s">
        <v>243</v>
      </c>
    </row>
    <row r="70" spans="1:3" ht="55.05" customHeight="1">
      <c r="A70" s="395"/>
      <c r="B70" s="891" t="s">
        <v>688</v>
      </c>
      <c r="C70" s="892" t="s">
        <v>244</v>
      </c>
    </row>
    <row r="71" spans="1:3" ht="33.75" customHeight="1">
      <c r="A71" s="395"/>
      <c r="B71" s="891" t="s">
        <v>278</v>
      </c>
      <c r="C71" s="892" t="s">
        <v>245</v>
      </c>
    </row>
    <row r="72" spans="1:3" ht="15.75" customHeight="1">
      <c r="A72" s="395"/>
      <c r="B72" s="891" t="s">
        <v>860</v>
      </c>
      <c r="C72" s="892" t="s">
        <v>246</v>
      </c>
    </row>
    <row r="73" spans="1:3">
      <c r="A73" s="395"/>
      <c r="B73" s="875" t="s">
        <v>247</v>
      </c>
      <c r="C73" s="876" t="s">
        <v>247</v>
      </c>
    </row>
    <row r="74" spans="1:3" ht="12.6" thickBot="1">
      <c r="A74" s="149"/>
      <c r="B74" s="893" t="s">
        <v>248</v>
      </c>
      <c r="C74" s="894" t="s">
        <v>248</v>
      </c>
    </row>
    <row r="75" spans="1:3" ht="12.6" thickTop="1">
      <c r="A75" s="881" t="s">
        <v>302</v>
      </c>
      <c r="B75" s="882"/>
      <c r="C75" s="883"/>
    </row>
    <row r="76" spans="1:3">
      <c r="A76" s="395"/>
      <c r="B76" s="875" t="s">
        <v>240</v>
      </c>
      <c r="C76" s="876"/>
    </row>
    <row r="77" spans="1:3">
      <c r="A77" s="395"/>
      <c r="B77" s="875" t="s">
        <v>300</v>
      </c>
      <c r="C77" s="876"/>
    </row>
    <row r="78" spans="1:3">
      <c r="A78" s="395"/>
      <c r="B78" s="875" t="s">
        <v>301</v>
      </c>
      <c r="C78" s="876"/>
    </row>
    <row r="79" spans="1:3">
      <c r="A79" s="881" t="s">
        <v>303</v>
      </c>
      <c r="B79" s="882"/>
      <c r="C79" s="883"/>
    </row>
    <row r="80" spans="1:3">
      <c r="A80" s="395"/>
      <c r="B80" s="875" t="s">
        <v>240</v>
      </c>
      <c r="C80" s="876"/>
    </row>
    <row r="81" spans="1:3">
      <c r="A81" s="395"/>
      <c r="B81" s="875" t="s">
        <v>304</v>
      </c>
      <c r="C81" s="876"/>
    </row>
    <row r="82" spans="1:3" ht="79.5" customHeight="1">
      <c r="A82" s="395"/>
      <c r="B82" s="875" t="s">
        <v>318</v>
      </c>
      <c r="C82" s="876"/>
    </row>
    <row r="83" spans="1:3" ht="53.25" customHeight="1">
      <c r="A83" s="395"/>
      <c r="B83" s="875" t="s">
        <v>317</v>
      </c>
      <c r="C83" s="876"/>
    </row>
    <row r="84" spans="1:3">
      <c r="A84" s="395"/>
      <c r="B84" s="875" t="s">
        <v>305</v>
      </c>
      <c r="C84" s="876"/>
    </row>
    <row r="85" spans="1:3">
      <c r="A85" s="395"/>
      <c r="B85" s="875" t="s">
        <v>306</v>
      </c>
      <c r="C85" s="876"/>
    </row>
    <row r="86" spans="1:3">
      <c r="A86" s="395"/>
      <c r="B86" s="875" t="s">
        <v>307</v>
      </c>
      <c r="C86" s="876"/>
    </row>
    <row r="87" spans="1:3">
      <c r="A87" s="881" t="s">
        <v>308</v>
      </c>
      <c r="B87" s="882"/>
      <c r="C87" s="883"/>
    </row>
    <row r="88" spans="1:3">
      <c r="A88" s="395"/>
      <c r="B88" s="875" t="s">
        <v>240</v>
      </c>
      <c r="C88" s="876"/>
    </row>
    <row r="89" spans="1:3">
      <c r="A89" s="395"/>
      <c r="B89" s="875" t="s">
        <v>310</v>
      </c>
      <c r="C89" s="876"/>
    </row>
    <row r="90" spans="1:3" ht="12" customHeight="1">
      <c r="A90" s="395"/>
      <c r="B90" s="875" t="s">
        <v>311</v>
      </c>
      <c r="C90" s="876"/>
    </row>
    <row r="91" spans="1:3">
      <c r="A91" s="395"/>
      <c r="B91" s="875" t="s">
        <v>312</v>
      </c>
      <c r="C91" s="876"/>
    </row>
    <row r="92" spans="1:3" ht="24.75" customHeight="1">
      <c r="A92" s="395"/>
      <c r="B92" s="884" t="s">
        <v>348</v>
      </c>
      <c r="C92" s="885"/>
    </row>
    <row r="93" spans="1:3" ht="24" customHeight="1">
      <c r="A93" s="395"/>
      <c r="B93" s="884" t="s">
        <v>349</v>
      </c>
      <c r="C93" s="885"/>
    </row>
    <row r="94" spans="1:3" ht="13.5" customHeight="1">
      <c r="A94" s="395"/>
      <c r="B94" s="886" t="s">
        <v>313</v>
      </c>
      <c r="C94" s="887"/>
    </row>
    <row r="95" spans="1:3" ht="11.25" customHeight="1" thickBot="1">
      <c r="A95" s="888" t="s">
        <v>344</v>
      </c>
      <c r="B95" s="889"/>
      <c r="C95" s="890"/>
    </row>
    <row r="96" spans="1:3" ht="13.2" thickTop="1" thickBot="1">
      <c r="A96" s="880" t="s">
        <v>249</v>
      </c>
      <c r="B96" s="880"/>
      <c r="C96" s="880"/>
    </row>
    <row r="97" spans="1:3">
      <c r="A97" s="228">
        <v>2</v>
      </c>
      <c r="B97" s="383" t="s">
        <v>324</v>
      </c>
      <c r="C97" s="383" t="s">
        <v>345</v>
      </c>
    </row>
    <row r="98" spans="1:3">
      <c r="A98" s="153">
        <v>3</v>
      </c>
      <c r="B98" s="384" t="s">
        <v>325</v>
      </c>
      <c r="C98" s="385" t="s">
        <v>346</v>
      </c>
    </row>
    <row r="99" spans="1:3">
      <c r="A99" s="153">
        <v>4</v>
      </c>
      <c r="B99" s="384" t="s">
        <v>326</v>
      </c>
      <c r="C99" s="385" t="s">
        <v>350</v>
      </c>
    </row>
    <row r="100" spans="1:3" ht="11.25" customHeight="1">
      <c r="A100" s="153">
        <v>5</v>
      </c>
      <c r="B100" s="384" t="s">
        <v>327</v>
      </c>
      <c r="C100" s="385" t="s">
        <v>347</v>
      </c>
    </row>
    <row r="101" spans="1:3" ht="12" customHeight="1">
      <c r="A101" s="153">
        <v>6</v>
      </c>
      <c r="B101" s="384" t="s">
        <v>342</v>
      </c>
      <c r="C101" s="385" t="s">
        <v>328</v>
      </c>
    </row>
    <row r="102" spans="1:3" ht="12" customHeight="1">
      <c r="A102" s="153">
        <v>7</v>
      </c>
      <c r="B102" s="384" t="s">
        <v>329</v>
      </c>
      <c r="C102" s="385" t="s">
        <v>343</v>
      </c>
    </row>
    <row r="103" spans="1:3">
      <c r="A103" s="153">
        <v>8</v>
      </c>
      <c r="B103" s="384" t="s">
        <v>334</v>
      </c>
      <c r="C103" s="385" t="s">
        <v>354</v>
      </c>
    </row>
    <row r="104" spans="1:3" ht="11.25" customHeight="1">
      <c r="A104" s="881" t="s">
        <v>314</v>
      </c>
      <c r="B104" s="882"/>
      <c r="C104" s="883"/>
    </row>
    <row r="105" spans="1:3" ht="12" customHeight="1">
      <c r="A105" s="395"/>
      <c r="B105" s="875" t="s">
        <v>240</v>
      </c>
      <c r="C105" s="876"/>
    </row>
    <row r="106" spans="1:3">
      <c r="A106" s="881" t="s">
        <v>489</v>
      </c>
      <c r="B106" s="882"/>
      <c r="C106" s="883"/>
    </row>
    <row r="107" spans="1:3" ht="12" customHeight="1">
      <c r="A107" s="395"/>
      <c r="B107" s="875" t="s">
        <v>491</v>
      </c>
      <c r="C107" s="876"/>
    </row>
    <row r="108" spans="1:3">
      <c r="A108" s="395"/>
      <c r="B108" s="875" t="s">
        <v>492</v>
      </c>
      <c r="C108" s="876"/>
    </row>
    <row r="109" spans="1:3">
      <c r="A109" s="395"/>
      <c r="B109" s="875" t="s">
        <v>490</v>
      </c>
      <c r="C109" s="876"/>
    </row>
    <row r="110" spans="1:3">
      <c r="A110" s="873" t="s">
        <v>724</v>
      </c>
      <c r="B110" s="873"/>
      <c r="C110" s="873"/>
    </row>
    <row r="111" spans="1:3">
      <c r="A111" s="877" t="s">
        <v>187</v>
      </c>
      <c r="B111" s="877"/>
      <c r="C111" s="877"/>
    </row>
    <row r="112" spans="1:3">
      <c r="A112" s="552">
        <v>1</v>
      </c>
      <c r="B112" s="866" t="s">
        <v>607</v>
      </c>
      <c r="C112" s="867"/>
    </row>
    <row r="113" spans="1:3">
      <c r="A113" s="552">
        <v>2</v>
      </c>
      <c r="B113" s="878" t="s">
        <v>608</v>
      </c>
      <c r="C113" s="879"/>
    </row>
    <row r="114" spans="1:3">
      <c r="A114" s="552">
        <v>3</v>
      </c>
      <c r="B114" s="866" t="s">
        <v>934</v>
      </c>
      <c r="C114" s="867"/>
    </row>
    <row r="115" spans="1:3">
      <c r="A115" s="552">
        <v>4</v>
      </c>
      <c r="B115" s="866" t="s">
        <v>933</v>
      </c>
      <c r="C115" s="867"/>
    </row>
    <row r="116" spans="1:3">
      <c r="A116" s="552">
        <v>5</v>
      </c>
      <c r="B116" s="556" t="s">
        <v>932</v>
      </c>
      <c r="C116" s="555"/>
    </row>
    <row r="117" spans="1:3">
      <c r="A117" s="552">
        <v>6</v>
      </c>
      <c r="B117" s="866" t="s">
        <v>946</v>
      </c>
      <c r="C117" s="867"/>
    </row>
    <row r="118" spans="1:3" ht="48.45" customHeight="1">
      <c r="A118" s="552">
        <v>7</v>
      </c>
      <c r="B118" s="866" t="s">
        <v>947</v>
      </c>
      <c r="C118" s="867"/>
    </row>
    <row r="119" spans="1:3">
      <c r="A119" s="529">
        <v>8</v>
      </c>
      <c r="B119" s="524" t="s">
        <v>634</v>
      </c>
      <c r="C119" s="549" t="s">
        <v>931</v>
      </c>
    </row>
    <row r="120" spans="1:3" ht="24">
      <c r="A120" s="552">
        <v>9.01</v>
      </c>
      <c r="B120" s="524" t="s">
        <v>518</v>
      </c>
      <c r="C120" s="525" t="s">
        <v>683</v>
      </c>
    </row>
    <row r="121" spans="1:3" ht="36">
      <c r="A121" s="552">
        <v>9.02</v>
      </c>
      <c r="B121" s="524" t="s">
        <v>519</v>
      </c>
      <c r="C121" s="525" t="s">
        <v>686</v>
      </c>
    </row>
    <row r="122" spans="1:3">
      <c r="A122" s="552">
        <v>9.0299999999999994</v>
      </c>
      <c r="B122" s="525" t="s">
        <v>868</v>
      </c>
      <c r="C122" s="525" t="s">
        <v>609</v>
      </c>
    </row>
    <row r="123" spans="1:3">
      <c r="A123" s="552">
        <v>9.0399999999999991</v>
      </c>
      <c r="B123" s="524" t="s">
        <v>520</v>
      </c>
      <c r="C123" s="525" t="s">
        <v>610</v>
      </c>
    </row>
    <row r="124" spans="1:3">
      <c r="A124" s="552">
        <v>9.0500000000000007</v>
      </c>
      <c r="B124" s="524" t="s">
        <v>521</v>
      </c>
      <c r="C124" s="525" t="s">
        <v>611</v>
      </c>
    </row>
    <row r="125" spans="1:3" ht="24">
      <c r="A125" s="552">
        <v>9.06</v>
      </c>
      <c r="B125" s="524" t="s">
        <v>522</v>
      </c>
      <c r="C125" s="525" t="s">
        <v>612</v>
      </c>
    </row>
    <row r="126" spans="1:3">
      <c r="A126" s="552">
        <v>9.07</v>
      </c>
      <c r="B126" s="554" t="s">
        <v>523</v>
      </c>
      <c r="C126" s="525" t="s">
        <v>613</v>
      </c>
    </row>
    <row r="127" spans="1:3" ht="24">
      <c r="A127" s="552">
        <v>9.08</v>
      </c>
      <c r="B127" s="524" t="s">
        <v>524</v>
      </c>
      <c r="C127" s="525" t="s">
        <v>614</v>
      </c>
    </row>
    <row r="128" spans="1:3" ht="24">
      <c r="A128" s="552">
        <v>9.09</v>
      </c>
      <c r="B128" s="524" t="s">
        <v>525</v>
      </c>
      <c r="C128" s="525" t="s">
        <v>615</v>
      </c>
    </row>
    <row r="129" spans="1:3">
      <c r="A129" s="553">
        <v>9.1</v>
      </c>
      <c r="B129" s="524" t="s">
        <v>526</v>
      </c>
      <c r="C129" s="525" t="s">
        <v>616</v>
      </c>
    </row>
    <row r="130" spans="1:3">
      <c r="A130" s="552">
        <v>9.11</v>
      </c>
      <c r="B130" s="524" t="s">
        <v>527</v>
      </c>
      <c r="C130" s="525" t="s">
        <v>617</v>
      </c>
    </row>
    <row r="131" spans="1:3">
      <c r="A131" s="552">
        <v>9.1199999999999992</v>
      </c>
      <c r="B131" s="524" t="s">
        <v>528</v>
      </c>
      <c r="C131" s="525" t="s">
        <v>618</v>
      </c>
    </row>
    <row r="132" spans="1:3">
      <c r="A132" s="552">
        <v>9.1300000000000008</v>
      </c>
      <c r="B132" s="524" t="s">
        <v>529</v>
      </c>
      <c r="C132" s="525" t="s">
        <v>619</v>
      </c>
    </row>
    <row r="133" spans="1:3">
      <c r="A133" s="552">
        <v>9.14</v>
      </c>
      <c r="B133" s="524" t="s">
        <v>530</v>
      </c>
      <c r="C133" s="525" t="s">
        <v>620</v>
      </c>
    </row>
    <row r="134" spans="1:3">
      <c r="A134" s="552">
        <v>9.15</v>
      </c>
      <c r="B134" s="524" t="s">
        <v>531</v>
      </c>
      <c r="C134" s="525" t="s">
        <v>621</v>
      </c>
    </row>
    <row r="135" spans="1:3">
      <c r="A135" s="552">
        <v>9.16</v>
      </c>
      <c r="B135" s="524" t="s">
        <v>532</v>
      </c>
      <c r="C135" s="525" t="s">
        <v>622</v>
      </c>
    </row>
    <row r="136" spans="1:3">
      <c r="A136" s="552">
        <v>9.17</v>
      </c>
      <c r="B136" s="525" t="s">
        <v>533</v>
      </c>
      <c r="C136" s="525" t="s">
        <v>623</v>
      </c>
    </row>
    <row r="137" spans="1:3" ht="24">
      <c r="A137" s="552">
        <v>9.18</v>
      </c>
      <c r="B137" s="524" t="s">
        <v>534</v>
      </c>
      <c r="C137" s="525" t="s">
        <v>624</v>
      </c>
    </row>
    <row r="138" spans="1:3">
      <c r="A138" s="552">
        <v>9.19</v>
      </c>
      <c r="B138" s="524" t="s">
        <v>535</v>
      </c>
      <c r="C138" s="525" t="s">
        <v>625</v>
      </c>
    </row>
    <row r="139" spans="1:3">
      <c r="A139" s="553">
        <v>9.1999999999999993</v>
      </c>
      <c r="B139" s="524" t="s">
        <v>536</v>
      </c>
      <c r="C139" s="525" t="s">
        <v>626</v>
      </c>
    </row>
    <row r="140" spans="1:3">
      <c r="A140" s="552">
        <v>9.2100000000000009</v>
      </c>
      <c r="B140" s="524" t="s">
        <v>537</v>
      </c>
      <c r="C140" s="525" t="s">
        <v>627</v>
      </c>
    </row>
    <row r="141" spans="1:3">
      <c r="A141" s="552">
        <v>9.2200000000000006</v>
      </c>
      <c r="B141" s="524" t="s">
        <v>538</v>
      </c>
      <c r="C141" s="525" t="s">
        <v>628</v>
      </c>
    </row>
    <row r="142" spans="1:3" ht="24">
      <c r="A142" s="552">
        <v>9.23</v>
      </c>
      <c r="B142" s="524" t="s">
        <v>539</v>
      </c>
      <c r="C142" s="525" t="s">
        <v>629</v>
      </c>
    </row>
    <row r="143" spans="1:3" ht="24">
      <c r="A143" s="552">
        <v>9.24</v>
      </c>
      <c r="B143" s="524" t="s">
        <v>540</v>
      </c>
      <c r="C143" s="525" t="s">
        <v>630</v>
      </c>
    </row>
    <row r="144" spans="1:3">
      <c r="A144" s="552">
        <v>9.2500000000000107</v>
      </c>
      <c r="B144" s="524" t="s">
        <v>541</v>
      </c>
      <c r="C144" s="525" t="s">
        <v>631</v>
      </c>
    </row>
    <row r="145" spans="1:3" ht="24">
      <c r="A145" s="552">
        <v>9.2600000000000193</v>
      </c>
      <c r="B145" s="524" t="s">
        <v>632</v>
      </c>
      <c r="C145" s="551" t="s">
        <v>633</v>
      </c>
    </row>
    <row r="146" spans="1:3" s="396" customFormat="1" ht="24">
      <c r="A146" s="552">
        <v>9.2700000000000298</v>
      </c>
      <c r="B146" s="524" t="s">
        <v>99</v>
      </c>
      <c r="C146" s="551" t="s">
        <v>684</v>
      </c>
    </row>
    <row r="147" spans="1:3" s="396" customFormat="1">
      <c r="A147" s="530"/>
      <c r="B147" s="862" t="s">
        <v>635</v>
      </c>
      <c r="C147" s="863"/>
    </row>
    <row r="148" spans="1:3" s="396" customFormat="1">
      <c r="A148" s="529">
        <v>1</v>
      </c>
      <c r="B148" s="864" t="s">
        <v>930</v>
      </c>
      <c r="C148" s="865"/>
    </row>
    <row r="149" spans="1:3" s="396" customFormat="1">
      <c r="A149" s="529">
        <v>2</v>
      </c>
      <c r="B149" s="864" t="s">
        <v>685</v>
      </c>
      <c r="C149" s="865"/>
    </row>
    <row r="150" spans="1:3" s="396" customFormat="1">
      <c r="A150" s="529">
        <v>3</v>
      </c>
      <c r="B150" s="864" t="s">
        <v>682</v>
      </c>
      <c r="C150" s="865"/>
    </row>
    <row r="151" spans="1:3" s="396" customFormat="1">
      <c r="A151" s="530"/>
      <c r="B151" s="862" t="s">
        <v>636</v>
      </c>
      <c r="C151" s="863"/>
    </row>
    <row r="152" spans="1:3" s="396" customFormat="1">
      <c r="A152" s="529">
        <v>1</v>
      </c>
      <c r="B152" s="868" t="s">
        <v>929</v>
      </c>
      <c r="C152" s="869"/>
    </row>
    <row r="153" spans="1:3" s="396" customFormat="1">
      <c r="A153" s="529">
        <v>2</v>
      </c>
      <c r="B153" s="524" t="s">
        <v>866</v>
      </c>
      <c r="C153" s="549" t="s">
        <v>951</v>
      </c>
    </row>
    <row r="154" spans="1:3" ht="24">
      <c r="A154" s="529">
        <v>3</v>
      </c>
      <c r="B154" s="524" t="s">
        <v>865</v>
      </c>
      <c r="C154" s="549" t="s">
        <v>928</v>
      </c>
    </row>
    <row r="155" spans="1:3">
      <c r="A155" s="529">
        <v>4</v>
      </c>
      <c r="B155" s="524" t="s">
        <v>511</v>
      </c>
      <c r="C155" s="524" t="s">
        <v>952</v>
      </c>
    </row>
    <row r="156" spans="1:3" ht="25.05" customHeight="1">
      <c r="A156" s="530"/>
      <c r="B156" s="862" t="s">
        <v>637</v>
      </c>
      <c r="C156" s="863"/>
    </row>
    <row r="157" spans="1:3" ht="36">
      <c r="A157" s="529"/>
      <c r="B157" s="524" t="s">
        <v>917</v>
      </c>
      <c r="C157" s="531" t="s">
        <v>953</v>
      </c>
    </row>
    <row r="158" spans="1:3">
      <c r="A158" s="530"/>
      <c r="B158" s="862" t="s">
        <v>638</v>
      </c>
      <c r="C158" s="863"/>
    </row>
    <row r="159" spans="1:3" ht="39" customHeight="1">
      <c r="A159" s="530"/>
      <c r="B159" s="864" t="s">
        <v>927</v>
      </c>
      <c r="C159" s="865"/>
    </row>
    <row r="160" spans="1:3">
      <c r="A160" s="530" t="s">
        <v>639</v>
      </c>
      <c r="B160" s="550" t="s">
        <v>549</v>
      </c>
      <c r="C160" s="542" t="s">
        <v>640</v>
      </c>
    </row>
    <row r="161" spans="1:3">
      <c r="A161" s="530" t="s">
        <v>369</v>
      </c>
      <c r="B161" s="547" t="s">
        <v>550</v>
      </c>
      <c r="C161" s="549" t="s">
        <v>926</v>
      </c>
    </row>
    <row r="162" spans="1:3" ht="24">
      <c r="A162" s="530" t="s">
        <v>376</v>
      </c>
      <c r="B162" s="542" t="s">
        <v>551</v>
      </c>
      <c r="C162" s="549" t="s">
        <v>641</v>
      </c>
    </row>
    <row r="163" spans="1:3">
      <c r="A163" s="530" t="s">
        <v>642</v>
      </c>
      <c r="B163" s="547" t="s">
        <v>552</v>
      </c>
      <c r="C163" s="548" t="s">
        <v>643</v>
      </c>
    </row>
    <row r="164" spans="1:3" ht="24">
      <c r="A164" s="530" t="s">
        <v>644</v>
      </c>
      <c r="B164" s="547" t="s">
        <v>881</v>
      </c>
      <c r="C164" s="541" t="s">
        <v>925</v>
      </c>
    </row>
    <row r="165" spans="1:3" ht="24">
      <c r="A165" s="530" t="s">
        <v>377</v>
      </c>
      <c r="B165" s="547" t="s">
        <v>553</v>
      </c>
      <c r="C165" s="541" t="s">
        <v>646</v>
      </c>
    </row>
    <row r="166" spans="1:3" ht="24">
      <c r="A166" s="530" t="s">
        <v>645</v>
      </c>
      <c r="B166" s="545" t="s">
        <v>556</v>
      </c>
      <c r="C166" s="546" t="s">
        <v>653</v>
      </c>
    </row>
    <row r="167" spans="1:3" ht="24">
      <c r="A167" s="530" t="s">
        <v>647</v>
      </c>
      <c r="B167" s="545" t="s">
        <v>554</v>
      </c>
      <c r="C167" s="541" t="s">
        <v>649</v>
      </c>
    </row>
    <row r="168" spans="1:3" ht="26.55" customHeight="1">
      <c r="A168" s="530" t="s">
        <v>648</v>
      </c>
      <c r="B168" s="545" t="s">
        <v>555</v>
      </c>
      <c r="C168" s="546" t="s">
        <v>651</v>
      </c>
    </row>
    <row r="169" spans="1:3" ht="24">
      <c r="A169" s="530" t="s">
        <v>650</v>
      </c>
      <c r="B169" s="525" t="s">
        <v>557</v>
      </c>
      <c r="C169" s="546" t="s">
        <v>655</v>
      </c>
    </row>
    <row r="170" spans="1:3" ht="24">
      <c r="A170" s="530" t="s">
        <v>652</v>
      </c>
      <c r="B170" s="545" t="s">
        <v>558</v>
      </c>
      <c r="C170" s="544" t="s">
        <v>656</v>
      </c>
    </row>
    <row r="171" spans="1:3">
      <c r="A171" s="530" t="s">
        <v>654</v>
      </c>
      <c r="B171" s="543" t="s">
        <v>559</v>
      </c>
      <c r="C171" s="542" t="s">
        <v>657</v>
      </c>
    </row>
    <row r="172" spans="1:3" ht="24">
      <c r="A172" s="530"/>
      <c r="B172" s="541" t="s">
        <v>924</v>
      </c>
      <c r="C172" s="525" t="s">
        <v>658</v>
      </c>
    </row>
    <row r="173" spans="1:3" ht="24">
      <c r="A173" s="530"/>
      <c r="B173" s="541" t="s">
        <v>923</v>
      </c>
      <c r="C173" s="525" t="s">
        <v>659</v>
      </c>
    </row>
    <row r="174" spans="1:3" ht="24">
      <c r="A174" s="530"/>
      <c r="B174" s="541" t="s">
        <v>922</v>
      </c>
      <c r="C174" s="525" t="s">
        <v>660</v>
      </c>
    </row>
    <row r="175" spans="1:3">
      <c r="A175" s="530"/>
      <c r="B175" s="862" t="s">
        <v>661</v>
      </c>
      <c r="C175" s="863"/>
    </row>
    <row r="176" spans="1:3">
      <c r="A176" s="530"/>
      <c r="B176" s="864" t="s">
        <v>921</v>
      </c>
      <c r="C176" s="865"/>
    </row>
    <row r="177" spans="1:3">
      <c r="A177" s="529">
        <v>1</v>
      </c>
      <c r="B177" s="525" t="s">
        <v>563</v>
      </c>
      <c r="C177" s="525" t="s">
        <v>563</v>
      </c>
    </row>
    <row r="178" spans="1:3" ht="24">
      <c r="A178" s="529">
        <v>2</v>
      </c>
      <c r="B178" s="525" t="s">
        <v>662</v>
      </c>
      <c r="C178" s="525" t="s">
        <v>663</v>
      </c>
    </row>
    <row r="179" spans="1:3">
      <c r="A179" s="529">
        <v>3</v>
      </c>
      <c r="B179" s="525" t="s">
        <v>565</v>
      </c>
      <c r="C179" s="525" t="s">
        <v>664</v>
      </c>
    </row>
    <row r="180" spans="1:3" ht="24">
      <c r="A180" s="529">
        <v>4</v>
      </c>
      <c r="B180" s="525" t="s">
        <v>566</v>
      </c>
      <c r="C180" s="525" t="s">
        <v>665</v>
      </c>
    </row>
    <row r="181" spans="1:3" ht="24">
      <c r="A181" s="529">
        <v>5</v>
      </c>
      <c r="B181" s="525" t="s">
        <v>567</v>
      </c>
      <c r="C181" s="525" t="s">
        <v>687</v>
      </c>
    </row>
    <row r="182" spans="1:3" ht="48">
      <c r="A182" s="529">
        <v>6</v>
      </c>
      <c r="B182" s="525" t="s">
        <v>568</v>
      </c>
      <c r="C182" s="525" t="s">
        <v>666</v>
      </c>
    </row>
    <row r="183" spans="1:3">
      <c r="A183" s="530"/>
      <c r="B183" s="862" t="s">
        <v>667</v>
      </c>
      <c r="C183" s="863"/>
    </row>
    <row r="184" spans="1:3">
      <c r="A184" s="530"/>
      <c r="B184" s="871" t="s">
        <v>920</v>
      </c>
      <c r="C184" s="868"/>
    </row>
    <row r="185" spans="1:3" ht="24">
      <c r="A185" s="530">
        <v>1.1000000000000001</v>
      </c>
      <c r="B185" s="540" t="s">
        <v>573</v>
      </c>
      <c r="C185" s="525" t="s">
        <v>668</v>
      </c>
    </row>
    <row r="186" spans="1:3" ht="49.95" customHeight="1">
      <c r="A186" s="530" t="s">
        <v>157</v>
      </c>
      <c r="B186" s="526" t="s">
        <v>574</v>
      </c>
      <c r="C186" s="525" t="s">
        <v>669</v>
      </c>
    </row>
    <row r="187" spans="1:3">
      <c r="A187" s="530" t="s">
        <v>575</v>
      </c>
      <c r="B187" s="539" t="s">
        <v>576</v>
      </c>
      <c r="C187" s="872" t="s">
        <v>919</v>
      </c>
    </row>
    <row r="188" spans="1:3">
      <c r="A188" s="530" t="s">
        <v>577</v>
      </c>
      <c r="B188" s="539" t="s">
        <v>578</v>
      </c>
      <c r="C188" s="872"/>
    </row>
    <row r="189" spans="1:3">
      <c r="A189" s="530" t="s">
        <v>579</v>
      </c>
      <c r="B189" s="539" t="s">
        <v>580</v>
      </c>
      <c r="C189" s="872"/>
    </row>
    <row r="190" spans="1:3">
      <c r="A190" s="530" t="s">
        <v>581</v>
      </c>
      <c r="B190" s="539" t="s">
        <v>582</v>
      </c>
      <c r="C190" s="872"/>
    </row>
    <row r="191" spans="1:3" ht="25.5" customHeight="1">
      <c r="A191" s="530">
        <v>1.2</v>
      </c>
      <c r="B191" s="538" t="s">
        <v>895</v>
      </c>
      <c r="C191" s="524" t="s">
        <v>954</v>
      </c>
    </row>
    <row r="192" spans="1:3" ht="24">
      <c r="A192" s="530" t="s">
        <v>584</v>
      </c>
      <c r="B192" s="533" t="s">
        <v>585</v>
      </c>
      <c r="C192" s="536" t="s">
        <v>670</v>
      </c>
    </row>
    <row r="193" spans="1:4" ht="24">
      <c r="A193" s="530" t="s">
        <v>586</v>
      </c>
      <c r="B193" s="537" t="s">
        <v>587</v>
      </c>
      <c r="C193" s="536" t="s">
        <v>671</v>
      </c>
    </row>
    <row r="194" spans="1:4" ht="25.95" customHeight="1">
      <c r="A194" s="530" t="s">
        <v>588</v>
      </c>
      <c r="B194" s="535" t="s">
        <v>589</v>
      </c>
      <c r="C194" s="524" t="s">
        <v>672</v>
      </c>
    </row>
    <row r="195" spans="1:4" ht="24">
      <c r="A195" s="530" t="s">
        <v>590</v>
      </c>
      <c r="B195" s="534" t="s">
        <v>591</v>
      </c>
      <c r="C195" s="524" t="s">
        <v>673</v>
      </c>
      <c r="D195" s="397"/>
    </row>
    <row r="196" spans="1:4" ht="12.6">
      <c r="A196" s="530">
        <v>1.4</v>
      </c>
      <c r="B196" s="533" t="s">
        <v>680</v>
      </c>
      <c r="C196" s="532" t="s">
        <v>674</v>
      </c>
      <c r="D196" s="398"/>
    </row>
    <row r="197" spans="1:4" ht="12.6">
      <c r="A197" s="530">
        <v>1.5</v>
      </c>
      <c r="B197" s="533" t="s">
        <v>681</v>
      </c>
      <c r="C197" s="532" t="s">
        <v>674</v>
      </c>
      <c r="D197" s="399"/>
    </row>
    <row r="198" spans="1:4" ht="12.6">
      <c r="A198" s="530"/>
      <c r="B198" s="873" t="s">
        <v>675</v>
      </c>
      <c r="C198" s="873"/>
      <c r="D198" s="399"/>
    </row>
    <row r="199" spans="1:4" ht="12.6">
      <c r="A199" s="530"/>
      <c r="B199" s="871" t="s">
        <v>918</v>
      </c>
      <c r="C199" s="871"/>
      <c r="D199" s="399"/>
    </row>
    <row r="200" spans="1:4" ht="12.6">
      <c r="A200" s="529"/>
      <c r="B200" s="524" t="s">
        <v>917</v>
      </c>
      <c r="C200" s="531" t="s">
        <v>951</v>
      </c>
      <c r="D200" s="399"/>
    </row>
    <row r="201" spans="1:4" ht="12.6">
      <c r="A201" s="530"/>
      <c r="B201" s="873" t="s">
        <v>676</v>
      </c>
      <c r="C201" s="873"/>
      <c r="D201" s="400"/>
    </row>
    <row r="202" spans="1:4" ht="12.6">
      <c r="A202" s="529"/>
      <c r="B202" s="871" t="s">
        <v>916</v>
      </c>
      <c r="C202" s="871"/>
      <c r="D202" s="401"/>
    </row>
    <row r="203" spans="1:4" ht="12.6">
      <c r="B203" s="873" t="s">
        <v>714</v>
      </c>
      <c r="C203" s="873"/>
      <c r="D203" s="402"/>
    </row>
    <row r="204" spans="1:4" ht="24">
      <c r="A204" s="526">
        <v>1</v>
      </c>
      <c r="B204" s="524" t="s">
        <v>690</v>
      </c>
      <c r="C204" s="524" t="s">
        <v>702</v>
      </c>
      <c r="D204" s="401"/>
    </row>
    <row r="205" spans="1:4" ht="18" customHeight="1">
      <c r="A205" s="526">
        <v>2</v>
      </c>
      <c r="B205" s="524" t="s">
        <v>691</v>
      </c>
      <c r="C205" s="524" t="s">
        <v>703</v>
      </c>
      <c r="D205" s="402"/>
    </row>
    <row r="206" spans="1:4" ht="24">
      <c r="A206" s="526">
        <v>3</v>
      </c>
      <c r="B206" s="524" t="s">
        <v>692</v>
      </c>
      <c r="C206" s="524" t="s">
        <v>704</v>
      </c>
      <c r="D206" s="403"/>
    </row>
    <row r="207" spans="1:4" ht="12.6">
      <c r="A207" s="526">
        <v>4</v>
      </c>
      <c r="B207" s="524" t="s">
        <v>693</v>
      </c>
      <c r="C207" s="524" t="s">
        <v>705</v>
      </c>
      <c r="D207" s="403"/>
    </row>
    <row r="208" spans="1:4" ht="24">
      <c r="A208" s="526">
        <v>5</v>
      </c>
      <c r="B208" s="524" t="s">
        <v>694</v>
      </c>
      <c r="C208" s="524" t="s">
        <v>706</v>
      </c>
    </row>
    <row r="209" spans="1:3" ht="24.45" customHeight="1">
      <c r="A209" s="526">
        <v>6</v>
      </c>
      <c r="B209" s="524" t="s">
        <v>695</v>
      </c>
      <c r="C209" s="524" t="s">
        <v>707</v>
      </c>
    </row>
    <row r="210" spans="1:3" ht="24">
      <c r="A210" s="526">
        <v>7</v>
      </c>
      <c r="B210" s="524" t="s">
        <v>696</v>
      </c>
      <c r="C210" s="524" t="s">
        <v>708</v>
      </c>
    </row>
    <row r="211" spans="1:3">
      <c r="A211" s="526">
        <v>7.1</v>
      </c>
      <c r="B211" s="528" t="s">
        <v>697</v>
      </c>
      <c r="C211" s="524" t="s">
        <v>709</v>
      </c>
    </row>
    <row r="212" spans="1:3">
      <c r="A212" s="526">
        <v>7.2</v>
      </c>
      <c r="B212" s="528" t="s">
        <v>698</v>
      </c>
      <c r="C212" s="524" t="s">
        <v>710</v>
      </c>
    </row>
    <row r="213" spans="1:3">
      <c r="A213" s="526">
        <v>7.3</v>
      </c>
      <c r="B213" s="527" t="s">
        <v>699</v>
      </c>
      <c r="C213" s="524" t="s">
        <v>711</v>
      </c>
    </row>
    <row r="214" spans="1:3" ht="39.450000000000003" customHeight="1">
      <c r="A214" s="526">
        <v>8</v>
      </c>
      <c r="B214" s="524" t="s">
        <v>700</v>
      </c>
      <c r="C214" s="524" t="s">
        <v>712</v>
      </c>
    </row>
    <row r="215" spans="1:3">
      <c r="A215" s="526">
        <v>9</v>
      </c>
      <c r="B215" s="524" t="s">
        <v>701</v>
      </c>
      <c r="C215" s="524" t="s">
        <v>713</v>
      </c>
    </row>
    <row r="216" spans="1:3" ht="24">
      <c r="A216" s="564">
        <v>10.1</v>
      </c>
      <c r="B216" s="565" t="s">
        <v>721</v>
      </c>
      <c r="C216" s="557" t="s">
        <v>722</v>
      </c>
    </row>
    <row r="217" spans="1:3">
      <c r="A217" s="874"/>
      <c r="B217" s="566" t="s">
        <v>908</v>
      </c>
      <c r="C217" s="524" t="s">
        <v>915</v>
      </c>
    </row>
    <row r="218" spans="1:3">
      <c r="A218" s="874"/>
      <c r="B218" s="525" t="s">
        <v>572</v>
      </c>
      <c r="C218" s="524" t="s">
        <v>914</v>
      </c>
    </row>
    <row r="219" spans="1:3">
      <c r="A219" s="874"/>
      <c r="B219" s="525" t="s">
        <v>907</v>
      </c>
      <c r="C219" s="524" t="s">
        <v>955</v>
      </c>
    </row>
    <row r="220" spans="1:3">
      <c r="A220" s="874"/>
      <c r="B220" s="525" t="s">
        <v>715</v>
      </c>
      <c r="C220" s="524" t="s">
        <v>913</v>
      </c>
    </row>
    <row r="221" spans="1:3" ht="24">
      <c r="A221" s="874"/>
      <c r="B221" s="525" t="s">
        <v>719</v>
      </c>
      <c r="C221" s="525" t="s">
        <v>912</v>
      </c>
    </row>
    <row r="222" spans="1:3" ht="36">
      <c r="A222" s="874"/>
      <c r="B222" s="525" t="s">
        <v>718</v>
      </c>
      <c r="C222" s="524" t="s">
        <v>911</v>
      </c>
    </row>
    <row r="223" spans="1:3">
      <c r="A223" s="874"/>
      <c r="B223" s="525" t="s">
        <v>956</v>
      </c>
      <c r="C223" s="524" t="s">
        <v>910</v>
      </c>
    </row>
    <row r="224" spans="1:3" ht="24">
      <c r="A224" s="874"/>
      <c r="B224" s="525" t="s">
        <v>957</v>
      </c>
      <c r="C224" s="524" t="s">
        <v>909</v>
      </c>
    </row>
    <row r="225" spans="1:3" ht="12.6">
      <c r="A225" s="558"/>
      <c r="B225" s="559"/>
      <c r="C225" s="560"/>
    </row>
    <row r="226" spans="1:3" ht="12.6">
      <c r="A226" s="558"/>
      <c r="B226" s="560"/>
      <c r="C226" s="560"/>
    </row>
    <row r="227" spans="1:3" ht="12.6">
      <c r="A227" s="558"/>
      <c r="B227" s="560"/>
      <c r="C227" s="560"/>
    </row>
    <row r="228" spans="1:3" ht="12.6">
      <c r="A228" s="558"/>
      <c r="B228" s="561"/>
      <c r="C228" s="560"/>
    </row>
    <row r="229" spans="1:3">
      <c r="A229" s="870"/>
      <c r="B229" s="562"/>
      <c r="C229" s="560"/>
    </row>
    <row r="230" spans="1:3">
      <c r="A230" s="870"/>
      <c r="B230" s="562"/>
      <c r="C230" s="560"/>
    </row>
    <row r="231" spans="1:3">
      <c r="A231" s="870"/>
      <c r="B231" s="562"/>
      <c r="C231" s="560"/>
    </row>
    <row r="232" spans="1:3">
      <c r="A232" s="870"/>
      <c r="B232" s="562"/>
      <c r="C232" s="563"/>
    </row>
    <row r="233" spans="1:3" ht="40.5" customHeight="1">
      <c r="A233" s="870"/>
      <c r="B233" s="562"/>
      <c r="C233" s="560"/>
    </row>
    <row r="234" spans="1:3" ht="24" customHeight="1">
      <c r="A234" s="870"/>
      <c r="B234" s="562"/>
      <c r="C234" s="560"/>
    </row>
    <row r="235" spans="1:3">
      <c r="A235" s="870"/>
      <c r="B235" s="562"/>
      <c r="C235" s="560"/>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7" right="0.7" top="0.75" bottom="0.75" header="0.3" footer="0.3"/>
  <pageSetup paperSize="9"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5"/>
  <sheetViews>
    <sheetView zoomScale="70" zoomScaleNormal="70" workbookViewId="0">
      <selection activeCell="B8" sqref="B8"/>
    </sheetView>
  </sheetViews>
  <sheetFormatPr defaultRowHeight="14.4"/>
  <cols>
    <col min="2" max="2" width="66.6640625" customWidth="1"/>
    <col min="3" max="8" width="17.77734375" customWidth="1"/>
  </cols>
  <sheetData>
    <row r="1" spans="1:8">
      <c r="A1" s="13" t="s">
        <v>108</v>
      </c>
      <c r="B1" s="305" t="str">
        <f>Info!C2</f>
        <v>სს " პაშა ბანკი საქართველო"</v>
      </c>
      <c r="C1" s="12"/>
      <c r="D1" s="1"/>
      <c r="E1" s="1"/>
      <c r="F1" s="1"/>
      <c r="G1" s="1"/>
    </row>
    <row r="2" spans="1:8">
      <c r="A2" s="13" t="s">
        <v>109</v>
      </c>
      <c r="B2" s="342">
        <f>'1. key ratios'!B2</f>
        <v>45291</v>
      </c>
      <c r="C2" s="12"/>
      <c r="D2" s="1"/>
      <c r="E2" s="1"/>
      <c r="F2" s="1"/>
      <c r="G2" s="1"/>
    </row>
    <row r="3" spans="1:8">
      <c r="A3" s="13"/>
      <c r="B3" s="12"/>
      <c r="C3" s="12"/>
      <c r="D3" s="1"/>
      <c r="E3" s="1"/>
      <c r="F3" s="1"/>
      <c r="G3" s="1"/>
    </row>
    <row r="4" spans="1:8">
      <c r="A4" s="763" t="s">
        <v>25</v>
      </c>
      <c r="B4" s="761" t="s">
        <v>166</v>
      </c>
      <c r="C4" s="756" t="s">
        <v>114</v>
      </c>
      <c r="D4" s="756"/>
      <c r="E4" s="756"/>
      <c r="F4" s="756" t="s">
        <v>115</v>
      </c>
      <c r="G4" s="756"/>
      <c r="H4" s="757"/>
    </row>
    <row r="5" spans="1:8" ht="15.45" customHeight="1">
      <c r="A5" s="764"/>
      <c r="B5" s="762"/>
      <c r="C5" s="417" t="s">
        <v>26</v>
      </c>
      <c r="D5" s="417" t="s">
        <v>88</v>
      </c>
      <c r="E5" s="417" t="s">
        <v>66</v>
      </c>
      <c r="F5" s="417" t="s">
        <v>26</v>
      </c>
      <c r="G5" s="417" t="s">
        <v>88</v>
      </c>
      <c r="H5" s="417" t="s">
        <v>66</v>
      </c>
    </row>
    <row r="6" spans="1:8">
      <c r="A6" s="434">
        <v>1</v>
      </c>
      <c r="B6" s="619" t="s">
        <v>776</v>
      </c>
      <c r="C6" s="629">
        <f>SUM(C7:C12)</f>
        <v>34217603.539999999</v>
      </c>
      <c r="D6" s="629">
        <f>SUM(D7:D12)</f>
        <v>19080264.199999999</v>
      </c>
      <c r="E6" s="631">
        <f>C6+D6</f>
        <v>53297867.739999995</v>
      </c>
      <c r="F6" s="629">
        <f>SUM(F7:F12)</f>
        <v>25609320.66871208</v>
      </c>
      <c r="G6" s="629">
        <f>SUM(G7:G12)</f>
        <v>17763341.820563558</v>
      </c>
      <c r="H6" s="631">
        <f>F6+G6</f>
        <v>43372662.489275634</v>
      </c>
    </row>
    <row r="7" spans="1:8">
      <c r="A7" s="434">
        <v>1.1000000000000001</v>
      </c>
      <c r="B7" s="617" t="s">
        <v>730</v>
      </c>
      <c r="C7" s="629"/>
      <c r="D7" s="629"/>
      <c r="E7" s="631">
        <f t="shared" ref="E7:E45" si="0">C7+D7</f>
        <v>0</v>
      </c>
      <c r="F7" s="629"/>
      <c r="G7" s="629"/>
      <c r="H7" s="631">
        <f t="shared" ref="H7:H45" si="1">F7+G7</f>
        <v>0</v>
      </c>
    </row>
    <row r="8" spans="1:8" ht="20.399999999999999">
      <c r="A8" s="434">
        <v>1.2</v>
      </c>
      <c r="B8" s="617" t="s">
        <v>777</v>
      </c>
      <c r="C8" s="629"/>
      <c r="D8" s="629"/>
      <c r="E8" s="631">
        <f t="shared" si="0"/>
        <v>0</v>
      </c>
      <c r="F8" s="629"/>
      <c r="G8" s="629"/>
      <c r="H8" s="631">
        <f t="shared" si="1"/>
        <v>0</v>
      </c>
    </row>
    <row r="9" spans="1:8" ht="21.45" customHeight="1">
      <c r="A9" s="434">
        <v>1.3</v>
      </c>
      <c r="B9" s="617" t="s">
        <v>778</v>
      </c>
      <c r="C9" s="629"/>
      <c r="D9" s="629"/>
      <c r="E9" s="631">
        <f t="shared" si="0"/>
        <v>0</v>
      </c>
      <c r="F9" s="629"/>
      <c r="G9" s="629"/>
      <c r="H9" s="631">
        <f t="shared" si="1"/>
        <v>0</v>
      </c>
    </row>
    <row r="10" spans="1:8" ht="20.399999999999999">
      <c r="A10" s="434">
        <v>1.4</v>
      </c>
      <c r="B10" s="617" t="s">
        <v>734</v>
      </c>
      <c r="C10" s="629"/>
      <c r="D10" s="629"/>
      <c r="E10" s="631">
        <f t="shared" si="0"/>
        <v>0</v>
      </c>
      <c r="F10" s="629"/>
      <c r="G10" s="629"/>
      <c r="H10" s="631">
        <f t="shared" si="1"/>
        <v>0</v>
      </c>
    </row>
    <row r="11" spans="1:8">
      <c r="A11" s="434">
        <v>1.5</v>
      </c>
      <c r="B11" s="617" t="s">
        <v>737</v>
      </c>
      <c r="C11" s="629">
        <v>34217603.539999999</v>
      </c>
      <c r="D11" s="629">
        <v>19080264.199999999</v>
      </c>
      <c r="E11" s="631">
        <f t="shared" si="0"/>
        <v>53297867.739999995</v>
      </c>
      <c r="F11" s="629">
        <v>25609320.66871208</v>
      </c>
      <c r="G11" s="629">
        <v>17763341.820563558</v>
      </c>
      <c r="H11" s="631">
        <f t="shared" si="1"/>
        <v>43372662.489275634</v>
      </c>
    </row>
    <row r="12" spans="1:8">
      <c r="A12" s="434">
        <v>1.6</v>
      </c>
      <c r="B12" s="617" t="s">
        <v>99</v>
      </c>
      <c r="C12" s="629"/>
      <c r="D12" s="629"/>
      <c r="E12" s="631">
        <f t="shared" si="0"/>
        <v>0</v>
      </c>
      <c r="F12" s="629"/>
      <c r="G12" s="629"/>
      <c r="H12" s="631">
        <f t="shared" si="1"/>
        <v>0</v>
      </c>
    </row>
    <row r="13" spans="1:8">
      <c r="A13" s="434">
        <v>2</v>
      </c>
      <c r="B13" s="619" t="s">
        <v>779</v>
      </c>
      <c r="C13" s="629">
        <f>SUM(C14:C17)</f>
        <v>-10931609.960000001</v>
      </c>
      <c r="D13" s="629">
        <f>SUM(D14:D17)</f>
        <v>-8154529.3719000006</v>
      </c>
      <c r="E13" s="631">
        <f t="shared" si="0"/>
        <v>-19086139.331900001</v>
      </c>
      <c r="F13" s="629">
        <f>SUM(F14:F17)</f>
        <v>-8072404.4700000007</v>
      </c>
      <c r="G13" s="629">
        <f>SUM(G14:G17)</f>
        <v>-8875329.5999999996</v>
      </c>
      <c r="H13" s="631">
        <f t="shared" si="1"/>
        <v>-16947734.07</v>
      </c>
    </row>
    <row r="14" spans="1:8">
      <c r="A14" s="434">
        <v>2.1</v>
      </c>
      <c r="B14" s="617" t="s">
        <v>780</v>
      </c>
      <c r="C14" s="629"/>
      <c r="D14" s="629"/>
      <c r="E14" s="631">
        <f t="shared" si="0"/>
        <v>0</v>
      </c>
      <c r="F14" s="629"/>
      <c r="G14" s="629"/>
      <c r="H14" s="631">
        <f t="shared" si="1"/>
        <v>0</v>
      </c>
    </row>
    <row r="15" spans="1:8" ht="24.45" customHeight="1">
      <c r="A15" s="434">
        <v>2.2000000000000002</v>
      </c>
      <c r="B15" s="617" t="s">
        <v>781</v>
      </c>
      <c r="C15" s="629"/>
      <c r="D15" s="629"/>
      <c r="E15" s="631">
        <f t="shared" si="0"/>
        <v>0</v>
      </c>
      <c r="F15" s="629"/>
      <c r="G15" s="629"/>
      <c r="H15" s="631">
        <f t="shared" si="1"/>
        <v>0</v>
      </c>
    </row>
    <row r="16" spans="1:8" ht="20.55" customHeight="1">
      <c r="A16" s="434">
        <v>2.2999999999999998</v>
      </c>
      <c r="B16" s="617" t="s">
        <v>782</v>
      </c>
      <c r="C16" s="629">
        <v>-10931609.960000001</v>
      </c>
      <c r="D16" s="629">
        <v>-8154529.3719000006</v>
      </c>
      <c r="E16" s="631">
        <f t="shared" si="0"/>
        <v>-19086139.331900001</v>
      </c>
      <c r="F16" s="629">
        <v>-8072404.4700000007</v>
      </c>
      <c r="G16" s="629">
        <v>-8875329.5999999996</v>
      </c>
      <c r="H16" s="631">
        <f t="shared" si="1"/>
        <v>-16947734.07</v>
      </c>
    </row>
    <row r="17" spans="1:8">
      <c r="A17" s="434">
        <v>2.4</v>
      </c>
      <c r="B17" s="617" t="s">
        <v>783</v>
      </c>
      <c r="C17" s="629"/>
      <c r="D17" s="629"/>
      <c r="E17" s="631">
        <f t="shared" si="0"/>
        <v>0</v>
      </c>
      <c r="F17" s="629"/>
      <c r="G17" s="629"/>
      <c r="H17" s="631">
        <f t="shared" si="1"/>
        <v>0</v>
      </c>
    </row>
    <row r="18" spans="1:8">
      <c r="A18" s="434">
        <v>3</v>
      </c>
      <c r="B18" s="619" t="s">
        <v>784</v>
      </c>
      <c r="C18" s="629"/>
      <c r="D18" s="629"/>
      <c r="E18" s="631">
        <f t="shared" si="0"/>
        <v>0</v>
      </c>
      <c r="F18" s="629"/>
      <c r="G18" s="629"/>
      <c r="H18" s="631">
        <f t="shared" si="1"/>
        <v>0</v>
      </c>
    </row>
    <row r="19" spans="1:8">
      <c r="A19" s="434">
        <v>4</v>
      </c>
      <c r="B19" s="619" t="s">
        <v>785</v>
      </c>
      <c r="C19" s="629">
        <v>3183420.56</v>
      </c>
      <c r="D19" s="629">
        <v>1690358.2173000001</v>
      </c>
      <c r="E19" s="631">
        <f t="shared" si="0"/>
        <v>4873778.7773000002</v>
      </c>
      <c r="F19" s="629">
        <v>890922.32999999938</v>
      </c>
      <c r="G19" s="629">
        <v>1126652.7025479998</v>
      </c>
      <c r="H19" s="631">
        <f t="shared" si="1"/>
        <v>2017575.0325479992</v>
      </c>
    </row>
    <row r="20" spans="1:8">
      <c r="A20" s="434">
        <v>5</v>
      </c>
      <c r="B20" s="619" t="s">
        <v>786</v>
      </c>
      <c r="C20" s="629">
        <v>-946023.28999999992</v>
      </c>
      <c r="D20" s="629">
        <v>-1619805.5099999998</v>
      </c>
      <c r="E20" s="631">
        <f t="shared" si="0"/>
        <v>-2565828.7999999998</v>
      </c>
      <c r="F20" s="629">
        <v>-74993.38</v>
      </c>
      <c r="G20" s="629">
        <v>-1367509.1400000001</v>
      </c>
      <c r="H20" s="631">
        <f t="shared" si="1"/>
        <v>-1442502.52</v>
      </c>
    </row>
    <row r="21" spans="1:8" ht="38.549999999999997" customHeight="1">
      <c r="A21" s="434">
        <v>6</v>
      </c>
      <c r="B21" s="619" t="s">
        <v>787</v>
      </c>
      <c r="C21" s="629"/>
      <c r="D21" s="629"/>
      <c r="E21" s="631">
        <f t="shared" si="0"/>
        <v>0</v>
      </c>
      <c r="F21" s="629"/>
      <c r="G21" s="629"/>
      <c r="H21" s="631">
        <f t="shared" si="1"/>
        <v>0</v>
      </c>
    </row>
    <row r="22" spans="1:8" ht="27.45" customHeight="1">
      <c r="A22" s="434">
        <v>7</v>
      </c>
      <c r="B22" s="619" t="s">
        <v>788</v>
      </c>
      <c r="C22" s="629"/>
      <c r="D22" s="629"/>
      <c r="E22" s="631">
        <f t="shared" si="0"/>
        <v>0</v>
      </c>
      <c r="F22" s="629"/>
      <c r="G22" s="629"/>
      <c r="H22" s="631">
        <f t="shared" si="1"/>
        <v>0</v>
      </c>
    </row>
    <row r="23" spans="1:8" ht="37.049999999999997" customHeight="1">
      <c r="A23" s="434">
        <v>8</v>
      </c>
      <c r="B23" s="620" t="s">
        <v>789</v>
      </c>
      <c r="C23" s="629"/>
      <c r="D23" s="629"/>
      <c r="E23" s="631">
        <f t="shared" si="0"/>
        <v>0</v>
      </c>
      <c r="F23" s="629"/>
      <c r="G23" s="629"/>
      <c r="H23" s="631">
        <f t="shared" si="1"/>
        <v>0</v>
      </c>
    </row>
    <row r="24" spans="1:8" ht="34.5" customHeight="1">
      <c r="A24" s="434">
        <v>9</v>
      </c>
      <c r="B24" s="620" t="s">
        <v>790</v>
      </c>
      <c r="C24" s="629"/>
      <c r="D24" s="629"/>
      <c r="E24" s="631">
        <f t="shared" si="0"/>
        <v>0</v>
      </c>
      <c r="F24" s="629"/>
      <c r="G24" s="629"/>
      <c r="H24" s="631">
        <f t="shared" si="1"/>
        <v>0</v>
      </c>
    </row>
    <row r="25" spans="1:8">
      <c r="A25" s="434">
        <v>10</v>
      </c>
      <c r="B25" s="619" t="s">
        <v>791</v>
      </c>
      <c r="C25" s="629">
        <v>9443175.480000006</v>
      </c>
      <c r="D25" s="629">
        <v>0</v>
      </c>
      <c r="E25" s="631">
        <f t="shared" si="0"/>
        <v>9443175.480000006</v>
      </c>
      <c r="F25" s="629">
        <v>10517299.869999997</v>
      </c>
      <c r="G25" s="629">
        <v>-580694.32999999449</v>
      </c>
      <c r="H25" s="631">
        <f t="shared" si="1"/>
        <v>9936605.5400000028</v>
      </c>
    </row>
    <row r="26" spans="1:8" ht="27" customHeight="1">
      <c r="A26" s="434">
        <v>11</v>
      </c>
      <c r="B26" s="621" t="s">
        <v>792</v>
      </c>
      <c r="C26" s="629"/>
      <c r="D26" s="629"/>
      <c r="E26" s="631">
        <f t="shared" si="0"/>
        <v>0</v>
      </c>
      <c r="F26" s="629"/>
      <c r="G26" s="629"/>
      <c r="H26" s="631">
        <f t="shared" si="1"/>
        <v>0</v>
      </c>
    </row>
    <row r="27" spans="1:8">
      <c r="A27" s="434">
        <v>12</v>
      </c>
      <c r="B27" s="619" t="s">
        <v>793</v>
      </c>
      <c r="C27" s="629">
        <v>95844.89</v>
      </c>
      <c r="D27" s="629"/>
      <c r="E27" s="631">
        <f t="shared" si="0"/>
        <v>95844.89</v>
      </c>
      <c r="F27" s="629">
        <v>-58616.750000000007</v>
      </c>
      <c r="G27" s="629"/>
      <c r="H27" s="631">
        <f t="shared" si="1"/>
        <v>-58616.750000000007</v>
      </c>
    </row>
    <row r="28" spans="1:8">
      <c r="A28" s="434">
        <v>13</v>
      </c>
      <c r="B28" s="619" t="s">
        <v>794</v>
      </c>
      <c r="C28" s="629">
        <v>-6122952.9000000004</v>
      </c>
      <c r="D28" s="629">
        <v>53813.1</v>
      </c>
      <c r="E28" s="631">
        <f t="shared" si="0"/>
        <v>-6069139.8000000007</v>
      </c>
      <c r="F28" s="629">
        <v>-4642433.72</v>
      </c>
      <c r="G28" s="629">
        <v>-18632.859999999997</v>
      </c>
      <c r="H28" s="631">
        <f t="shared" si="1"/>
        <v>-4661066.58</v>
      </c>
    </row>
    <row r="29" spans="1:8">
      <c r="A29" s="434">
        <v>14</v>
      </c>
      <c r="B29" s="619" t="s">
        <v>795</v>
      </c>
      <c r="C29" s="629">
        <f>SUM(C30:C31)</f>
        <v>-27895166.300000001</v>
      </c>
      <c r="D29" s="629">
        <f>SUM(D30:D31)</f>
        <v>0</v>
      </c>
      <c r="E29" s="631">
        <f t="shared" si="0"/>
        <v>-27895166.300000001</v>
      </c>
      <c r="F29" s="629">
        <f>SUM(F30:F31)</f>
        <v>-23751705.300000004</v>
      </c>
      <c r="G29" s="629">
        <f>SUM(G30:G31)</f>
        <v>0</v>
      </c>
      <c r="H29" s="631">
        <f t="shared" si="1"/>
        <v>-23751705.300000004</v>
      </c>
    </row>
    <row r="30" spans="1:8">
      <c r="A30" s="434">
        <v>14.1</v>
      </c>
      <c r="B30" s="613" t="s">
        <v>796</v>
      </c>
      <c r="C30" s="629">
        <v>-23832768.289999999</v>
      </c>
      <c r="D30" s="629"/>
      <c r="E30" s="631">
        <f t="shared" si="0"/>
        <v>-23832768.289999999</v>
      </c>
      <c r="F30" s="629">
        <v>-18926877.020000003</v>
      </c>
      <c r="G30" s="629"/>
      <c r="H30" s="631">
        <f t="shared" si="1"/>
        <v>-18926877.020000003</v>
      </c>
    </row>
    <row r="31" spans="1:8">
      <c r="A31" s="434">
        <v>14.2</v>
      </c>
      <c r="B31" s="613" t="s">
        <v>797</v>
      </c>
      <c r="C31" s="629">
        <v>-4062398.0100000002</v>
      </c>
      <c r="D31" s="629"/>
      <c r="E31" s="631">
        <f t="shared" si="0"/>
        <v>-4062398.0100000002</v>
      </c>
      <c r="F31" s="629">
        <v>-4824828.28</v>
      </c>
      <c r="G31" s="629"/>
      <c r="H31" s="631">
        <f t="shared" si="1"/>
        <v>-4824828.28</v>
      </c>
    </row>
    <row r="32" spans="1:8">
      <c r="A32" s="434">
        <v>15</v>
      </c>
      <c r="B32" s="622" t="s">
        <v>798</v>
      </c>
      <c r="C32" s="629">
        <v>-4941240.2700000005</v>
      </c>
      <c r="D32" s="629"/>
      <c r="E32" s="631">
        <f t="shared" si="0"/>
        <v>-4941240.2700000005</v>
      </c>
      <c r="F32" s="629">
        <v>-5544417.7799999993</v>
      </c>
      <c r="G32" s="629"/>
      <c r="H32" s="631">
        <f t="shared" si="1"/>
        <v>-5544417.7799999993</v>
      </c>
    </row>
    <row r="33" spans="1:8" ht="22.5" customHeight="1">
      <c r="A33" s="434">
        <v>16</v>
      </c>
      <c r="B33" s="610" t="s">
        <v>799</v>
      </c>
      <c r="C33" s="629"/>
      <c r="D33" s="629"/>
      <c r="E33" s="631">
        <f t="shared" si="0"/>
        <v>0</v>
      </c>
      <c r="F33" s="629"/>
      <c r="G33" s="629"/>
      <c r="H33" s="631">
        <f t="shared" si="1"/>
        <v>0</v>
      </c>
    </row>
    <row r="34" spans="1:8">
      <c r="A34" s="434">
        <v>17</v>
      </c>
      <c r="B34" s="619" t="s">
        <v>800</v>
      </c>
      <c r="C34" s="629">
        <f>SUM(C35:C36)</f>
        <v>-5625030.3873703415</v>
      </c>
      <c r="D34" s="629">
        <f>SUM(D35:D36)</f>
        <v>170713.26747052791</v>
      </c>
      <c r="E34" s="631">
        <f t="shared" si="0"/>
        <v>-5454317.1198998131</v>
      </c>
      <c r="F34" s="629">
        <f>SUM(F35:F36)</f>
        <v>-7320649.970603223</v>
      </c>
      <c r="G34" s="629">
        <f>SUM(G35:G36)</f>
        <v>2306503.9201939432</v>
      </c>
      <c r="H34" s="631">
        <f t="shared" si="1"/>
        <v>-5014146.0504092798</v>
      </c>
    </row>
    <row r="35" spans="1:8">
      <c r="A35" s="434">
        <v>17.100000000000001</v>
      </c>
      <c r="B35" s="613" t="s">
        <v>801</v>
      </c>
      <c r="C35" s="629">
        <v>-360404.76688747195</v>
      </c>
      <c r="D35" s="629">
        <v>-279486.01413908001</v>
      </c>
      <c r="E35" s="631">
        <f t="shared" si="0"/>
        <v>-639890.78102655197</v>
      </c>
      <c r="F35" s="629">
        <v>-121275.08410000007</v>
      </c>
      <c r="G35" s="629">
        <v>179215.82295927999</v>
      </c>
      <c r="H35" s="631">
        <f t="shared" si="1"/>
        <v>57940.738859279925</v>
      </c>
    </row>
    <row r="36" spans="1:8">
      <c r="A36" s="434">
        <v>17.2</v>
      </c>
      <c r="B36" s="613" t="s">
        <v>802</v>
      </c>
      <c r="C36" s="629">
        <v>-5264625.6204828694</v>
      </c>
      <c r="D36" s="629">
        <v>450199.28160960792</v>
      </c>
      <c r="E36" s="631">
        <f t="shared" si="0"/>
        <v>-4814426.3388732616</v>
      </c>
      <c r="F36" s="629">
        <v>-7199374.8865032233</v>
      </c>
      <c r="G36" s="629">
        <v>2127288.0972346631</v>
      </c>
      <c r="H36" s="631">
        <f t="shared" si="1"/>
        <v>-5072086.7892685607</v>
      </c>
    </row>
    <row r="37" spans="1:8" ht="41.55" customHeight="1">
      <c r="A37" s="434">
        <v>18</v>
      </c>
      <c r="B37" s="623" t="s">
        <v>803</v>
      </c>
      <c r="C37" s="629">
        <f>SUM(C38:C39)</f>
        <v>0</v>
      </c>
      <c r="D37" s="629">
        <f>SUM(D38:D39)</f>
        <v>0</v>
      </c>
      <c r="E37" s="631">
        <f t="shared" si="0"/>
        <v>0</v>
      </c>
      <c r="F37" s="629">
        <f>SUM(F38:F39)</f>
        <v>0</v>
      </c>
      <c r="G37" s="629">
        <f>SUM(G38:G39)</f>
        <v>0</v>
      </c>
      <c r="H37" s="631">
        <f t="shared" si="1"/>
        <v>0</v>
      </c>
    </row>
    <row r="38" spans="1:8" ht="20.399999999999999">
      <c r="A38" s="434">
        <v>18.100000000000001</v>
      </c>
      <c r="B38" s="617" t="s">
        <v>804</v>
      </c>
      <c r="C38" s="629"/>
      <c r="D38" s="629"/>
      <c r="E38" s="631">
        <f t="shared" si="0"/>
        <v>0</v>
      </c>
      <c r="F38" s="629"/>
      <c r="G38" s="629"/>
      <c r="H38" s="631">
        <f t="shared" si="1"/>
        <v>0</v>
      </c>
    </row>
    <row r="39" spans="1:8">
      <c r="A39" s="434">
        <v>18.2</v>
      </c>
      <c r="B39" s="617" t="s">
        <v>805</v>
      </c>
      <c r="C39" s="629"/>
      <c r="D39" s="629"/>
      <c r="E39" s="631">
        <f t="shared" si="0"/>
        <v>0</v>
      </c>
      <c r="F39" s="629"/>
      <c r="G39" s="629"/>
      <c r="H39" s="631">
        <f t="shared" si="1"/>
        <v>0</v>
      </c>
    </row>
    <row r="40" spans="1:8" ht="24.45" customHeight="1">
      <c r="A40" s="434">
        <v>19</v>
      </c>
      <c r="B40" s="623" t="s">
        <v>806</v>
      </c>
      <c r="C40" s="629"/>
      <c r="D40" s="629"/>
      <c r="E40" s="631">
        <f t="shared" si="0"/>
        <v>0</v>
      </c>
      <c r="F40" s="629"/>
      <c r="G40" s="629"/>
      <c r="H40" s="631">
        <f t="shared" si="1"/>
        <v>0</v>
      </c>
    </row>
    <row r="41" spans="1:8" ht="25.05" customHeight="1">
      <c r="A41" s="434">
        <v>20</v>
      </c>
      <c r="B41" s="623" t="s">
        <v>807</v>
      </c>
      <c r="C41" s="629"/>
      <c r="D41" s="629"/>
      <c r="E41" s="631">
        <f t="shared" si="0"/>
        <v>0</v>
      </c>
      <c r="F41" s="629"/>
      <c r="G41" s="629"/>
      <c r="H41" s="631">
        <f t="shared" si="1"/>
        <v>0</v>
      </c>
    </row>
    <row r="42" spans="1:8" ht="33" customHeight="1">
      <c r="A42" s="434">
        <v>21</v>
      </c>
      <c r="B42" s="624" t="s">
        <v>808</v>
      </c>
      <c r="C42" s="629"/>
      <c r="D42" s="629"/>
      <c r="E42" s="631">
        <f t="shared" si="0"/>
        <v>0</v>
      </c>
      <c r="F42" s="629"/>
      <c r="G42" s="629"/>
      <c r="H42" s="631">
        <f t="shared" si="1"/>
        <v>0</v>
      </c>
    </row>
    <row r="43" spans="1:8">
      <c r="A43" s="434">
        <v>22</v>
      </c>
      <c r="B43" s="625" t="s">
        <v>809</v>
      </c>
      <c r="C43" s="629">
        <f>SUM(C6,C13,C18,C19,C20,C21,C22,C23,C24,C25,C26,C27,C28,C29,C32,C33,C34,C37,C40,C41,C42)</f>
        <v>-9521978.6373703349</v>
      </c>
      <c r="D43" s="629">
        <f>SUM(D6,D13,D18,D19,D20,D21,D22,D23,D24,D25,D26,D27,D28,D29,D32,D33,D34,D37,D40,D41,D42)</f>
        <v>11220813.902870527</v>
      </c>
      <c r="E43" s="631">
        <f t="shared" si="0"/>
        <v>1698835.2655001916</v>
      </c>
      <c r="F43" s="629">
        <f>SUM(F6,F13,F18,F19,F20,F21,F22,F23,F24,F25,F26,F27,F28,F29,F32,F33,F34,F37,F40,F41,F42)</f>
        <v>-12447678.501891147</v>
      </c>
      <c r="G43" s="629">
        <f>SUM(G6,G13,G18,G19,G20,G21,G22,G23,G24,G25,G26,G27,G28,G29,G32,G33,G34,G37,G40,G41,G42)</f>
        <v>10354332.513305506</v>
      </c>
      <c r="H43" s="631">
        <f t="shared" si="1"/>
        <v>-2093345.9885856416</v>
      </c>
    </row>
    <row r="44" spans="1:8">
      <c r="A44" s="434">
        <v>23</v>
      </c>
      <c r="B44" s="625" t="s">
        <v>810</v>
      </c>
      <c r="C44" s="629"/>
      <c r="D44" s="629"/>
      <c r="E44" s="631">
        <f t="shared" si="0"/>
        <v>0</v>
      </c>
      <c r="F44" s="629"/>
      <c r="G44" s="629"/>
      <c r="H44" s="631">
        <f t="shared" si="1"/>
        <v>0</v>
      </c>
    </row>
    <row r="45" spans="1:8">
      <c r="A45" s="434">
        <v>24</v>
      </c>
      <c r="B45" s="625" t="s">
        <v>811</v>
      </c>
      <c r="C45" s="629">
        <f>C43-C44</f>
        <v>-9521978.6373703349</v>
      </c>
      <c r="D45" s="629">
        <f>D43-D44</f>
        <v>11220813.902870527</v>
      </c>
      <c r="E45" s="631">
        <f t="shared" si="0"/>
        <v>1698835.2655001916</v>
      </c>
      <c r="F45" s="629">
        <f>F43-F44</f>
        <v>-12447678.501891147</v>
      </c>
      <c r="G45" s="629">
        <f>G43-G44</f>
        <v>10354332.513305506</v>
      </c>
      <c r="H45" s="631">
        <f t="shared" si="1"/>
        <v>-2093345.9885856416</v>
      </c>
    </row>
  </sheetData>
  <mergeCells count="4">
    <mergeCell ref="B4:B5"/>
    <mergeCell ref="C4:E4"/>
    <mergeCell ref="F4:H4"/>
    <mergeCell ref="A4:A5"/>
  </mergeCells>
  <pageMargins left="0.7" right="0.7" top="0.75" bottom="0.75" header="0.3" footer="0.3"/>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47"/>
  <sheetViews>
    <sheetView zoomScale="70" zoomScaleNormal="70" workbookViewId="0">
      <selection activeCell="B8" sqref="B8"/>
    </sheetView>
  </sheetViews>
  <sheetFormatPr defaultRowHeight="14.4"/>
  <cols>
    <col min="1" max="1" width="8.77734375" style="431"/>
    <col min="2" max="2" width="87.6640625" bestFit="1" customWidth="1"/>
    <col min="3" max="8" width="12.77734375" customWidth="1"/>
  </cols>
  <sheetData>
    <row r="1" spans="1:8">
      <c r="A1" s="13" t="s">
        <v>108</v>
      </c>
      <c r="B1" s="305" t="str">
        <f>Info!C2</f>
        <v>სს " პაშა ბანკი საქართველო"</v>
      </c>
      <c r="C1" s="12"/>
      <c r="D1" s="1"/>
      <c r="E1" s="1"/>
      <c r="F1" s="1"/>
      <c r="G1" s="1"/>
    </row>
    <row r="2" spans="1:8">
      <c r="A2" s="13" t="s">
        <v>109</v>
      </c>
      <c r="B2" s="342">
        <f>'1. key ratios'!B2</f>
        <v>45291</v>
      </c>
      <c r="C2" s="12"/>
      <c r="D2" s="1"/>
      <c r="E2" s="1"/>
      <c r="F2" s="1"/>
      <c r="G2" s="1"/>
    </row>
    <row r="3" spans="1:8">
      <c r="A3" s="13"/>
      <c r="B3" s="12"/>
      <c r="C3" s="12"/>
      <c r="D3" s="1"/>
      <c r="E3" s="1"/>
      <c r="F3" s="1"/>
      <c r="G3" s="1"/>
    </row>
    <row r="4" spans="1:8">
      <c r="A4" s="753" t="s">
        <v>25</v>
      </c>
      <c r="B4" s="765" t="s">
        <v>151</v>
      </c>
      <c r="C4" s="766" t="s">
        <v>114</v>
      </c>
      <c r="D4" s="766"/>
      <c r="E4" s="766"/>
      <c r="F4" s="766" t="s">
        <v>115</v>
      </c>
      <c r="G4" s="766"/>
      <c r="H4" s="767"/>
    </row>
    <row r="5" spans="1:8">
      <c r="A5" s="753"/>
      <c r="B5" s="765"/>
      <c r="C5" s="417" t="s">
        <v>26</v>
      </c>
      <c r="D5" s="417" t="s">
        <v>88</v>
      </c>
      <c r="E5" s="417" t="s">
        <v>66</v>
      </c>
      <c r="F5" s="417" t="s">
        <v>26</v>
      </c>
      <c r="G5" s="417" t="s">
        <v>88</v>
      </c>
      <c r="H5" s="418" t="s">
        <v>66</v>
      </c>
    </row>
    <row r="6" spans="1:8">
      <c r="A6" s="419">
        <v>1</v>
      </c>
      <c r="B6" s="420" t="s">
        <v>812</v>
      </c>
      <c r="C6" s="421"/>
      <c r="D6" s="421"/>
      <c r="E6" s="422">
        <f t="shared" ref="E6:E43" si="0">C6+D6</f>
        <v>0</v>
      </c>
      <c r="F6" s="421"/>
      <c r="G6" s="421"/>
      <c r="H6" s="423">
        <f t="shared" ref="H6:H43" si="1">F6+G6</f>
        <v>0</v>
      </c>
    </row>
    <row r="7" spans="1:8">
      <c r="A7" s="419">
        <v>2</v>
      </c>
      <c r="B7" s="424" t="s">
        <v>177</v>
      </c>
      <c r="C7" s="421"/>
      <c r="D7" s="421"/>
      <c r="E7" s="422">
        <f t="shared" si="0"/>
        <v>0</v>
      </c>
      <c r="F7" s="421"/>
      <c r="G7" s="421"/>
      <c r="H7" s="423">
        <f t="shared" si="1"/>
        <v>0</v>
      </c>
    </row>
    <row r="8" spans="1:8">
      <c r="A8" s="419">
        <v>3</v>
      </c>
      <c r="B8" s="424" t="s">
        <v>179</v>
      </c>
      <c r="C8" s="421">
        <f>C9+C10</f>
        <v>305777710.62310004</v>
      </c>
      <c r="D8" s="421">
        <f>D9+D10</f>
        <v>382753071.72100002</v>
      </c>
      <c r="E8" s="422">
        <f t="shared" si="0"/>
        <v>688530782.3441</v>
      </c>
      <c r="F8" s="421">
        <f>F9+F10</f>
        <v>17045052</v>
      </c>
      <c r="G8" s="421">
        <f>G9+G10</f>
        <v>329595086</v>
      </c>
      <c r="H8" s="423">
        <f t="shared" si="1"/>
        <v>346640138</v>
      </c>
    </row>
    <row r="9" spans="1:8">
      <c r="A9" s="419">
        <v>3.1</v>
      </c>
      <c r="B9" s="425" t="s">
        <v>813</v>
      </c>
      <c r="C9" s="421">
        <v>283988714.21310002</v>
      </c>
      <c r="D9" s="421">
        <v>355816501.8301</v>
      </c>
      <c r="E9" s="422">
        <f t="shared" si="0"/>
        <v>639805216.04320002</v>
      </c>
      <c r="F9" s="421">
        <v>30100</v>
      </c>
      <c r="G9" s="421">
        <v>317843856</v>
      </c>
      <c r="H9" s="423">
        <f t="shared" si="1"/>
        <v>317873956</v>
      </c>
    </row>
    <row r="10" spans="1:8">
      <c r="A10" s="419">
        <v>3.2</v>
      </c>
      <c r="B10" s="425" t="s">
        <v>814</v>
      </c>
      <c r="C10" s="421">
        <v>21788996.41</v>
      </c>
      <c r="D10" s="421">
        <v>26936569.890900001</v>
      </c>
      <c r="E10" s="422">
        <f t="shared" si="0"/>
        <v>48725566.300899997</v>
      </c>
      <c r="F10" s="421">
        <v>17014952</v>
      </c>
      <c r="G10" s="421">
        <v>11751230</v>
      </c>
      <c r="H10" s="423">
        <f t="shared" si="1"/>
        <v>28766182</v>
      </c>
    </row>
    <row r="11" spans="1:8">
      <c r="A11" s="419">
        <v>4</v>
      </c>
      <c r="B11" s="424" t="s">
        <v>178</v>
      </c>
      <c r="C11" s="421">
        <f>C12+C13</f>
        <v>0</v>
      </c>
      <c r="D11" s="421">
        <f>D12+D13</f>
        <v>0</v>
      </c>
      <c r="E11" s="422">
        <f t="shared" si="0"/>
        <v>0</v>
      </c>
      <c r="F11" s="421">
        <f>F12+F13</f>
        <v>0</v>
      </c>
      <c r="G11" s="421">
        <f>G12+G13</f>
        <v>0</v>
      </c>
      <c r="H11" s="423">
        <f t="shared" si="1"/>
        <v>0</v>
      </c>
    </row>
    <row r="12" spans="1:8">
      <c r="A12" s="419">
        <v>4.0999999999999996</v>
      </c>
      <c r="B12" s="425" t="s">
        <v>815</v>
      </c>
      <c r="C12" s="421"/>
      <c r="D12" s="421"/>
      <c r="E12" s="422">
        <f t="shared" si="0"/>
        <v>0</v>
      </c>
      <c r="F12" s="421"/>
      <c r="G12" s="421"/>
      <c r="H12" s="423">
        <f t="shared" si="1"/>
        <v>0</v>
      </c>
    </row>
    <row r="13" spans="1:8">
      <c r="A13" s="419">
        <v>4.2</v>
      </c>
      <c r="B13" s="425" t="s">
        <v>816</v>
      </c>
      <c r="C13" s="421"/>
      <c r="D13" s="421"/>
      <c r="E13" s="422">
        <f t="shared" si="0"/>
        <v>0</v>
      </c>
      <c r="F13" s="421"/>
      <c r="G13" s="421"/>
      <c r="H13" s="423">
        <f t="shared" si="1"/>
        <v>0</v>
      </c>
    </row>
    <row r="14" spans="1:8">
      <c r="A14" s="419">
        <v>5</v>
      </c>
      <c r="B14" s="426" t="s">
        <v>817</v>
      </c>
      <c r="C14" s="421">
        <f>C15+C16+C17+C23+C24+C25+C26</f>
        <v>104057007.47999999</v>
      </c>
      <c r="D14" s="421">
        <f>D15+D16+D17+D23+D24+D25+D26</f>
        <v>376374630.80479997</v>
      </c>
      <c r="E14" s="422">
        <f t="shared" si="0"/>
        <v>480431638.28479993</v>
      </c>
      <c r="F14" s="421">
        <f>F15+F16+F17+F23+F24+F25+F26</f>
        <v>90573419</v>
      </c>
      <c r="G14" s="421">
        <f>G15+G16+G17+G23+G24+G25+G26</f>
        <v>369593283</v>
      </c>
      <c r="H14" s="423">
        <f t="shared" si="1"/>
        <v>460166702</v>
      </c>
    </row>
    <row r="15" spans="1:8">
      <c r="A15" s="419">
        <v>5.0999999999999996</v>
      </c>
      <c r="B15" s="427" t="s">
        <v>818</v>
      </c>
      <c r="C15" s="421">
        <v>2310984.67</v>
      </c>
      <c r="D15" s="421">
        <v>4139115.1264</v>
      </c>
      <c r="E15" s="422">
        <f t="shared" si="0"/>
        <v>6450099.7963999994</v>
      </c>
      <c r="F15" s="421">
        <v>2039896</v>
      </c>
      <c r="G15" s="421">
        <v>3999693</v>
      </c>
      <c r="H15" s="423">
        <f t="shared" si="1"/>
        <v>6039589</v>
      </c>
    </row>
    <row r="16" spans="1:8">
      <c r="A16" s="419">
        <v>5.2</v>
      </c>
      <c r="B16" s="427" t="s">
        <v>819</v>
      </c>
      <c r="C16" s="421"/>
      <c r="D16" s="421"/>
      <c r="E16" s="422">
        <f t="shared" si="0"/>
        <v>0</v>
      </c>
      <c r="F16" s="421"/>
      <c r="G16" s="421"/>
      <c r="H16" s="423">
        <f t="shared" si="1"/>
        <v>0</v>
      </c>
    </row>
    <row r="17" spans="1:8">
      <c r="A17" s="419">
        <v>5.3</v>
      </c>
      <c r="B17" s="427" t="s">
        <v>820</v>
      </c>
      <c r="C17" s="421">
        <f>C18+C19+C20+C21+C22</f>
        <v>33800000</v>
      </c>
      <c r="D17" s="421">
        <f>D18+D19+D20+D21+D22</f>
        <v>286046819.86290002</v>
      </c>
      <c r="E17" s="422">
        <f t="shared" si="0"/>
        <v>319846819.86290002</v>
      </c>
      <c r="F17" s="421">
        <f>F18+F19+F20+F21+F22</f>
        <v>33800000</v>
      </c>
      <c r="G17" s="421">
        <f>G18+G19+G20+G21+G22</f>
        <v>287998210</v>
      </c>
      <c r="H17" s="423">
        <f t="shared" si="1"/>
        <v>321798210</v>
      </c>
    </row>
    <row r="18" spans="1:8">
      <c r="A18" s="419" t="s">
        <v>180</v>
      </c>
      <c r="B18" s="428" t="s">
        <v>821</v>
      </c>
      <c r="C18" s="421">
        <v>1</v>
      </c>
      <c r="D18" s="421">
        <v>31588580.467300002</v>
      </c>
      <c r="E18" s="422">
        <f t="shared" si="0"/>
        <v>31588581.467300002</v>
      </c>
      <c r="F18" s="421">
        <v>1</v>
      </c>
      <c r="G18" s="421">
        <v>35309406</v>
      </c>
      <c r="H18" s="423">
        <f t="shared" si="1"/>
        <v>35309407</v>
      </c>
    </row>
    <row r="19" spans="1:8">
      <c r="A19" s="419" t="s">
        <v>181</v>
      </c>
      <c r="B19" s="429" t="s">
        <v>822</v>
      </c>
      <c r="C19" s="421">
        <v>0</v>
      </c>
      <c r="D19" s="421">
        <v>187491320.93560001</v>
      </c>
      <c r="E19" s="422">
        <f t="shared" si="0"/>
        <v>187491320.93560001</v>
      </c>
      <c r="F19" s="421">
        <v>0</v>
      </c>
      <c r="G19" s="421">
        <v>189742121</v>
      </c>
      <c r="H19" s="423">
        <f t="shared" si="1"/>
        <v>189742121</v>
      </c>
    </row>
    <row r="20" spans="1:8">
      <c r="A20" s="419" t="s">
        <v>182</v>
      </c>
      <c r="B20" s="429" t="s">
        <v>823</v>
      </c>
      <c r="C20" s="421">
        <v>0</v>
      </c>
      <c r="D20" s="421">
        <v>0</v>
      </c>
      <c r="E20" s="422">
        <f t="shared" si="0"/>
        <v>0</v>
      </c>
      <c r="F20" s="421"/>
      <c r="G20" s="421"/>
      <c r="H20" s="423">
        <f t="shared" si="1"/>
        <v>0</v>
      </c>
    </row>
    <row r="21" spans="1:8">
      <c r="A21" s="419" t="s">
        <v>183</v>
      </c>
      <c r="B21" s="429" t="s">
        <v>824</v>
      </c>
      <c r="C21" s="421">
        <v>0</v>
      </c>
      <c r="D21" s="421">
        <v>48825916.777599998</v>
      </c>
      <c r="E21" s="422">
        <f t="shared" si="0"/>
        <v>48825916.777599998</v>
      </c>
      <c r="F21" s="421">
        <v>0</v>
      </c>
      <c r="G21" s="421">
        <v>47306356</v>
      </c>
      <c r="H21" s="423">
        <f t="shared" si="1"/>
        <v>47306356</v>
      </c>
    </row>
    <row r="22" spans="1:8">
      <c r="A22" s="419" t="s">
        <v>184</v>
      </c>
      <c r="B22" s="429" t="s">
        <v>541</v>
      </c>
      <c r="C22" s="421">
        <v>33799999</v>
      </c>
      <c r="D22" s="421">
        <v>18141001.682399999</v>
      </c>
      <c r="E22" s="422">
        <f t="shared" si="0"/>
        <v>51941000.682400003</v>
      </c>
      <c r="F22" s="421">
        <v>33799999</v>
      </c>
      <c r="G22" s="421">
        <v>15640327</v>
      </c>
      <c r="H22" s="423">
        <f t="shared" si="1"/>
        <v>49440326</v>
      </c>
    </row>
    <row r="23" spans="1:8">
      <c r="A23" s="419">
        <v>5.4</v>
      </c>
      <c r="B23" s="427" t="s">
        <v>825</v>
      </c>
      <c r="C23" s="421">
        <v>6000001</v>
      </c>
      <c r="D23" s="421">
        <v>38216427.411499999</v>
      </c>
      <c r="E23" s="422">
        <f t="shared" si="0"/>
        <v>44216428.411499999</v>
      </c>
      <c r="F23" s="421">
        <v>0</v>
      </c>
      <c r="G23" s="421">
        <v>43391010</v>
      </c>
      <c r="H23" s="423">
        <f t="shared" si="1"/>
        <v>43391010</v>
      </c>
    </row>
    <row r="24" spans="1:8">
      <c r="A24" s="419">
        <v>5.5</v>
      </c>
      <c r="B24" s="427" t="s">
        <v>826</v>
      </c>
      <c r="C24" s="421">
        <v>0.01</v>
      </c>
      <c r="D24" s="421">
        <v>69.924400000000006</v>
      </c>
      <c r="E24" s="422">
        <f t="shared" si="0"/>
        <v>69.934400000000011</v>
      </c>
      <c r="F24" s="421">
        <v>0</v>
      </c>
      <c r="G24" s="421">
        <v>95</v>
      </c>
      <c r="H24" s="423">
        <f t="shared" si="1"/>
        <v>95</v>
      </c>
    </row>
    <row r="25" spans="1:8">
      <c r="A25" s="419">
        <v>5.6</v>
      </c>
      <c r="B25" s="427" t="s">
        <v>827</v>
      </c>
      <c r="C25" s="421">
        <v>0</v>
      </c>
      <c r="D25" s="421">
        <v>0</v>
      </c>
      <c r="E25" s="422">
        <f t="shared" si="0"/>
        <v>0</v>
      </c>
      <c r="F25" s="421">
        <v>0</v>
      </c>
      <c r="G25" s="421">
        <v>14</v>
      </c>
      <c r="H25" s="423">
        <f t="shared" si="1"/>
        <v>14</v>
      </c>
    </row>
    <row r="26" spans="1:8">
      <c r="A26" s="419">
        <v>5.7</v>
      </c>
      <c r="B26" s="427" t="s">
        <v>541</v>
      </c>
      <c r="C26" s="421">
        <v>61946021.799999997</v>
      </c>
      <c r="D26" s="421">
        <v>47972198.479599997</v>
      </c>
      <c r="E26" s="422">
        <f t="shared" si="0"/>
        <v>109918220.27959999</v>
      </c>
      <c r="F26" s="421">
        <v>54733523</v>
      </c>
      <c r="G26" s="421">
        <v>34204261</v>
      </c>
      <c r="H26" s="423">
        <f t="shared" si="1"/>
        <v>88937784</v>
      </c>
    </row>
    <row r="27" spans="1:8">
      <c r="A27" s="419">
        <v>6</v>
      </c>
      <c r="B27" s="426" t="s">
        <v>828</v>
      </c>
      <c r="C27" s="421">
        <v>79963731.049999997</v>
      </c>
      <c r="D27" s="421">
        <v>17580907.272500001</v>
      </c>
      <c r="E27" s="422">
        <f t="shared" si="0"/>
        <v>97544638.32249999</v>
      </c>
      <c r="F27" s="421">
        <v>52036746</v>
      </c>
      <c r="G27" s="421">
        <v>10116758</v>
      </c>
      <c r="H27" s="423">
        <f t="shared" si="1"/>
        <v>62153504</v>
      </c>
    </row>
    <row r="28" spans="1:8">
      <c r="A28" s="419">
        <v>7</v>
      </c>
      <c r="B28" s="426" t="s">
        <v>829</v>
      </c>
      <c r="C28" s="421">
        <v>45337342.68</v>
      </c>
      <c r="D28" s="421">
        <v>41584148.953299999</v>
      </c>
      <c r="E28" s="422">
        <f t="shared" si="0"/>
        <v>86921491.633300006</v>
      </c>
      <c r="F28" s="421">
        <v>43077385</v>
      </c>
      <c r="G28" s="421">
        <v>18041906</v>
      </c>
      <c r="H28" s="423">
        <f t="shared" si="1"/>
        <v>61119291</v>
      </c>
    </row>
    <row r="29" spans="1:8">
      <c r="A29" s="419">
        <v>8</v>
      </c>
      <c r="B29" s="426" t="s">
        <v>830</v>
      </c>
      <c r="C29" s="421"/>
      <c r="D29" s="421"/>
      <c r="E29" s="422">
        <f t="shared" si="0"/>
        <v>0</v>
      </c>
      <c r="F29" s="421"/>
      <c r="G29" s="421">
        <v>260981</v>
      </c>
      <c r="H29" s="423">
        <f t="shared" si="1"/>
        <v>260981</v>
      </c>
    </row>
    <row r="30" spans="1:8">
      <c r="A30" s="419">
        <v>9</v>
      </c>
      <c r="B30" s="424" t="s">
        <v>185</v>
      </c>
      <c r="C30" s="421">
        <f>C31+C32+C33+C34+C35+C36+C37</f>
        <v>86310745.400000006</v>
      </c>
      <c r="D30" s="421">
        <f>D31+D32+D33+D34+D35+D36+D37</f>
        <v>222859407.4639</v>
      </c>
      <c r="E30" s="422">
        <f t="shared" si="0"/>
        <v>309170152.86390001</v>
      </c>
      <c r="F30" s="421">
        <f>F31+F32+F33+F34+F35+F36+F37</f>
        <v>54692130</v>
      </c>
      <c r="G30" s="421">
        <f>G31+G32+G33+G34+G35+G36+G37</f>
        <v>272650604</v>
      </c>
      <c r="H30" s="423">
        <f t="shared" si="1"/>
        <v>327342734</v>
      </c>
    </row>
    <row r="31" spans="1:8" ht="27.6">
      <c r="A31" s="419">
        <v>9.1</v>
      </c>
      <c r="B31" s="425" t="s">
        <v>831</v>
      </c>
      <c r="C31" s="421">
        <v>46604146.600000001</v>
      </c>
      <c r="D31" s="421">
        <v>107913487.4639</v>
      </c>
      <c r="E31" s="422">
        <f t="shared" si="0"/>
        <v>154517634.06389999</v>
      </c>
      <c r="F31" s="421">
        <v>28447098</v>
      </c>
      <c r="G31" s="421">
        <v>134952234</v>
      </c>
      <c r="H31" s="423">
        <f t="shared" si="1"/>
        <v>163399332</v>
      </c>
    </row>
    <row r="32" spans="1:8" ht="27.6">
      <c r="A32" s="419">
        <v>9.1999999999999993</v>
      </c>
      <c r="B32" s="425" t="s">
        <v>832</v>
      </c>
      <c r="C32" s="421">
        <v>39706598.799999997</v>
      </c>
      <c r="D32" s="421">
        <v>114945920</v>
      </c>
      <c r="E32" s="422">
        <f t="shared" si="0"/>
        <v>154652518.80000001</v>
      </c>
      <c r="F32" s="421">
        <v>26245032</v>
      </c>
      <c r="G32" s="421">
        <v>137698370</v>
      </c>
      <c r="H32" s="423">
        <f t="shared" si="1"/>
        <v>163943402</v>
      </c>
    </row>
    <row r="33" spans="1:8" ht="27.6">
      <c r="A33" s="419">
        <v>9.3000000000000007</v>
      </c>
      <c r="B33" s="425" t="s">
        <v>833</v>
      </c>
      <c r="C33" s="421"/>
      <c r="D33" s="421"/>
      <c r="E33" s="422">
        <f t="shared" si="0"/>
        <v>0</v>
      </c>
      <c r="F33" s="421"/>
      <c r="G33" s="421"/>
      <c r="H33" s="423">
        <f t="shared" si="1"/>
        <v>0</v>
      </c>
    </row>
    <row r="34" spans="1:8">
      <c r="A34" s="419">
        <v>9.4</v>
      </c>
      <c r="B34" s="425" t="s">
        <v>834</v>
      </c>
      <c r="C34" s="421"/>
      <c r="D34" s="421"/>
      <c r="E34" s="422">
        <f t="shared" si="0"/>
        <v>0</v>
      </c>
      <c r="F34" s="421"/>
      <c r="G34" s="421"/>
      <c r="H34" s="423">
        <f t="shared" si="1"/>
        <v>0</v>
      </c>
    </row>
    <row r="35" spans="1:8">
      <c r="A35" s="419">
        <v>9.5</v>
      </c>
      <c r="B35" s="425" t="s">
        <v>835</v>
      </c>
      <c r="C35" s="421"/>
      <c r="D35" s="421"/>
      <c r="E35" s="422">
        <f t="shared" si="0"/>
        <v>0</v>
      </c>
      <c r="F35" s="421"/>
      <c r="G35" s="421"/>
      <c r="H35" s="423">
        <f t="shared" si="1"/>
        <v>0</v>
      </c>
    </row>
    <row r="36" spans="1:8" ht="27.6">
      <c r="A36" s="419">
        <v>9.6</v>
      </c>
      <c r="B36" s="425" t="s">
        <v>836</v>
      </c>
      <c r="C36" s="421"/>
      <c r="D36" s="421"/>
      <c r="E36" s="422">
        <f t="shared" si="0"/>
        <v>0</v>
      </c>
      <c r="F36" s="421"/>
      <c r="G36" s="421"/>
      <c r="H36" s="423">
        <f t="shared" si="1"/>
        <v>0</v>
      </c>
    </row>
    <row r="37" spans="1:8" ht="27.6">
      <c r="A37" s="419">
        <v>9.6999999999999993</v>
      </c>
      <c r="B37" s="425" t="s">
        <v>837</v>
      </c>
      <c r="C37" s="421"/>
      <c r="D37" s="421"/>
      <c r="E37" s="422">
        <f t="shared" si="0"/>
        <v>0</v>
      </c>
      <c r="F37" s="421"/>
      <c r="G37" s="421"/>
      <c r="H37" s="423">
        <f t="shared" si="1"/>
        <v>0</v>
      </c>
    </row>
    <row r="38" spans="1:8">
      <c r="A38" s="419">
        <v>10</v>
      </c>
      <c r="B38" s="426" t="s">
        <v>838</v>
      </c>
      <c r="C38" s="421">
        <f>C39+C40+C41+C42</f>
        <v>22209056.279999997</v>
      </c>
      <c r="D38" s="421">
        <f>D39+D40+D41+D42</f>
        <v>22418474.516199999</v>
      </c>
      <c r="E38" s="422">
        <f t="shared" si="0"/>
        <v>44627530.796199992</v>
      </c>
      <c r="F38" s="421">
        <f>F39+F40+F41+F42</f>
        <v>7978560</v>
      </c>
      <c r="G38" s="421">
        <f>G39+G40+G41+G42</f>
        <v>9189808</v>
      </c>
      <c r="H38" s="423">
        <f t="shared" si="1"/>
        <v>17168368</v>
      </c>
    </row>
    <row r="39" spans="1:8">
      <c r="A39" s="419">
        <v>10.1</v>
      </c>
      <c r="B39" s="425" t="s">
        <v>839</v>
      </c>
      <c r="C39" s="421">
        <v>1735676.21</v>
      </c>
      <c r="D39" s="421">
        <v>0</v>
      </c>
      <c r="E39" s="422">
        <f t="shared" si="0"/>
        <v>1735676.21</v>
      </c>
      <c r="F39" s="421">
        <v>564744</v>
      </c>
      <c r="G39" s="421">
        <v>0</v>
      </c>
      <c r="H39" s="423">
        <f t="shared" si="1"/>
        <v>564744</v>
      </c>
    </row>
    <row r="40" spans="1:8" ht="27.6">
      <c r="A40" s="419">
        <v>10.199999999999999</v>
      </c>
      <c r="B40" s="425" t="s">
        <v>840</v>
      </c>
      <c r="C40" s="421">
        <v>1813403.93</v>
      </c>
      <c r="D40" s="421">
        <v>2146131.6269</v>
      </c>
      <c r="E40" s="422">
        <f t="shared" si="0"/>
        <v>3959535.5569000002</v>
      </c>
      <c r="F40" s="421">
        <v>615151</v>
      </c>
      <c r="G40" s="421">
        <v>1940956</v>
      </c>
      <c r="H40" s="423">
        <f t="shared" si="1"/>
        <v>2556107</v>
      </c>
    </row>
    <row r="41" spans="1:8" ht="27.6">
      <c r="A41" s="419">
        <v>10.3</v>
      </c>
      <c r="B41" s="425" t="s">
        <v>841</v>
      </c>
      <c r="C41" s="421">
        <v>6434141.8499999996</v>
      </c>
      <c r="D41" s="421">
        <v>0</v>
      </c>
      <c r="E41" s="422">
        <f t="shared" si="0"/>
        <v>6434141.8499999996</v>
      </c>
      <c r="F41" s="421">
        <v>3024722</v>
      </c>
      <c r="G41" s="421">
        <v>0</v>
      </c>
      <c r="H41" s="423">
        <f t="shared" si="1"/>
        <v>3024722</v>
      </c>
    </row>
    <row r="42" spans="1:8" ht="27.6">
      <c r="A42" s="419">
        <v>10.4</v>
      </c>
      <c r="B42" s="425" t="s">
        <v>842</v>
      </c>
      <c r="C42" s="421">
        <v>12225834.289999999</v>
      </c>
      <c r="D42" s="421">
        <v>20272342.8893</v>
      </c>
      <c r="E42" s="422">
        <f t="shared" si="0"/>
        <v>32498177.179299999</v>
      </c>
      <c r="F42" s="421">
        <v>3773943</v>
      </c>
      <c r="G42" s="421">
        <v>7248852</v>
      </c>
      <c r="H42" s="423">
        <f t="shared" si="1"/>
        <v>11022795</v>
      </c>
    </row>
    <row r="43" spans="1:8">
      <c r="A43" s="419">
        <v>11</v>
      </c>
      <c r="B43" s="430" t="s">
        <v>186</v>
      </c>
      <c r="C43" s="421"/>
      <c r="D43" s="421"/>
      <c r="E43" s="422">
        <f t="shared" si="0"/>
        <v>0</v>
      </c>
      <c r="F43" s="421"/>
      <c r="G43" s="421"/>
      <c r="H43" s="423">
        <f t="shared" si="1"/>
        <v>0</v>
      </c>
    </row>
    <row r="44" spans="1:8">
      <c r="C44" s="432"/>
      <c r="D44" s="432"/>
      <c r="E44" s="432"/>
      <c r="F44" s="432"/>
      <c r="G44" s="432"/>
      <c r="H44" s="432"/>
    </row>
    <row r="45" spans="1:8">
      <c r="C45" s="432"/>
      <c r="D45" s="432"/>
      <c r="E45" s="432"/>
      <c r="F45" s="432"/>
      <c r="G45" s="432"/>
      <c r="H45" s="432"/>
    </row>
    <row r="46" spans="1:8">
      <c r="C46" s="432"/>
      <c r="D46" s="432"/>
      <c r="E46" s="432"/>
      <c r="F46" s="432"/>
      <c r="G46" s="432"/>
      <c r="H46" s="432"/>
    </row>
    <row r="47" spans="1:8">
      <c r="C47" s="432"/>
      <c r="D47" s="432"/>
      <c r="E47" s="432"/>
      <c r="F47" s="432"/>
      <c r="G47" s="432"/>
      <c r="H47" s="432"/>
    </row>
  </sheetData>
  <mergeCells count="4">
    <mergeCell ref="A4:A5"/>
    <mergeCell ref="B4:B5"/>
    <mergeCell ref="C4:E4"/>
    <mergeCell ref="F4:H4"/>
  </mergeCells>
  <pageMargins left="0.7" right="0.7" top="0.75" bottom="0.75" header="0.3" footer="0.3"/>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8"/>
  <sheetViews>
    <sheetView zoomScaleNormal="100" workbookViewId="0">
      <pane xSplit="1" ySplit="4" topLeftCell="B5" activePane="bottomRight" state="frozen"/>
      <selection activeCell="B8" sqref="B8"/>
      <selection pane="topRight" activeCell="B8" sqref="B8"/>
      <selection pane="bottomLeft" activeCell="B8" sqref="B8"/>
      <selection pane="bottomRight" activeCell="B8" sqref="B8"/>
    </sheetView>
  </sheetViews>
  <sheetFormatPr defaultColWidth="9.21875" defaultRowHeight="13.8"/>
  <cols>
    <col min="1" max="1" width="9.5546875" style="1" bestFit="1" customWidth="1"/>
    <col min="2" max="2" width="93.5546875" style="1" customWidth="1"/>
    <col min="3" max="4" width="12.77734375" style="1" customWidth="1"/>
    <col min="5" max="5" width="11.6640625" style="8" customWidth="1"/>
    <col min="6" max="7" width="11.77734375" style="8" customWidth="1"/>
    <col min="8" max="11" width="9.77734375" style="8" customWidth="1"/>
    <col min="12" max="16384" width="9.21875" style="8"/>
  </cols>
  <sheetData>
    <row r="1" spans="1:7">
      <c r="A1" s="13" t="s">
        <v>108</v>
      </c>
      <c r="B1" s="12" t="str">
        <f>Info!C2</f>
        <v>სს " პაშა ბანკი საქართველო"</v>
      </c>
      <c r="C1" s="12"/>
    </row>
    <row r="2" spans="1:7">
      <c r="A2" s="13" t="s">
        <v>109</v>
      </c>
      <c r="B2" s="342">
        <f>'1. key ratios'!B2</f>
        <v>45291</v>
      </c>
      <c r="C2" s="12"/>
    </row>
    <row r="3" spans="1:7">
      <c r="A3" s="13"/>
      <c r="B3" s="12"/>
      <c r="C3" s="12"/>
    </row>
    <row r="4" spans="1:7" ht="15" customHeight="1" thickBot="1">
      <c r="A4" s="143" t="s">
        <v>253</v>
      </c>
      <c r="B4" s="144" t="s">
        <v>107</v>
      </c>
      <c r="C4" s="145" t="s">
        <v>87</v>
      </c>
    </row>
    <row r="5" spans="1:7" ht="15" customHeight="1">
      <c r="A5" s="141" t="s">
        <v>25</v>
      </c>
      <c r="B5" s="142"/>
      <c r="C5" s="326" t="str">
        <f>INT((MONTH($B$2))/3)&amp;"Q"&amp;"-"&amp;YEAR($B$2)</f>
        <v>4Q-2023</v>
      </c>
      <c r="D5" s="326" t="str">
        <f>IF(INT(MONTH($B$2))=3, "4"&amp;"Q"&amp;"-"&amp;YEAR($B$2)-1, IF(INT(MONTH($B$2))=6, "1"&amp;"Q"&amp;"-"&amp;YEAR($B$2), IF(INT(MONTH($B$2))=9, "2"&amp;"Q"&amp;"-"&amp;YEAR($B$2),IF(INT(MONTH($B$2))=12, "3"&amp;"Q"&amp;"-"&amp;YEAR($B$2), 0))))</f>
        <v>3Q-2023</v>
      </c>
      <c r="E5" s="326" t="str">
        <f>IF(INT(MONTH($B$2))=3, "3"&amp;"Q"&amp;"-"&amp;YEAR($B$2)-1, IF(INT(MONTH($B$2))=6, "4"&amp;"Q"&amp;"-"&amp;YEAR($B$2)-1, IF(INT(MONTH($B$2))=9, "1"&amp;"Q"&amp;"-"&amp;YEAR($B$2),IF(INT(MONTH($B$2))=12, "2"&amp;"Q"&amp;"-"&amp;YEAR($B$2), 0))))</f>
        <v>2Q-2023</v>
      </c>
      <c r="F5" s="326" t="str">
        <f>IF(INT(MONTH($B$2))=3, "2"&amp;"Q"&amp;"-"&amp;YEAR($B$2)-1, IF(INT(MONTH($B$2))=6, "3"&amp;"Q"&amp;"-"&amp;YEAR($B$2)-1, IF(INT(MONTH($B$2))=9, "4"&amp;"Q"&amp;"-"&amp;YEAR($B$2)-1,IF(INT(MONTH($B$2))=12, "1"&amp;"Q"&amp;"-"&amp;YEAR($B$2), 0))))</f>
        <v>1Q-2023</v>
      </c>
      <c r="G5" s="326" t="str">
        <f>IF(INT(MONTH($B$2))=3, "1"&amp;"Q"&amp;"-"&amp;YEAR($B$2)-1, IF(INT(MONTH($B$2))=6, "2"&amp;"Q"&amp;"-"&amp;YEAR($B$2)-1, IF(INT(MONTH($B$2))=9, "3"&amp;"Q"&amp;"-"&amp;YEAR($B$2)-1,IF(INT(MONTH($B$2))=12, "4"&amp;"Q"&amp;"-"&amp;YEAR($B$2)-1, 0))))</f>
        <v>4Q-2022</v>
      </c>
    </row>
    <row r="6" spans="1:7" ht="15" customHeight="1">
      <c r="A6" s="259">
        <v>1</v>
      </c>
      <c r="B6" s="311" t="s">
        <v>112</v>
      </c>
      <c r="C6" s="260">
        <f>C7+C9+C10</f>
        <v>519229548</v>
      </c>
      <c r="D6" s="313">
        <f>D7+D9+D10</f>
        <v>471994722</v>
      </c>
      <c r="E6" s="261">
        <f t="shared" ref="E6:G6" si="0">E7+E9+E10</f>
        <v>481763583</v>
      </c>
      <c r="F6" s="260">
        <f t="shared" si="0"/>
        <v>471726745</v>
      </c>
      <c r="G6" s="314">
        <f t="shared" si="0"/>
        <v>497737311</v>
      </c>
    </row>
    <row r="7" spans="1:7" ht="15" customHeight="1">
      <c r="A7" s="259">
        <v>1.1000000000000001</v>
      </c>
      <c r="B7" s="262" t="s">
        <v>436</v>
      </c>
      <c r="C7" s="263">
        <v>460925278</v>
      </c>
      <c r="D7" s="315">
        <v>424770530</v>
      </c>
      <c r="E7" s="263">
        <v>439546921</v>
      </c>
      <c r="F7" s="263">
        <v>434813748</v>
      </c>
      <c r="G7" s="316">
        <v>455940401</v>
      </c>
    </row>
    <row r="8" spans="1:7" ht="27.6">
      <c r="A8" s="259" t="s">
        <v>157</v>
      </c>
      <c r="B8" s="264" t="s">
        <v>250</v>
      </c>
      <c r="C8" s="263"/>
      <c r="D8" s="315"/>
      <c r="E8" s="263"/>
      <c r="F8" s="263"/>
      <c r="G8" s="316"/>
    </row>
    <row r="9" spans="1:7" ht="15" customHeight="1">
      <c r="A9" s="259">
        <v>1.2</v>
      </c>
      <c r="B9" s="262" t="s">
        <v>21</v>
      </c>
      <c r="C9" s="263">
        <v>56173579</v>
      </c>
      <c r="D9" s="315">
        <v>45805923</v>
      </c>
      <c r="E9" s="263">
        <v>40476472</v>
      </c>
      <c r="F9" s="263">
        <v>33895649</v>
      </c>
      <c r="G9" s="316">
        <v>38528923</v>
      </c>
    </row>
    <row r="10" spans="1:7" ht="15" customHeight="1">
      <c r="A10" s="259">
        <v>1.3</v>
      </c>
      <c r="B10" s="312" t="s">
        <v>74</v>
      </c>
      <c r="C10" s="263">
        <v>2130691</v>
      </c>
      <c r="D10" s="315">
        <v>1418269</v>
      </c>
      <c r="E10" s="263">
        <v>1740190</v>
      </c>
      <c r="F10" s="263">
        <v>3017348</v>
      </c>
      <c r="G10" s="316">
        <v>3267987</v>
      </c>
    </row>
    <row r="11" spans="1:7" ht="15" customHeight="1">
      <c r="A11" s="259">
        <v>2</v>
      </c>
      <c r="B11" s="311" t="s">
        <v>113</v>
      </c>
      <c r="C11" s="263">
        <v>1366371</v>
      </c>
      <c r="D11" s="315">
        <v>3046947</v>
      </c>
      <c r="E11" s="263">
        <v>4811648</v>
      </c>
      <c r="F11" s="263">
        <v>3040200</v>
      </c>
      <c r="G11" s="316">
        <v>4997167</v>
      </c>
    </row>
    <row r="12" spans="1:7" ht="15" customHeight="1">
      <c r="A12" s="259">
        <v>3</v>
      </c>
      <c r="B12" s="311" t="s">
        <v>111</v>
      </c>
      <c r="C12" s="263">
        <v>66393322</v>
      </c>
      <c r="D12" s="315">
        <v>52612002</v>
      </c>
      <c r="E12" s="263">
        <v>52612002</v>
      </c>
      <c r="F12" s="263">
        <v>52612002</v>
      </c>
      <c r="G12" s="316">
        <v>52523668</v>
      </c>
    </row>
    <row r="13" spans="1:7" ht="15" customHeight="1" thickBot="1">
      <c r="A13" s="75">
        <v>4</v>
      </c>
      <c r="B13" s="319" t="s">
        <v>158</v>
      </c>
      <c r="C13" s="163">
        <f>C6+C11+C12</f>
        <v>586989241</v>
      </c>
      <c r="D13" s="317">
        <f>D6+D11+D12</f>
        <v>527653671</v>
      </c>
      <c r="E13" s="164">
        <f t="shared" ref="E13:G13" si="1">E6+E11+E12</f>
        <v>539187233</v>
      </c>
      <c r="F13" s="163">
        <f t="shared" si="1"/>
        <v>527378947</v>
      </c>
      <c r="G13" s="318">
        <f t="shared" si="1"/>
        <v>555258146</v>
      </c>
    </row>
    <row r="14" spans="1:7">
      <c r="B14" s="17"/>
    </row>
    <row r="15" spans="1:7" ht="27.6">
      <c r="B15" s="17" t="s">
        <v>437</v>
      </c>
    </row>
    <row r="16" spans="1:7">
      <c r="B16" s="17"/>
    </row>
    <row r="17" spans="2:2">
      <c r="B17" s="17"/>
    </row>
    <row r="18" spans="2:2">
      <c r="B18" s="17"/>
    </row>
  </sheetData>
  <pageMargins left="0.7" right="0.7" top="0.75" bottom="0.75" header="0.3" footer="0.3"/>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7"/>
  <sheetViews>
    <sheetView showGridLines="0" zoomScaleNormal="100" workbookViewId="0">
      <pane xSplit="1" ySplit="4" topLeftCell="B7" activePane="bottomRight" state="frozen"/>
      <selection activeCell="B8" sqref="B8"/>
      <selection pane="topRight" activeCell="B8" sqref="B8"/>
      <selection pane="bottomLeft" activeCell="B8" sqref="B8"/>
      <selection pane="bottomRight" activeCell="B8" sqref="B8"/>
    </sheetView>
  </sheetViews>
  <sheetFormatPr defaultRowHeight="14.4"/>
  <cols>
    <col min="1" max="1" width="9.5546875" style="1" bestFit="1" customWidth="1"/>
    <col min="2" max="2" width="42.88671875" style="1" customWidth="1"/>
    <col min="3" max="3" width="49.5546875" style="1" customWidth="1"/>
  </cols>
  <sheetData>
    <row r="1" spans="1:8">
      <c r="A1" s="1" t="s">
        <v>108</v>
      </c>
      <c r="B1" s="1" t="str">
        <f>Info!C2</f>
        <v>სს " პაშა ბანკი საქართველო"</v>
      </c>
    </row>
    <row r="2" spans="1:8">
      <c r="A2" s="1" t="s">
        <v>109</v>
      </c>
      <c r="B2" s="342">
        <f>'1. key ratios'!B2</f>
        <v>45291</v>
      </c>
    </row>
    <row r="4" spans="1:8" ht="25.5" customHeight="1" thickBot="1">
      <c r="A4" s="157" t="s">
        <v>254</v>
      </c>
      <c r="B4" s="24" t="s">
        <v>91</v>
      </c>
      <c r="C4" s="9"/>
    </row>
    <row r="5" spans="1:8">
      <c r="A5" s="7"/>
      <c r="B5" s="307" t="s">
        <v>92</v>
      </c>
      <c r="C5" s="324" t="s">
        <v>450</v>
      </c>
    </row>
    <row r="6" spans="1:8">
      <c r="A6" s="10">
        <v>1</v>
      </c>
      <c r="B6" s="25" t="s">
        <v>971</v>
      </c>
      <c r="C6" s="320" t="s">
        <v>972</v>
      </c>
    </row>
    <row r="7" spans="1:8">
      <c r="A7" s="10">
        <v>2</v>
      </c>
      <c r="B7" s="25" t="s">
        <v>973</v>
      </c>
      <c r="C7" s="320" t="s">
        <v>974</v>
      </c>
    </row>
    <row r="8" spans="1:8">
      <c r="A8" s="10">
        <v>3</v>
      </c>
      <c r="B8" s="25" t="s">
        <v>975</v>
      </c>
      <c r="C8" s="320" t="s">
        <v>974</v>
      </c>
    </row>
    <row r="9" spans="1:8">
      <c r="A9" s="10">
        <v>4</v>
      </c>
      <c r="B9" s="25" t="s">
        <v>976</v>
      </c>
      <c r="C9" s="320" t="s">
        <v>972</v>
      </c>
    </row>
    <row r="10" spans="1:8">
      <c r="A10" s="10">
        <v>5</v>
      </c>
      <c r="B10" s="25" t="s">
        <v>990</v>
      </c>
      <c r="C10" s="320" t="s">
        <v>977</v>
      </c>
    </row>
    <row r="11" spans="1:8">
      <c r="A11" s="10">
        <v>6</v>
      </c>
      <c r="B11" s="25"/>
      <c r="C11" s="320"/>
    </row>
    <row r="12" spans="1:8">
      <c r="A12" s="10">
        <v>7</v>
      </c>
      <c r="B12" s="25"/>
      <c r="C12" s="320"/>
      <c r="H12" s="2"/>
    </row>
    <row r="13" spans="1:8">
      <c r="A13" s="10">
        <v>8</v>
      </c>
      <c r="B13" s="25"/>
      <c r="C13" s="320"/>
    </row>
    <row r="14" spans="1:8">
      <c r="A14" s="10">
        <v>9</v>
      </c>
      <c r="B14" s="25"/>
      <c r="C14" s="320"/>
    </row>
    <row r="15" spans="1:8">
      <c r="A15" s="10">
        <v>10</v>
      </c>
      <c r="B15" s="25"/>
      <c r="C15" s="320"/>
    </row>
    <row r="16" spans="1:8">
      <c r="A16" s="10"/>
      <c r="B16" s="768"/>
      <c r="C16" s="769"/>
    </row>
    <row r="17" spans="1:3" ht="27.6">
      <c r="A17" s="10"/>
      <c r="B17" s="308" t="s">
        <v>93</v>
      </c>
      <c r="C17" s="325" t="s">
        <v>451</v>
      </c>
    </row>
    <row r="18" spans="1:3">
      <c r="A18" s="10">
        <v>1</v>
      </c>
      <c r="B18" s="21" t="s">
        <v>966</v>
      </c>
      <c r="C18" s="322" t="s">
        <v>991</v>
      </c>
    </row>
    <row r="19" spans="1:3">
      <c r="A19" s="10">
        <v>2</v>
      </c>
      <c r="B19" s="21" t="s">
        <v>989</v>
      </c>
      <c r="C19" s="322" t="s">
        <v>979</v>
      </c>
    </row>
    <row r="20" spans="1:3">
      <c r="A20" s="10">
        <v>3</v>
      </c>
      <c r="B20" s="21" t="s">
        <v>978</v>
      </c>
      <c r="C20" s="322" t="s">
        <v>980</v>
      </c>
    </row>
    <row r="21" spans="1:3">
      <c r="A21" s="10">
        <v>4</v>
      </c>
      <c r="B21" s="21" t="s">
        <v>981</v>
      </c>
      <c r="C21" s="322" t="s">
        <v>982</v>
      </c>
    </row>
    <row r="22" spans="1:3">
      <c r="A22" s="10">
        <v>5</v>
      </c>
      <c r="B22" s="21"/>
      <c r="C22" s="322"/>
    </row>
    <row r="23" spans="1:3">
      <c r="A23" s="10">
        <v>6</v>
      </c>
      <c r="B23" s="21"/>
      <c r="C23" s="322"/>
    </row>
    <row r="24" spans="1:3">
      <c r="A24" s="10">
        <v>7</v>
      </c>
      <c r="B24" s="21"/>
      <c r="C24" s="322"/>
    </row>
    <row r="25" spans="1:3">
      <c r="A25" s="10">
        <v>8</v>
      </c>
      <c r="B25" s="21"/>
      <c r="C25" s="322"/>
    </row>
    <row r="26" spans="1:3">
      <c r="A26" s="10">
        <v>9</v>
      </c>
      <c r="B26" s="21"/>
      <c r="C26" s="322"/>
    </row>
    <row r="27" spans="1:3" ht="15.75" customHeight="1">
      <c r="A27" s="10">
        <v>10</v>
      </c>
      <c r="B27" s="21"/>
      <c r="C27" s="323"/>
    </row>
    <row r="28" spans="1:3" ht="15.75" customHeight="1">
      <c r="A28" s="10"/>
      <c r="B28" s="21"/>
      <c r="C28" s="22"/>
    </row>
    <row r="29" spans="1:3" ht="30" customHeight="1">
      <c r="A29" s="10"/>
      <c r="B29" s="770" t="s">
        <v>94</v>
      </c>
      <c r="C29" s="771"/>
    </row>
    <row r="30" spans="1:3">
      <c r="A30" s="10">
        <v>1</v>
      </c>
      <c r="B30" s="25" t="s">
        <v>983</v>
      </c>
      <c r="C30" s="678">
        <v>0.85058799707602339</v>
      </c>
    </row>
    <row r="31" spans="1:3" ht="15.75" customHeight="1">
      <c r="A31" s="10">
        <v>2</v>
      </c>
      <c r="B31" s="25" t="s">
        <v>984</v>
      </c>
      <c r="C31" s="678">
        <v>0.14941200292397661</v>
      </c>
    </row>
    <row r="32" spans="1:3" ht="29.25" customHeight="1">
      <c r="A32" s="10"/>
      <c r="B32" s="770" t="s">
        <v>174</v>
      </c>
      <c r="C32" s="771"/>
    </row>
    <row r="33" spans="1:3">
      <c r="A33" s="10">
        <v>1</v>
      </c>
      <c r="B33" s="25" t="s">
        <v>985</v>
      </c>
      <c r="C33" s="681">
        <v>0.18988394736842104</v>
      </c>
    </row>
    <row r="34" spans="1:3">
      <c r="A34" s="679">
        <v>2</v>
      </c>
      <c r="B34" s="680" t="s">
        <v>986</v>
      </c>
      <c r="C34" s="682">
        <v>0.35211520467836255</v>
      </c>
    </row>
    <row r="35" spans="1:3">
      <c r="A35" s="679">
        <v>3</v>
      </c>
      <c r="B35" s="680" t="s">
        <v>987</v>
      </c>
      <c r="C35" s="682">
        <v>0.35211520467836255</v>
      </c>
    </row>
    <row r="36" spans="1:3">
      <c r="A36" s="679">
        <v>4</v>
      </c>
      <c r="B36" s="680" t="s">
        <v>988</v>
      </c>
      <c r="C36" s="682">
        <v>0.10588564327485381</v>
      </c>
    </row>
    <row r="37" spans="1:3" ht="15" thickBot="1">
      <c r="A37" s="11"/>
      <c r="B37" s="26"/>
      <c r="C37" s="321"/>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paperSize="9"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53"/>
  <sheetViews>
    <sheetView zoomScale="80" zoomScaleNormal="80" workbookViewId="0">
      <pane xSplit="1" ySplit="5" topLeftCell="B12" activePane="bottomRight" state="frozen"/>
      <selection activeCell="B8" sqref="B8"/>
      <selection pane="topRight" activeCell="B8" sqref="B8"/>
      <selection pane="bottomLeft" activeCell="B8" sqref="B8"/>
      <selection pane="bottomRight" activeCell="B8" sqref="B8"/>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108</v>
      </c>
      <c r="B1" s="12" t="str">
        <f>Info!C2</f>
        <v>სს " პაშა ბანკი საქართველო"</v>
      </c>
    </row>
    <row r="2" spans="1:5" s="13" customFormat="1" ht="15.75" customHeight="1">
      <c r="A2" s="13" t="s">
        <v>109</v>
      </c>
      <c r="B2" s="342">
        <f>'1. key ratios'!B2</f>
        <v>45291</v>
      </c>
    </row>
    <row r="3" spans="1:5" s="13" customFormat="1" ht="15.75" customHeight="1"/>
    <row r="4" spans="1:5" s="13" customFormat="1" ht="15.75" customHeight="1" thickBot="1">
      <c r="A4" s="158" t="s">
        <v>255</v>
      </c>
      <c r="B4" s="159" t="s">
        <v>168</v>
      </c>
      <c r="C4" s="123"/>
      <c r="D4" s="123"/>
      <c r="E4" s="124" t="s">
        <v>87</v>
      </c>
    </row>
    <row r="5" spans="1:5" s="71" customFormat="1" ht="17.55" customHeight="1">
      <c r="A5" s="237"/>
      <c r="B5" s="238"/>
      <c r="C5" s="122" t="s">
        <v>0</v>
      </c>
      <c r="D5" s="122" t="s">
        <v>1</v>
      </c>
      <c r="E5" s="239" t="s">
        <v>2</v>
      </c>
    </row>
    <row r="6" spans="1:5" ht="14.55" customHeight="1">
      <c r="A6" s="240"/>
      <c r="B6" s="772" t="s">
        <v>144</v>
      </c>
      <c r="C6" s="772" t="s">
        <v>856</v>
      </c>
      <c r="D6" s="773" t="s">
        <v>143</v>
      </c>
      <c r="E6" s="774"/>
    </row>
    <row r="7" spans="1:5" ht="99.6" customHeight="1">
      <c r="A7" s="240"/>
      <c r="B7" s="772"/>
      <c r="C7" s="772"/>
      <c r="D7" s="235" t="s">
        <v>142</v>
      </c>
      <c r="E7" s="236" t="s">
        <v>353</v>
      </c>
    </row>
    <row r="8" spans="1:5" ht="22.5" customHeight="1">
      <c r="A8" s="434">
        <v>1</v>
      </c>
      <c r="B8" s="408" t="s">
        <v>843</v>
      </c>
      <c r="C8" s="636">
        <f>SUM(C9:C11)</f>
        <v>101575518.70719999</v>
      </c>
      <c r="D8" s="636">
        <f t="shared" ref="D8:E8" si="0">SUM(D9:D11)</f>
        <v>0</v>
      </c>
      <c r="E8" s="637">
        <f t="shared" si="0"/>
        <v>101575518.70719999</v>
      </c>
    </row>
    <row r="9" spans="1:5">
      <c r="A9" s="434">
        <v>1.1000000000000001</v>
      </c>
      <c r="B9" s="606" t="s">
        <v>96</v>
      </c>
      <c r="C9" s="636">
        <v>2919174.8731000004</v>
      </c>
      <c r="D9" s="636"/>
      <c r="E9" s="637">
        <f>C9-D9</f>
        <v>2919174.8731000004</v>
      </c>
    </row>
    <row r="10" spans="1:5">
      <c r="A10" s="434">
        <v>1.2</v>
      </c>
      <c r="B10" s="606" t="s">
        <v>97</v>
      </c>
      <c r="C10" s="636">
        <v>31226313.320999999</v>
      </c>
      <c r="D10" s="636"/>
      <c r="E10" s="637">
        <f>C10-D10</f>
        <v>31226313.320999999</v>
      </c>
    </row>
    <row r="11" spans="1:5">
      <c r="A11" s="434">
        <v>1.3</v>
      </c>
      <c r="B11" s="606" t="s">
        <v>98</v>
      </c>
      <c r="C11" s="636">
        <v>67430030.513099998</v>
      </c>
      <c r="D11" s="636"/>
      <c r="E11" s="637">
        <f>C11-D11</f>
        <v>67430030.513099998</v>
      </c>
    </row>
    <row r="12" spans="1:5">
      <c r="A12" s="434">
        <v>2</v>
      </c>
      <c r="B12" s="607" t="s">
        <v>730</v>
      </c>
      <c r="C12" s="636">
        <f>C13</f>
        <v>690915.74</v>
      </c>
      <c r="D12" s="636">
        <f>D13</f>
        <v>0</v>
      </c>
      <c r="E12" s="637">
        <f>E13</f>
        <v>690915.74</v>
      </c>
    </row>
    <row r="13" spans="1:5">
      <c r="A13" s="434">
        <v>2.1</v>
      </c>
      <c r="B13" s="608" t="s">
        <v>731</v>
      </c>
      <c r="C13" s="636">
        <v>690915.74</v>
      </c>
      <c r="D13" s="636"/>
      <c r="E13" s="637">
        <f>C13-D13</f>
        <v>690915.74</v>
      </c>
    </row>
    <row r="14" spans="1:5" ht="34.049999999999997" customHeight="1">
      <c r="A14" s="434">
        <v>3</v>
      </c>
      <c r="B14" s="609" t="s">
        <v>732</v>
      </c>
      <c r="C14" s="636"/>
      <c r="D14" s="636"/>
      <c r="E14" s="637"/>
    </row>
    <row r="15" spans="1:5" ht="32.549999999999997" customHeight="1">
      <c r="A15" s="434">
        <v>4</v>
      </c>
      <c r="B15" s="610" t="s">
        <v>733</v>
      </c>
      <c r="C15" s="636"/>
      <c r="D15" s="636"/>
      <c r="E15" s="637"/>
    </row>
    <row r="16" spans="1:5" ht="22.95" customHeight="1">
      <c r="A16" s="434">
        <v>5</v>
      </c>
      <c r="B16" s="610" t="s">
        <v>734</v>
      </c>
      <c r="C16" s="636">
        <f>SUM(C17:C19)</f>
        <v>0</v>
      </c>
      <c r="D16" s="636">
        <f t="shared" ref="D16:E16" si="1">SUM(D17:D19)</f>
        <v>0</v>
      </c>
      <c r="E16" s="637">
        <f t="shared" si="1"/>
        <v>0</v>
      </c>
    </row>
    <row r="17" spans="1:5">
      <c r="A17" s="434">
        <v>5.0999999999999996</v>
      </c>
      <c r="B17" s="611" t="s">
        <v>735</v>
      </c>
      <c r="C17" s="636"/>
      <c r="D17" s="636"/>
      <c r="E17" s="637"/>
    </row>
    <row r="18" spans="1:5">
      <c r="A18" s="434">
        <v>5.2</v>
      </c>
      <c r="B18" s="611" t="s">
        <v>569</v>
      </c>
      <c r="C18" s="636"/>
      <c r="D18" s="636"/>
      <c r="E18" s="637"/>
    </row>
    <row r="19" spans="1:5">
      <c r="A19" s="434">
        <v>5.3</v>
      </c>
      <c r="B19" s="611" t="s">
        <v>736</v>
      </c>
      <c r="C19" s="636"/>
      <c r="D19" s="636"/>
      <c r="E19" s="637"/>
    </row>
    <row r="20" spans="1:5" ht="20.399999999999999">
      <c r="A20" s="434">
        <v>6</v>
      </c>
      <c r="B20" s="609" t="s">
        <v>737</v>
      </c>
      <c r="C20" s="636">
        <f>SUM(C21:C22)</f>
        <v>401336512.84969991</v>
      </c>
      <c r="D20" s="636">
        <f t="shared" ref="D20:E20" si="2">SUM(D21:D22)</f>
        <v>0</v>
      </c>
      <c r="E20" s="637">
        <f t="shared" si="2"/>
        <v>401336512.84969991</v>
      </c>
    </row>
    <row r="21" spans="1:5">
      <c r="A21" s="434">
        <v>6.1</v>
      </c>
      <c r="B21" s="611" t="s">
        <v>569</v>
      </c>
      <c r="C21" s="638">
        <v>65230020.842900001</v>
      </c>
      <c r="D21" s="638"/>
      <c r="E21" s="637">
        <f>C21-D21</f>
        <v>65230020.842900001</v>
      </c>
    </row>
    <row r="22" spans="1:5">
      <c r="A22" s="434">
        <v>6.2</v>
      </c>
      <c r="B22" s="611" t="s">
        <v>736</v>
      </c>
      <c r="C22" s="638">
        <v>336106492.00679994</v>
      </c>
      <c r="D22" s="638"/>
      <c r="E22" s="637">
        <f>C22-D22</f>
        <v>336106492.00679994</v>
      </c>
    </row>
    <row r="23" spans="1:5" ht="20.399999999999999">
      <c r="A23" s="434">
        <v>7</v>
      </c>
      <c r="B23" s="612" t="s">
        <v>738</v>
      </c>
      <c r="C23" s="638">
        <v>0</v>
      </c>
      <c r="D23" s="638"/>
      <c r="E23" s="637">
        <f>C23-D23</f>
        <v>0</v>
      </c>
    </row>
    <row r="24" spans="1:5" ht="20.399999999999999">
      <c r="A24" s="434">
        <v>8</v>
      </c>
      <c r="B24" s="612" t="s">
        <v>739</v>
      </c>
      <c r="C24" s="638">
        <v>11631520.42</v>
      </c>
      <c r="D24" s="638"/>
      <c r="E24" s="637">
        <f>C24-D24</f>
        <v>11631520.42</v>
      </c>
    </row>
    <row r="25" spans="1:5">
      <c r="A25" s="434">
        <v>9</v>
      </c>
      <c r="B25" s="610" t="s">
        <v>740</v>
      </c>
      <c r="C25" s="638">
        <f>SUM(C26:C27)</f>
        <v>9048070.0600000005</v>
      </c>
      <c r="D25" s="638">
        <f t="shared" ref="D25:E25" si="3">SUM(D26:D27)</f>
        <v>0</v>
      </c>
      <c r="E25" s="639">
        <f t="shared" si="3"/>
        <v>9048070.0600000005</v>
      </c>
    </row>
    <row r="26" spans="1:5">
      <c r="A26" s="434">
        <v>9.1</v>
      </c>
      <c r="B26" s="613" t="s">
        <v>741</v>
      </c>
      <c r="C26" s="638">
        <v>4969672.78</v>
      </c>
      <c r="D26" s="638"/>
      <c r="E26" s="637">
        <f>C26-D26</f>
        <v>4969672.78</v>
      </c>
    </row>
    <row r="27" spans="1:5">
      <c r="A27" s="434">
        <v>9.1999999999999993</v>
      </c>
      <c r="B27" s="613" t="s">
        <v>742</v>
      </c>
      <c r="C27" s="638">
        <v>4078397.28</v>
      </c>
      <c r="D27" s="638"/>
      <c r="E27" s="637">
        <f>C27-D27</f>
        <v>4078397.28</v>
      </c>
    </row>
    <row r="28" spans="1:5">
      <c r="A28" s="434">
        <v>10</v>
      </c>
      <c r="B28" s="610" t="s">
        <v>36</v>
      </c>
      <c r="C28" s="638">
        <f>SUM(C29:C30)</f>
        <v>4894841.96</v>
      </c>
      <c r="D28" s="638">
        <f t="shared" ref="D28:E28" si="4">SUM(D29:D30)</f>
        <v>4894841.96</v>
      </c>
      <c r="E28" s="639">
        <f t="shared" si="4"/>
        <v>0</v>
      </c>
    </row>
    <row r="29" spans="1:5">
      <c r="A29" s="434">
        <v>10.1</v>
      </c>
      <c r="B29" s="613" t="s">
        <v>743</v>
      </c>
      <c r="C29" s="638"/>
      <c r="D29" s="638"/>
      <c r="E29" s="639"/>
    </row>
    <row r="30" spans="1:5">
      <c r="A30" s="434">
        <v>10.199999999999999</v>
      </c>
      <c r="B30" s="613" t="s">
        <v>744</v>
      </c>
      <c r="C30" s="638">
        <v>4894841.96</v>
      </c>
      <c r="D30" s="638">
        <v>4894841.96</v>
      </c>
      <c r="E30" s="637">
        <f>C30-D30</f>
        <v>0</v>
      </c>
    </row>
    <row r="31" spans="1:5">
      <c r="A31" s="434">
        <v>11</v>
      </c>
      <c r="B31" s="610" t="s">
        <v>745</v>
      </c>
      <c r="C31" s="638">
        <f>SUM(C32:C33)</f>
        <v>0</v>
      </c>
      <c r="D31" s="638">
        <f t="shared" ref="D31:E31" si="5">SUM(D32:D33)</f>
        <v>0</v>
      </c>
      <c r="E31" s="639">
        <f t="shared" si="5"/>
        <v>0</v>
      </c>
    </row>
    <row r="32" spans="1:5">
      <c r="A32" s="434">
        <v>11.1</v>
      </c>
      <c r="B32" s="613" t="s">
        <v>746</v>
      </c>
      <c r="C32" s="638"/>
      <c r="D32" s="638"/>
      <c r="E32" s="639"/>
    </row>
    <row r="33" spans="1:7">
      <c r="A33" s="434">
        <v>11.2</v>
      </c>
      <c r="B33" s="613" t="s">
        <v>747</v>
      </c>
      <c r="C33" s="638"/>
      <c r="D33" s="638"/>
      <c r="E33" s="639"/>
    </row>
    <row r="34" spans="1:7">
      <c r="A34" s="434">
        <v>13</v>
      </c>
      <c r="B34" s="610" t="s">
        <v>99</v>
      </c>
      <c r="C34" s="638">
        <v>5531631.4583999999</v>
      </c>
      <c r="D34" s="638"/>
      <c r="E34" s="637">
        <f>C34-D34</f>
        <v>5531631.4583999999</v>
      </c>
    </row>
    <row r="35" spans="1:7">
      <c r="A35" s="434">
        <v>13.1</v>
      </c>
      <c r="B35" s="614" t="s">
        <v>748</v>
      </c>
      <c r="C35" s="638"/>
      <c r="D35" s="638"/>
      <c r="E35" s="639"/>
    </row>
    <row r="36" spans="1:7">
      <c r="A36" s="434">
        <v>13.2</v>
      </c>
      <c r="B36" s="614" t="s">
        <v>749</v>
      </c>
      <c r="C36" s="638"/>
      <c r="D36" s="638"/>
      <c r="E36" s="639"/>
    </row>
    <row r="37" spans="1:7" ht="42" thickBot="1">
      <c r="A37" s="241"/>
      <c r="B37" s="242" t="s">
        <v>320</v>
      </c>
      <c r="C37" s="203">
        <f>SUM(C8,C12,C14,C15,C16,C20,C23,C24,C25,C28,C31,C34)</f>
        <v>534709011.19529992</v>
      </c>
      <c r="D37" s="203">
        <f t="shared" ref="D37:E37" si="6">SUM(D8,D12,D14,D15,D16,D20,D23,D24,D25,D28,D31,D34)</f>
        <v>4894841.96</v>
      </c>
      <c r="E37" s="203">
        <f t="shared" si="6"/>
        <v>529814169.23529994</v>
      </c>
    </row>
    <row r="38" spans="1:7">
      <c r="A38"/>
      <c r="B38"/>
      <c r="C38"/>
      <c r="D38"/>
      <c r="E38"/>
    </row>
    <row r="39" spans="1:7">
      <c r="A39"/>
      <c r="B39"/>
      <c r="C39"/>
      <c r="D39"/>
      <c r="E39"/>
    </row>
    <row r="40" spans="1:7">
      <c r="C40" s="635"/>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33"/>
  <sheetViews>
    <sheetView zoomScaleNormal="100" workbookViewId="0">
      <pane xSplit="1" ySplit="4" topLeftCell="B5" activePane="bottomRight" state="frozen"/>
      <selection activeCell="B8" sqref="B8"/>
      <selection pane="topRight" activeCell="B8" sqref="B8"/>
      <selection pane="bottomLeft" activeCell="B8" sqref="B8"/>
      <selection pane="bottomRight" activeCell="B8" sqref="B8"/>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108</v>
      </c>
      <c r="B1" s="12" t="str">
        <f>Info!C2</f>
        <v>სს " პაშა ბანკი საქართველო"</v>
      </c>
    </row>
    <row r="2" spans="1:6" s="13" customFormat="1" ht="15.75" customHeight="1">
      <c r="A2" s="13" t="s">
        <v>109</v>
      </c>
      <c r="B2" s="342">
        <f>'1. key ratios'!B2</f>
        <v>45291</v>
      </c>
      <c r="C2"/>
      <c r="D2"/>
      <c r="E2"/>
      <c r="F2"/>
    </row>
    <row r="3" spans="1:6" s="13" customFormat="1" ht="15.75" customHeight="1">
      <c r="C3"/>
      <c r="D3"/>
      <c r="E3"/>
      <c r="F3"/>
    </row>
    <row r="4" spans="1:6" s="13" customFormat="1" ht="28.2" thickBot="1">
      <c r="A4" s="13" t="s">
        <v>256</v>
      </c>
      <c r="B4" s="130" t="s">
        <v>171</v>
      </c>
      <c r="C4" s="124" t="s">
        <v>87</v>
      </c>
      <c r="D4"/>
      <c r="E4"/>
      <c r="F4"/>
    </row>
    <row r="5" spans="1:6">
      <c r="A5" s="125">
        <v>1</v>
      </c>
      <c r="B5" s="126" t="s">
        <v>727</v>
      </c>
      <c r="C5" s="165">
        <f>'7. LI1'!E37</f>
        <v>529814169.23529994</v>
      </c>
    </row>
    <row r="6" spans="1:6">
      <c r="A6" s="70">
        <v>2.1</v>
      </c>
      <c r="B6" s="132" t="s">
        <v>861</v>
      </c>
      <c r="C6" s="166">
        <v>183552119</v>
      </c>
    </row>
    <row r="7" spans="1:6" s="2" customFormat="1" ht="27.6" outlineLevel="1">
      <c r="A7" s="131">
        <v>2.2000000000000002</v>
      </c>
      <c r="B7" s="127" t="s">
        <v>862</v>
      </c>
      <c r="C7" s="167">
        <v>106534568</v>
      </c>
    </row>
    <row r="8" spans="1:6" s="2" customFormat="1" ht="27.6">
      <c r="A8" s="131">
        <v>3</v>
      </c>
      <c r="B8" s="128" t="s">
        <v>728</v>
      </c>
      <c r="C8" s="168">
        <f>SUM(C5:C7)</f>
        <v>819900856.23529994</v>
      </c>
    </row>
    <row r="9" spans="1:6">
      <c r="A9" s="70">
        <v>4</v>
      </c>
      <c r="B9" s="135" t="s">
        <v>169</v>
      </c>
      <c r="C9" s="166"/>
    </row>
    <row r="10" spans="1:6" s="2" customFormat="1" ht="27.6" outlineLevel="1">
      <c r="A10" s="131">
        <v>5.0999999999999996</v>
      </c>
      <c r="B10" s="127" t="s">
        <v>175</v>
      </c>
      <c r="C10" s="167">
        <v>-125707933</v>
      </c>
    </row>
    <row r="11" spans="1:6" s="2" customFormat="1" ht="27.6" outlineLevel="1">
      <c r="A11" s="131">
        <v>5.2</v>
      </c>
      <c r="B11" s="127" t="s">
        <v>176</v>
      </c>
      <c r="C11" s="167">
        <v>-104403877</v>
      </c>
    </row>
    <row r="12" spans="1:6" s="2" customFormat="1">
      <c r="A12" s="131">
        <v>6</v>
      </c>
      <c r="B12" s="133" t="s">
        <v>438</v>
      </c>
      <c r="C12" s="167"/>
    </row>
    <row r="13" spans="1:6" s="2" customFormat="1" ht="15" thickBot="1">
      <c r="A13" s="134">
        <v>7</v>
      </c>
      <c r="B13" s="129" t="s">
        <v>170</v>
      </c>
      <c r="C13" s="169">
        <f>SUM(C8:C12)</f>
        <v>589789046.23529994</v>
      </c>
    </row>
    <row r="15" spans="1:6" ht="27.6">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scale="3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cSPsd/2BlWQMT22h7ccULGkRQ1vnXa0Dhurh3yrfe+0=</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aJ8GYDDX5H2hP2KcLaWcTJ9ABuvcpvPa6MZtncxFayI=</DigestValue>
    </Reference>
  </SignedInfo>
  <SignatureValue>EFW1Zl/ZgpyubsYOLHf9olAIN4OAhTYsbiiMRjrOykXaYrqB0gSSboKR//b2EWrDxQFnTphLl3dB
rYoWM0KOvS5CJGxMn7HlQUUfQqAtECYOGuczmJvx6uMNDdhKh8i+4hrx+kq00aRs3QWWhM7un3ri
YMVRJOQODGTF8QAAHuA6g4TA3JqfE+wdeIfS61STdOaDRvkpyNF1n9WsGQjb1XgbwJ/4WCMUbErI
xV3AaNtIU4HBTHvIf9ujbfCmQeRvpS/nv5ZxeOdgIu+GC697rqjGg03MBE7pJ1jiWX8azoEQV7OV
r1R/6IO3Lun/0W8Giy+bF8Ds/cfXRokZTEAUyw==</SignatureValue>
  <KeyInfo>
    <X509Data>
      <X509Certificate>MIIGRTCCBS2gAwIBAgIKUWli5wADAAI9xDANBgkqhkiG9w0BAQsFADBKMRIwEAYKCZImiZPyLGQBGRYCZ2UxEzARBgoJkiaJk/IsZAEZFgNuYmcxHzAdBgNVBAMTFk5CRyBDbGFzcyAyIElOVCBTdWIgQ0EwHhcNMjMwOTA2MDc1NDA1WhcNMjUwOTA1MDc1NDA1WjBDMR8wHQYDVQQKExZKU0MgUGFzaGEgQmFuayBHZW9yZ2lhMSAwHgYDVQQDExdCUEIgLSBNaWtoZWlsIElha29iaWR6ZTCCASIwDQYJKoZIhvcNAQEBBQADggEPADCCAQoCggEBAOU0Q5NPqBtLFffHvZdNOZYas36rdPChTULZI6+DQD1P1ASlbXajyAS8+Y+Ur8Rszbh5cLCdfD6R3bu983Gf42eqeDmf/lnRxyvbDpfTX9f90wGcblDcNjRXece9JOAG1ri1RPsSUk/UmUqDKUMbtPC3e96yRFrMD1UjWmUsu3u7ysTZp+X/sr2JW0m+TiqHS4CSncyjSFwDIW8OjdVgdxftl6KR3sCyQVnZ6S+kBcN1eAUtJOR8yLneFGRHyOBsN801k5Hb8O8jWV9W9KM7aDE+DvTAJwSrlUbOfdmavMPwovf/2A9ZQfTg1IiBtAPjdBD17owHyGFifABpRarmbecCAwEAAaOCAzIwggMuMDwGCSsGAQQBgjcVBwQvMC0GJSsGAQQBgjcVCOayYION9USGgZkJg7ihSoO+hHEEg8SRM4SDiF0CAWQCASMwHQYDVR0lBBYwFAYIKwYBBQUHAwIGCCsGAQUFBwMEMAsGA1UdDwQEAwIHgDAnBgkrBgEEAYI3FQoEGjAYMAoGCCsGAQUFBwMCMAoGCCsGAQUFBwMEMB0GA1UdDgQWBBRUNNN4NhsLx5ltvr1mRR6S6SiT4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SSOiyAW22xUtzc24q4NstBK2cgNxTxASuts2hbzcm4lbGhzH9gfwyI5yyn6rPptCGX5cvQ8I7mLYAqQP/rHjaPn1+ixCQKIouBCkH8VLyK3Em8bJO8fcdxh3UP4pUGTN3qJqnYitDnzw0Pkccv4d6hbxEUqgwlVOzKZHfGI40j5XhvR0vYa7QoAAISEWC3kwMATw66rkW5/Dgk8viNj91k+P4kHGfYNXcBdCGeQkHzOV7DQeu6Dz7Go5+GllOvJGxBoPDp5NFLs7emolJW4fYBH5zErY6g00/AzCB5JL791FIOwoyZXTu+spN7TpeDNlcEipR2YHoWNLj1KJZMPvT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XKfwpMp9QCQ9/kvIHs61lN66QtCp8fVMGTTaO8nMb4E=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xOveWHm41S1Um5h7OC8or36MOOgIGvJePpzLMokXKHE=</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xOveWHm41S1Um5h7OC8or36MOOgIGvJePpzLMokXKHE=</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xOveWHm41S1Um5h7OC8or36MOOgIGvJePpzLMokXKHE=</DigestValue>
      </Reference>
      <Reference URI="/xl/printerSettings/printerSettings18.bin?ContentType=application/vnd.openxmlformats-officedocument.spreadsheetml.printerSettings">
        <DigestMethod Algorithm="http://www.w3.org/2001/04/xmlenc#sha256"/>
        <DigestValue>xOveWHm41S1Um5h7OC8or36MOOgIGvJePpzLMokXKHE=</DigestValue>
      </Reference>
      <Reference URI="/xl/printerSettings/printerSettings19.bin?ContentType=application/vnd.openxmlformats-officedocument.spreadsheetml.printerSettings">
        <DigestMethod Algorithm="http://www.w3.org/2001/04/xmlenc#sha256"/>
        <DigestValue>xOveWHm41S1Um5h7OC8or36MOOgIGvJePpzLMokXKHE=</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xOveWHm41S1Um5h7OC8or36MOOgIGvJePpzLMokXKHE=</DigestValue>
      </Reference>
      <Reference URI="/xl/printerSettings/printerSettings22.bin?ContentType=application/vnd.openxmlformats-officedocument.spreadsheetml.printerSettings">
        <DigestMethod Algorithm="http://www.w3.org/2001/04/xmlenc#sha256"/>
        <DigestValue>xOveWHm41S1Um5h7OC8or36MOOgIGvJePpzLMokXKHE=</DigestValue>
      </Reference>
      <Reference URI="/xl/printerSettings/printerSettings23.bin?ContentType=application/vnd.openxmlformats-officedocument.spreadsheetml.printerSettings">
        <DigestMethod Algorithm="http://www.w3.org/2001/04/xmlenc#sha256"/>
        <DigestValue>xOveWHm41S1Um5h7OC8or36MOOgIGvJePpzLMokXKHE=</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xOveWHm41S1Um5h7OC8or36MOOgIGvJePpzLMokXKHE=</DigestValue>
      </Reference>
      <Reference URI="/xl/printerSettings/printerSettings26.bin?ContentType=application/vnd.openxmlformats-officedocument.spreadsheetml.printerSettings">
        <DigestMethod Algorithm="http://www.w3.org/2001/04/xmlenc#sha256"/>
        <DigestValue>xOveWHm41S1Um5h7OC8or36MOOgIGvJePpzLMokXKHE=</DigestValue>
      </Reference>
      <Reference URI="/xl/printerSettings/printerSettings27.bin?ContentType=application/vnd.openxmlformats-officedocument.spreadsheetml.printerSettings">
        <DigestMethod Algorithm="http://www.w3.org/2001/04/xmlenc#sha256"/>
        <DigestValue>xOveWHm41S1Um5h7OC8or36MOOgIGvJePpzLMokXKHE=</DigestValue>
      </Reference>
      <Reference URI="/xl/printerSettings/printerSettings28.bin?ContentType=application/vnd.openxmlformats-officedocument.spreadsheetml.printerSettings">
        <DigestMethod Algorithm="http://www.w3.org/2001/04/xmlenc#sha256"/>
        <DigestValue>xOveWHm41S1Um5h7OC8or36MOOgIGvJePpzLMokXKHE=</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30.bin?ContentType=application/vnd.openxmlformats-officedocument.spreadsheetml.printerSettings">
        <DigestMethod Algorithm="http://www.w3.org/2001/04/xmlenc#sha256"/>
        <DigestValue>qmHNoez3+2z1eZqgvieIhWNcGO6DBUsKFl23U1yG11g=</DigestValue>
      </Reference>
      <Reference URI="/xl/printerSettings/printerSettings4.bin?ContentType=application/vnd.openxmlformats-officedocument.spreadsheetml.printerSettings">
        <DigestMethod Algorithm="http://www.w3.org/2001/04/xmlenc#sha256"/>
        <DigestValue>xOveWHm41S1Um5h7OC8or36MOOgIGvJePpzLMokXKHE=</DigestValue>
      </Reference>
      <Reference URI="/xl/printerSettings/printerSettings5.bin?ContentType=application/vnd.openxmlformats-officedocument.spreadsheetml.printerSettings">
        <DigestMethod Algorithm="http://www.w3.org/2001/04/xmlenc#sha256"/>
        <DigestValue>xOveWHm41S1Um5h7OC8or36MOOgIGvJePpzLMokXKHE=</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xOveWHm41S1Um5h7OC8or36MOOgIGvJePpzLMokXKHE=</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mF4z4Mrc/GGx4eZ0RU6/2tpfC+ezaOSiTkimxGzGyHo=</DigestValue>
      </Reference>
      <Reference URI="/xl/styles.xml?ContentType=application/vnd.openxmlformats-officedocument.spreadsheetml.styles+xml">
        <DigestMethod Algorithm="http://www.w3.org/2001/04/xmlenc#sha256"/>
        <DigestValue>+k4HynqX6e9JQiR1TFteTbtkOYRqQ5pzg+EZXA3ZpLY=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2b5RlEr0EERy6nRY3YxC8GouoQ6JPi596XUgBIcOfcM=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YOon+DP7aQvJCzOACyvIRZ2ug/r0sIu2abB50IJhQDI=</DigestValue>
      </Reference>
      <Reference URI="/xl/worksheets/sheet10.xml?ContentType=application/vnd.openxmlformats-officedocument.spreadsheetml.worksheet+xml">
        <DigestMethod Algorithm="http://www.w3.org/2001/04/xmlenc#sha256"/>
        <DigestValue>lzn9tVw/o1tvNI4Yu3J1dVY+LNyJcy85KvpR0DybzEM=</DigestValue>
      </Reference>
      <Reference URI="/xl/worksheets/sheet11.xml?ContentType=application/vnd.openxmlformats-officedocument.spreadsheetml.worksheet+xml">
        <DigestMethod Algorithm="http://www.w3.org/2001/04/xmlenc#sha256"/>
        <DigestValue>dfosgJxzH9CZL312QIvaT6mLv2YB6hov8s0VqFBbOrQ=</DigestValue>
      </Reference>
      <Reference URI="/xl/worksheets/sheet12.xml?ContentType=application/vnd.openxmlformats-officedocument.spreadsheetml.worksheet+xml">
        <DigestMethod Algorithm="http://www.w3.org/2001/04/xmlenc#sha256"/>
        <DigestValue>JD1MVKW7rSmMQn3cNNvIWCP3kDr57HooMyzSojytQ0k=</DigestValue>
      </Reference>
      <Reference URI="/xl/worksheets/sheet13.xml?ContentType=application/vnd.openxmlformats-officedocument.spreadsheetml.worksheet+xml">
        <DigestMethod Algorithm="http://www.w3.org/2001/04/xmlenc#sha256"/>
        <DigestValue>LkjWKONXRtMbZlMyRnWQ7PFfecDUCaRnDRk/J6iNbpY=</DigestValue>
      </Reference>
      <Reference URI="/xl/worksheets/sheet14.xml?ContentType=application/vnd.openxmlformats-officedocument.spreadsheetml.worksheet+xml">
        <DigestMethod Algorithm="http://www.w3.org/2001/04/xmlenc#sha256"/>
        <DigestValue>pa2/zfznQtg+muba9UOFd94yzgaLqpd+wbeCsNgz2Lc=</DigestValue>
      </Reference>
      <Reference URI="/xl/worksheets/sheet15.xml?ContentType=application/vnd.openxmlformats-officedocument.spreadsheetml.worksheet+xml">
        <DigestMethod Algorithm="http://www.w3.org/2001/04/xmlenc#sha256"/>
        <DigestValue>EysC7sp5WZBhH4YGVhmsZpypZtyH71wfQXRqYGjlYwk=</DigestValue>
      </Reference>
      <Reference URI="/xl/worksheets/sheet16.xml?ContentType=application/vnd.openxmlformats-officedocument.spreadsheetml.worksheet+xml">
        <DigestMethod Algorithm="http://www.w3.org/2001/04/xmlenc#sha256"/>
        <DigestValue>rkbrnaGFGne+tMTcqmTREquO5n8mdjl71iXfNNaXslc=</DigestValue>
      </Reference>
      <Reference URI="/xl/worksheets/sheet17.xml?ContentType=application/vnd.openxmlformats-officedocument.spreadsheetml.worksheet+xml">
        <DigestMethod Algorithm="http://www.w3.org/2001/04/xmlenc#sha256"/>
        <DigestValue>eejzmWevxquzG1/9RqDnqXEjdjqnbNppko/qt4I27Lc=</DigestValue>
      </Reference>
      <Reference URI="/xl/worksheets/sheet18.xml?ContentType=application/vnd.openxmlformats-officedocument.spreadsheetml.worksheet+xml">
        <DigestMethod Algorithm="http://www.w3.org/2001/04/xmlenc#sha256"/>
        <DigestValue>/1ojL3JgF8TGUe21RxyG/UIrmC7ZaiYqmHiAHHLS4Jg=</DigestValue>
      </Reference>
      <Reference URI="/xl/worksheets/sheet19.xml?ContentType=application/vnd.openxmlformats-officedocument.spreadsheetml.worksheet+xml">
        <DigestMethod Algorithm="http://www.w3.org/2001/04/xmlenc#sha256"/>
        <DigestValue>+2LbDmMlNb2Zoh9WmMC8fJG0LSAtufmdSkluUa3FzAk=</DigestValue>
      </Reference>
      <Reference URI="/xl/worksheets/sheet2.xml?ContentType=application/vnd.openxmlformats-officedocument.spreadsheetml.worksheet+xml">
        <DigestMethod Algorithm="http://www.w3.org/2001/04/xmlenc#sha256"/>
        <DigestValue>tryzwTsY1qF4Y+YcFWFKFV1FhFIvSMBAjvO/Q76KORY=</DigestValue>
      </Reference>
      <Reference URI="/xl/worksheets/sheet20.xml?ContentType=application/vnd.openxmlformats-officedocument.spreadsheetml.worksheet+xml">
        <DigestMethod Algorithm="http://www.w3.org/2001/04/xmlenc#sha256"/>
        <DigestValue>OzV9TX/O8uvwdqDxQ/LOzAwko8u39GDUldawbqzKjGE=</DigestValue>
      </Reference>
      <Reference URI="/xl/worksheets/sheet21.xml?ContentType=application/vnd.openxmlformats-officedocument.spreadsheetml.worksheet+xml">
        <DigestMethod Algorithm="http://www.w3.org/2001/04/xmlenc#sha256"/>
        <DigestValue>CDffzHduCmzS+UPNNgBRt81H/WMdV+A431dLHzbTvno=</DigestValue>
      </Reference>
      <Reference URI="/xl/worksheets/sheet22.xml?ContentType=application/vnd.openxmlformats-officedocument.spreadsheetml.worksheet+xml">
        <DigestMethod Algorithm="http://www.w3.org/2001/04/xmlenc#sha256"/>
        <DigestValue>mA3fYB2pBnu1dkulS8pywiXhA6o3QN8fGyzrCvt+Xpg=</DigestValue>
      </Reference>
      <Reference URI="/xl/worksheets/sheet23.xml?ContentType=application/vnd.openxmlformats-officedocument.spreadsheetml.worksheet+xml">
        <DigestMethod Algorithm="http://www.w3.org/2001/04/xmlenc#sha256"/>
        <DigestValue>x49MfBEcDJO4yYP0mhGDeWbA42GN1ASg4vyDfJClShA=</DigestValue>
      </Reference>
      <Reference URI="/xl/worksheets/sheet24.xml?ContentType=application/vnd.openxmlformats-officedocument.spreadsheetml.worksheet+xml">
        <DigestMethod Algorithm="http://www.w3.org/2001/04/xmlenc#sha256"/>
        <DigestValue>GThEIosGAuHB6gVa0JBGIZqT6J9xFA0nuWugtybOFYo=</DigestValue>
      </Reference>
      <Reference URI="/xl/worksheets/sheet25.xml?ContentType=application/vnd.openxmlformats-officedocument.spreadsheetml.worksheet+xml">
        <DigestMethod Algorithm="http://www.w3.org/2001/04/xmlenc#sha256"/>
        <DigestValue>FK5iYrnRo30SX3n/aP2kBE099/ptsYuL9LOwAc5rRbM=</DigestValue>
      </Reference>
      <Reference URI="/xl/worksheets/sheet26.xml?ContentType=application/vnd.openxmlformats-officedocument.spreadsheetml.worksheet+xml">
        <DigestMethod Algorithm="http://www.w3.org/2001/04/xmlenc#sha256"/>
        <DigestValue>GqHaz8oavMr63C/SGPuhGIGBqbMkyRmY/lQQtz19jrs=</DigestValue>
      </Reference>
      <Reference URI="/xl/worksheets/sheet27.xml?ContentType=application/vnd.openxmlformats-officedocument.spreadsheetml.worksheet+xml">
        <DigestMethod Algorithm="http://www.w3.org/2001/04/xmlenc#sha256"/>
        <DigestValue>TMx/hP6IIFT2XHQcnwxFSCEVmNadSmId69KioIJgVu0=</DigestValue>
      </Reference>
      <Reference URI="/xl/worksheets/sheet28.xml?ContentType=application/vnd.openxmlformats-officedocument.spreadsheetml.worksheet+xml">
        <DigestMethod Algorithm="http://www.w3.org/2001/04/xmlenc#sha256"/>
        <DigestValue>4CkDIf5nZXh2HBbU+ti0rLew9zrnXS68bVQpfgJ4Muw=</DigestValue>
      </Reference>
      <Reference URI="/xl/worksheets/sheet29.xml?ContentType=application/vnd.openxmlformats-officedocument.spreadsheetml.worksheet+xml">
        <DigestMethod Algorithm="http://www.w3.org/2001/04/xmlenc#sha256"/>
        <DigestValue>HFq/h05Q2LIlIELto6u2OYt145b41xJW7IyOHmMKrVc=</DigestValue>
      </Reference>
      <Reference URI="/xl/worksheets/sheet3.xml?ContentType=application/vnd.openxmlformats-officedocument.spreadsheetml.worksheet+xml">
        <DigestMethod Algorithm="http://www.w3.org/2001/04/xmlenc#sha256"/>
        <DigestValue>B0zHB5g5Q1+9XrtaA2blL5FlXLKHnzPRGrbYCAb1nG8=</DigestValue>
      </Reference>
      <Reference URI="/xl/worksheets/sheet30.xml?ContentType=application/vnd.openxmlformats-officedocument.spreadsheetml.worksheet+xml">
        <DigestMethod Algorithm="http://www.w3.org/2001/04/xmlenc#sha256"/>
        <DigestValue>V8nTFQKXFRIjCypeef0YDRYNKRTkTS+bBh4V43RBISg=</DigestValue>
      </Reference>
      <Reference URI="/xl/worksheets/sheet4.xml?ContentType=application/vnd.openxmlformats-officedocument.spreadsheetml.worksheet+xml">
        <DigestMethod Algorithm="http://www.w3.org/2001/04/xmlenc#sha256"/>
        <DigestValue>qWxHRCoHJE0F66hUvgPY+eihxLq9dCtQkokxCj1dbOE=</DigestValue>
      </Reference>
      <Reference URI="/xl/worksheets/sheet5.xml?ContentType=application/vnd.openxmlformats-officedocument.spreadsheetml.worksheet+xml">
        <DigestMethod Algorithm="http://www.w3.org/2001/04/xmlenc#sha256"/>
        <DigestValue>BMCQHy8TkUbBbl4eGcFG8TC3je9DaUeNewtEoaGsjgQ=</DigestValue>
      </Reference>
      <Reference URI="/xl/worksheets/sheet6.xml?ContentType=application/vnd.openxmlformats-officedocument.spreadsheetml.worksheet+xml">
        <DigestMethod Algorithm="http://www.w3.org/2001/04/xmlenc#sha256"/>
        <DigestValue>ftG+rrQiSvD0u/Fzl5M7yh18bOGn0lDluoEGxUMiGkg=</DigestValue>
      </Reference>
      <Reference URI="/xl/worksheets/sheet7.xml?ContentType=application/vnd.openxmlformats-officedocument.spreadsheetml.worksheet+xml">
        <DigestMethod Algorithm="http://www.w3.org/2001/04/xmlenc#sha256"/>
        <DigestValue>lgAbP9bPXnX4BOHtX5SfoWAEZRM3xvBec0AxkbVnNDg=</DigestValue>
      </Reference>
      <Reference URI="/xl/worksheets/sheet8.xml?ContentType=application/vnd.openxmlformats-officedocument.spreadsheetml.worksheet+xml">
        <DigestMethod Algorithm="http://www.w3.org/2001/04/xmlenc#sha256"/>
        <DigestValue>QrvSu3rQo0n3LE1ckCyp8n+LwdFmhbTeK4vS/KHEuCo=</DigestValue>
      </Reference>
      <Reference URI="/xl/worksheets/sheet9.xml?ContentType=application/vnd.openxmlformats-officedocument.spreadsheetml.worksheet+xml">
        <DigestMethod Algorithm="http://www.w3.org/2001/04/xmlenc#sha256"/>
        <DigestValue>nnYeSG//X++gBsTO7MKGmmdKwJko/Ku9mMrXLa8cRmA=</DigestValue>
      </Reference>
    </Manifest>
    <SignatureProperties>
      <SignatureProperty Id="idSignatureTime" Target="#idPackageSignature">
        <mdssi:SignatureTime xmlns:mdssi="http://schemas.openxmlformats.org/package/2006/digital-signature">
          <mdssi:Format>YYYY-MM-DDThh:mm:ssTZD</mdssi:Format>
          <mdssi:Value>2024-01-31T09:57:51Z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2024-01-31T09:57:51Z</xd:SigningTime>
          <xd:SigningCertificate>
            <xd:Cert>
              <xd:CertDigest>
                <DigestMethod Algorithm="http://www.w3.org/2001/04/xmlenc#sha256"/>
                <DigestValue>kq96ANjMEh57xbF5Ile7UsSX8PP5m3uaEUKiwgmziS8=</DigestValue>
              </xd:CertDigest>
              <xd:IssuerSerial>
                <X509IssuerName>CN=NBG Class 2 INT Sub CA, DC=nbg, DC=ge</X509IssuerName>
                <X509SerialNumber>384455719905128987377092</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CAi1DIdG7s9bTmZtWcHDsYs5PUSqRJl53ODpPONj3ug=</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d8xwUUsOYrQSB/W1MhNlrUr51CrfXQxgbptH8uSEj5E=</DigestValue>
    </Reference>
  </SignedInfo>
  <SignatureValue>ncVtFoaoLLgvz38fXs8ueSmSm2C3pfaQTbxFCKUUqlQG53N0xdxRWVcSlXH8D6oSwNS77SuLq0Dd
Q3Gxr/zcJJcchz6B+o/shQw4HvH47zpG9fIXM/kKyk3qn11rzXBrbjpC4PfCijeEvhFrOm6gei70
R335lu8W9BI52YnxaXrhVJ/bBl6WNhGYFKDrzrmD0Jswu48bPJ2Q+e0WbJns7SPqAJTO62pagalS
clBjXMkP4iHchoBx1yrVLMaY5xgA3mZ3gV43MhceQ8Nybxnq5y3iikNvcg96MXnqmwgSjWUwoS07
G+ppo4q6XR4iUjK6GPoTO+xbp14C3db3V8/d4w==</SignatureValue>
  <KeyInfo>
    <X509Data>
      <X509Certificate>MIIGRDCCBSygAwIBAgIKOR1q0AADAAIU9jANBgkqhkiG9w0BAQsFADBKMRIwEAYKCZImiZPyLGQBGRYCZ2UxEzARBgoJkiaJk/IsZAEZFgNuYmcxHzAdBgNVBAMTFk5CRyBDbGFzcyAyIElOVCBTdWIgQ0EwHhcNMjIwNTEwMTIyOTE5WhcNMjQwNTA5MTIyOTE5WjBCMR8wHQYDVQQKExZKU0MgUGFzaGEgQmFuayBHZW9yZ2lhMR8wHQYDVQQDExZCUEIgLSBMZWxhIEdvZ2lhc2h2aWxpMIIBIjANBgkqhkiG9w0BAQEFAAOCAQ8AMIIBCgKCAQEA0ddczz12HceaHg0KDFduu5pEaRvWaOgOCwdGO5L+fFzmRdp03FY11crIhXvvHRrwCKf+EKhhZ2QfTJbMxchRBgPCvfLh+RGnAYDqaUhRpALjhMX3+rIumvgyHsoUQ2U1YOjlCJQGAQmT4ssymvfuoslcicRNJ7kbibSeksmAN3u/Gr4FSteZBK1zm3JBF5h83oYC2S+EPEEp+nbhR6A2TljdP85Jnyr2fd4vqLuvbS4e9t/O/j4R7mfvRhzYj3/mMKExEMsTHU+hD+d0CMFm/OtSCUtSMxAPavOjzMRaINLSj5oYKsVGqW92AkL0P4AAcF+CiFbTgYtkZSW0qcfQxQIDAQABo4IDMjCCAy4wPAYJKwYBBAGCNxUHBC8wLQYlKwYBBAGCNxUI5rJgg431RIaBmQmDuKFKg76EcQSDxJEzhIOIXQIBZAIBIzAdBgNVHSUEFjAUBggrBgEFBQcDAgYIKwYBBQUHAwQwCwYDVR0PBAQDAgeAMCcGCSsGAQQBgjcVCgQaMBgwCgYIKwYBBQUHAwIwCgYIKwYBBQUHAwQwHQYDVR0OBBYEFFVBokIxsg8lEBxj8lzlz05tnfPr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T+74PsHBj8lcaDmAovHaedEeJ/Kg0VtdFGeCVBq7R055LaYs7hlZveO8CAQvCFCmWwyYzYSppmIfKB5pXmOUs0i5hMgqiKwEHJbzyJlVQw71gz2rwcc6KR9j/FqQ+gsB7HAbdX+05Rgywq2Jx72DaZcKCcJ9FRd8XYt9xSwhSvScGp8tKVza/Yq+hhfw0AAaUClX1qcnrf0WdKZmEXYQoDBahO+ewsuN4aIuPRCXedsT4APKKnEhtt85yLXiapLTpMHKpyrJXjwtKPkyAnr1+51VyX3cEqBgYzmk4mGD9Lp6K85h0mW8oGIb8UJxj7lnetQSBjQd3VskIMCm1iIE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XKfwpMp9QCQ9/kvIHs61lN66QtCp8fVMGTTaO8nMb4E=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xOveWHm41S1Um5h7OC8or36MOOgIGvJePpzLMokXKHE=</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xOveWHm41S1Um5h7OC8or36MOOgIGvJePpzLMokXKHE=</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xOveWHm41S1Um5h7OC8or36MOOgIGvJePpzLMokXKHE=</DigestValue>
      </Reference>
      <Reference URI="/xl/printerSettings/printerSettings18.bin?ContentType=application/vnd.openxmlformats-officedocument.spreadsheetml.printerSettings">
        <DigestMethod Algorithm="http://www.w3.org/2001/04/xmlenc#sha256"/>
        <DigestValue>xOveWHm41S1Um5h7OC8or36MOOgIGvJePpzLMokXKHE=</DigestValue>
      </Reference>
      <Reference URI="/xl/printerSettings/printerSettings19.bin?ContentType=application/vnd.openxmlformats-officedocument.spreadsheetml.printerSettings">
        <DigestMethod Algorithm="http://www.w3.org/2001/04/xmlenc#sha256"/>
        <DigestValue>xOveWHm41S1Um5h7OC8or36MOOgIGvJePpzLMokXKHE=</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xOveWHm41S1Um5h7OC8or36MOOgIGvJePpzLMokXKHE=</DigestValue>
      </Reference>
      <Reference URI="/xl/printerSettings/printerSettings22.bin?ContentType=application/vnd.openxmlformats-officedocument.spreadsheetml.printerSettings">
        <DigestMethod Algorithm="http://www.w3.org/2001/04/xmlenc#sha256"/>
        <DigestValue>xOveWHm41S1Um5h7OC8or36MOOgIGvJePpzLMokXKHE=</DigestValue>
      </Reference>
      <Reference URI="/xl/printerSettings/printerSettings23.bin?ContentType=application/vnd.openxmlformats-officedocument.spreadsheetml.printerSettings">
        <DigestMethod Algorithm="http://www.w3.org/2001/04/xmlenc#sha256"/>
        <DigestValue>xOveWHm41S1Um5h7OC8or36MOOgIGvJePpzLMokXKHE=</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xOveWHm41S1Um5h7OC8or36MOOgIGvJePpzLMokXKHE=</DigestValue>
      </Reference>
      <Reference URI="/xl/printerSettings/printerSettings26.bin?ContentType=application/vnd.openxmlformats-officedocument.spreadsheetml.printerSettings">
        <DigestMethod Algorithm="http://www.w3.org/2001/04/xmlenc#sha256"/>
        <DigestValue>xOveWHm41S1Um5h7OC8or36MOOgIGvJePpzLMokXKHE=</DigestValue>
      </Reference>
      <Reference URI="/xl/printerSettings/printerSettings27.bin?ContentType=application/vnd.openxmlformats-officedocument.spreadsheetml.printerSettings">
        <DigestMethod Algorithm="http://www.w3.org/2001/04/xmlenc#sha256"/>
        <DigestValue>xOveWHm41S1Um5h7OC8or36MOOgIGvJePpzLMokXKHE=</DigestValue>
      </Reference>
      <Reference URI="/xl/printerSettings/printerSettings28.bin?ContentType=application/vnd.openxmlformats-officedocument.spreadsheetml.printerSettings">
        <DigestMethod Algorithm="http://www.w3.org/2001/04/xmlenc#sha256"/>
        <DigestValue>xOveWHm41S1Um5h7OC8or36MOOgIGvJePpzLMokXKHE=</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30.bin?ContentType=application/vnd.openxmlformats-officedocument.spreadsheetml.printerSettings">
        <DigestMethod Algorithm="http://www.w3.org/2001/04/xmlenc#sha256"/>
        <DigestValue>qmHNoez3+2z1eZqgvieIhWNcGO6DBUsKFl23U1yG11g=</DigestValue>
      </Reference>
      <Reference URI="/xl/printerSettings/printerSettings4.bin?ContentType=application/vnd.openxmlformats-officedocument.spreadsheetml.printerSettings">
        <DigestMethod Algorithm="http://www.w3.org/2001/04/xmlenc#sha256"/>
        <DigestValue>xOveWHm41S1Um5h7OC8or36MOOgIGvJePpzLMokXKHE=</DigestValue>
      </Reference>
      <Reference URI="/xl/printerSettings/printerSettings5.bin?ContentType=application/vnd.openxmlformats-officedocument.spreadsheetml.printerSettings">
        <DigestMethod Algorithm="http://www.w3.org/2001/04/xmlenc#sha256"/>
        <DigestValue>xOveWHm41S1Um5h7OC8or36MOOgIGvJePpzLMokXKHE=</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xOveWHm41S1Um5h7OC8or36MOOgIGvJePpzLMokXKHE=</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mF4z4Mrc/GGx4eZ0RU6/2tpfC+ezaOSiTkimxGzGyHo=</DigestValue>
      </Reference>
      <Reference URI="/xl/styles.xml?ContentType=application/vnd.openxmlformats-officedocument.spreadsheetml.styles+xml">
        <DigestMethod Algorithm="http://www.w3.org/2001/04/xmlenc#sha256"/>
        <DigestValue>+k4HynqX6e9JQiR1TFteTbtkOYRqQ5pzg+EZXA3ZpLY=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2b5RlEr0EERy6nRY3YxC8GouoQ6JPi596XUgBIcOfcM=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YOon+DP7aQvJCzOACyvIRZ2ug/r0sIu2abB50IJhQDI=</DigestValue>
      </Reference>
      <Reference URI="/xl/worksheets/sheet10.xml?ContentType=application/vnd.openxmlformats-officedocument.spreadsheetml.worksheet+xml">
        <DigestMethod Algorithm="http://www.w3.org/2001/04/xmlenc#sha256"/>
        <DigestValue>lzn9tVw/o1tvNI4Yu3J1dVY+LNyJcy85KvpR0DybzEM=</DigestValue>
      </Reference>
      <Reference URI="/xl/worksheets/sheet11.xml?ContentType=application/vnd.openxmlformats-officedocument.spreadsheetml.worksheet+xml">
        <DigestMethod Algorithm="http://www.w3.org/2001/04/xmlenc#sha256"/>
        <DigestValue>dfosgJxzH9CZL312QIvaT6mLv2YB6hov8s0VqFBbOrQ=</DigestValue>
      </Reference>
      <Reference URI="/xl/worksheets/sheet12.xml?ContentType=application/vnd.openxmlformats-officedocument.spreadsheetml.worksheet+xml">
        <DigestMethod Algorithm="http://www.w3.org/2001/04/xmlenc#sha256"/>
        <DigestValue>JD1MVKW7rSmMQn3cNNvIWCP3kDr57HooMyzSojytQ0k=</DigestValue>
      </Reference>
      <Reference URI="/xl/worksheets/sheet13.xml?ContentType=application/vnd.openxmlformats-officedocument.spreadsheetml.worksheet+xml">
        <DigestMethod Algorithm="http://www.w3.org/2001/04/xmlenc#sha256"/>
        <DigestValue>LkjWKONXRtMbZlMyRnWQ7PFfecDUCaRnDRk/J6iNbpY=</DigestValue>
      </Reference>
      <Reference URI="/xl/worksheets/sheet14.xml?ContentType=application/vnd.openxmlformats-officedocument.spreadsheetml.worksheet+xml">
        <DigestMethod Algorithm="http://www.w3.org/2001/04/xmlenc#sha256"/>
        <DigestValue>pa2/zfznQtg+muba9UOFd94yzgaLqpd+wbeCsNgz2Lc=</DigestValue>
      </Reference>
      <Reference URI="/xl/worksheets/sheet15.xml?ContentType=application/vnd.openxmlformats-officedocument.spreadsheetml.worksheet+xml">
        <DigestMethod Algorithm="http://www.w3.org/2001/04/xmlenc#sha256"/>
        <DigestValue>EysC7sp5WZBhH4YGVhmsZpypZtyH71wfQXRqYGjlYwk=</DigestValue>
      </Reference>
      <Reference URI="/xl/worksheets/sheet16.xml?ContentType=application/vnd.openxmlformats-officedocument.spreadsheetml.worksheet+xml">
        <DigestMethod Algorithm="http://www.w3.org/2001/04/xmlenc#sha256"/>
        <DigestValue>rkbrnaGFGne+tMTcqmTREquO5n8mdjl71iXfNNaXslc=</DigestValue>
      </Reference>
      <Reference URI="/xl/worksheets/sheet17.xml?ContentType=application/vnd.openxmlformats-officedocument.spreadsheetml.worksheet+xml">
        <DigestMethod Algorithm="http://www.w3.org/2001/04/xmlenc#sha256"/>
        <DigestValue>eejzmWevxquzG1/9RqDnqXEjdjqnbNppko/qt4I27Lc=</DigestValue>
      </Reference>
      <Reference URI="/xl/worksheets/sheet18.xml?ContentType=application/vnd.openxmlformats-officedocument.spreadsheetml.worksheet+xml">
        <DigestMethod Algorithm="http://www.w3.org/2001/04/xmlenc#sha256"/>
        <DigestValue>/1ojL3JgF8TGUe21RxyG/UIrmC7ZaiYqmHiAHHLS4Jg=</DigestValue>
      </Reference>
      <Reference URI="/xl/worksheets/sheet19.xml?ContentType=application/vnd.openxmlformats-officedocument.spreadsheetml.worksheet+xml">
        <DigestMethod Algorithm="http://www.w3.org/2001/04/xmlenc#sha256"/>
        <DigestValue>+2LbDmMlNb2Zoh9WmMC8fJG0LSAtufmdSkluUa3FzAk=</DigestValue>
      </Reference>
      <Reference URI="/xl/worksheets/sheet2.xml?ContentType=application/vnd.openxmlformats-officedocument.spreadsheetml.worksheet+xml">
        <DigestMethod Algorithm="http://www.w3.org/2001/04/xmlenc#sha256"/>
        <DigestValue>tryzwTsY1qF4Y+YcFWFKFV1FhFIvSMBAjvO/Q76KORY=</DigestValue>
      </Reference>
      <Reference URI="/xl/worksheets/sheet20.xml?ContentType=application/vnd.openxmlformats-officedocument.spreadsheetml.worksheet+xml">
        <DigestMethod Algorithm="http://www.w3.org/2001/04/xmlenc#sha256"/>
        <DigestValue>OzV9TX/O8uvwdqDxQ/LOzAwko8u39GDUldawbqzKjGE=</DigestValue>
      </Reference>
      <Reference URI="/xl/worksheets/sheet21.xml?ContentType=application/vnd.openxmlformats-officedocument.spreadsheetml.worksheet+xml">
        <DigestMethod Algorithm="http://www.w3.org/2001/04/xmlenc#sha256"/>
        <DigestValue>CDffzHduCmzS+UPNNgBRt81H/WMdV+A431dLHzbTvno=</DigestValue>
      </Reference>
      <Reference URI="/xl/worksheets/sheet22.xml?ContentType=application/vnd.openxmlformats-officedocument.spreadsheetml.worksheet+xml">
        <DigestMethod Algorithm="http://www.w3.org/2001/04/xmlenc#sha256"/>
        <DigestValue>mA3fYB2pBnu1dkulS8pywiXhA6o3QN8fGyzrCvt+Xpg=</DigestValue>
      </Reference>
      <Reference URI="/xl/worksheets/sheet23.xml?ContentType=application/vnd.openxmlformats-officedocument.spreadsheetml.worksheet+xml">
        <DigestMethod Algorithm="http://www.w3.org/2001/04/xmlenc#sha256"/>
        <DigestValue>x49MfBEcDJO4yYP0mhGDeWbA42GN1ASg4vyDfJClShA=</DigestValue>
      </Reference>
      <Reference URI="/xl/worksheets/sheet24.xml?ContentType=application/vnd.openxmlformats-officedocument.spreadsheetml.worksheet+xml">
        <DigestMethod Algorithm="http://www.w3.org/2001/04/xmlenc#sha256"/>
        <DigestValue>GThEIosGAuHB6gVa0JBGIZqT6J9xFA0nuWugtybOFYo=</DigestValue>
      </Reference>
      <Reference URI="/xl/worksheets/sheet25.xml?ContentType=application/vnd.openxmlformats-officedocument.spreadsheetml.worksheet+xml">
        <DigestMethod Algorithm="http://www.w3.org/2001/04/xmlenc#sha256"/>
        <DigestValue>FK5iYrnRo30SX3n/aP2kBE099/ptsYuL9LOwAc5rRbM=</DigestValue>
      </Reference>
      <Reference URI="/xl/worksheets/sheet26.xml?ContentType=application/vnd.openxmlformats-officedocument.spreadsheetml.worksheet+xml">
        <DigestMethod Algorithm="http://www.w3.org/2001/04/xmlenc#sha256"/>
        <DigestValue>GqHaz8oavMr63C/SGPuhGIGBqbMkyRmY/lQQtz19jrs=</DigestValue>
      </Reference>
      <Reference URI="/xl/worksheets/sheet27.xml?ContentType=application/vnd.openxmlformats-officedocument.spreadsheetml.worksheet+xml">
        <DigestMethod Algorithm="http://www.w3.org/2001/04/xmlenc#sha256"/>
        <DigestValue>TMx/hP6IIFT2XHQcnwxFSCEVmNadSmId69KioIJgVu0=</DigestValue>
      </Reference>
      <Reference URI="/xl/worksheets/sheet28.xml?ContentType=application/vnd.openxmlformats-officedocument.spreadsheetml.worksheet+xml">
        <DigestMethod Algorithm="http://www.w3.org/2001/04/xmlenc#sha256"/>
        <DigestValue>4CkDIf5nZXh2HBbU+ti0rLew9zrnXS68bVQpfgJ4Muw=</DigestValue>
      </Reference>
      <Reference URI="/xl/worksheets/sheet29.xml?ContentType=application/vnd.openxmlformats-officedocument.spreadsheetml.worksheet+xml">
        <DigestMethod Algorithm="http://www.w3.org/2001/04/xmlenc#sha256"/>
        <DigestValue>HFq/h05Q2LIlIELto6u2OYt145b41xJW7IyOHmMKrVc=</DigestValue>
      </Reference>
      <Reference URI="/xl/worksheets/sheet3.xml?ContentType=application/vnd.openxmlformats-officedocument.spreadsheetml.worksheet+xml">
        <DigestMethod Algorithm="http://www.w3.org/2001/04/xmlenc#sha256"/>
        <DigestValue>B0zHB5g5Q1+9XrtaA2blL5FlXLKHnzPRGrbYCAb1nG8=</DigestValue>
      </Reference>
      <Reference URI="/xl/worksheets/sheet30.xml?ContentType=application/vnd.openxmlformats-officedocument.spreadsheetml.worksheet+xml">
        <DigestMethod Algorithm="http://www.w3.org/2001/04/xmlenc#sha256"/>
        <DigestValue>V8nTFQKXFRIjCypeef0YDRYNKRTkTS+bBh4V43RBISg=</DigestValue>
      </Reference>
      <Reference URI="/xl/worksheets/sheet4.xml?ContentType=application/vnd.openxmlformats-officedocument.spreadsheetml.worksheet+xml">
        <DigestMethod Algorithm="http://www.w3.org/2001/04/xmlenc#sha256"/>
        <DigestValue>qWxHRCoHJE0F66hUvgPY+eihxLq9dCtQkokxCj1dbOE=</DigestValue>
      </Reference>
      <Reference URI="/xl/worksheets/sheet5.xml?ContentType=application/vnd.openxmlformats-officedocument.spreadsheetml.worksheet+xml">
        <DigestMethod Algorithm="http://www.w3.org/2001/04/xmlenc#sha256"/>
        <DigestValue>BMCQHy8TkUbBbl4eGcFG8TC3je9DaUeNewtEoaGsjgQ=</DigestValue>
      </Reference>
      <Reference URI="/xl/worksheets/sheet6.xml?ContentType=application/vnd.openxmlformats-officedocument.spreadsheetml.worksheet+xml">
        <DigestMethod Algorithm="http://www.w3.org/2001/04/xmlenc#sha256"/>
        <DigestValue>ftG+rrQiSvD0u/Fzl5M7yh18bOGn0lDluoEGxUMiGkg=</DigestValue>
      </Reference>
      <Reference URI="/xl/worksheets/sheet7.xml?ContentType=application/vnd.openxmlformats-officedocument.spreadsheetml.worksheet+xml">
        <DigestMethod Algorithm="http://www.w3.org/2001/04/xmlenc#sha256"/>
        <DigestValue>lgAbP9bPXnX4BOHtX5SfoWAEZRM3xvBec0AxkbVnNDg=</DigestValue>
      </Reference>
      <Reference URI="/xl/worksheets/sheet8.xml?ContentType=application/vnd.openxmlformats-officedocument.spreadsheetml.worksheet+xml">
        <DigestMethod Algorithm="http://www.w3.org/2001/04/xmlenc#sha256"/>
        <DigestValue>QrvSu3rQo0n3LE1ckCyp8n+LwdFmhbTeK4vS/KHEuCo=</DigestValue>
      </Reference>
      <Reference URI="/xl/worksheets/sheet9.xml?ContentType=application/vnd.openxmlformats-officedocument.spreadsheetml.worksheet+xml">
        <DigestMethod Algorithm="http://www.w3.org/2001/04/xmlenc#sha256"/>
        <DigestValue>nnYeSG//X++gBsTO7MKGmmdKwJko/Ku9mMrXLa8cRmA=</DigestValue>
      </Reference>
    </Manifest>
    <SignatureProperties>
      <SignatureProperty Id="idSignatureTime" Target="#idPackageSignature">
        <mdssi:SignatureTime xmlns:mdssi="http://schemas.openxmlformats.org/package/2006/digital-signature">
          <mdssi:Format>YYYY-MM-DDThh:mm:ssTZD</mdssi:Format>
          <mdssi:Value>2024-01-31T09:59:51Z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2024-01-31T09:59:51Z</xd:SigningTime>
          <xd:SigningCertificate>
            <xd:Cert>
              <xd:CertDigest>
                <DigestMethod Algorithm="http://www.w3.org/2001/04/xmlenc#sha256"/>
                <DigestValue>6V1++79Qr/cLBXm7sWgQTCsAgEkJU8Qi3Wf6ZrbZ0bo=</DigestValue>
              </xd:CertDigest>
              <xd:IssuerSerial>
                <X509IssuerName>CN=NBG Class 2 INT Sub CA, DC=nbg, DC=ge</X509IssuerName>
                <X509SerialNumber>269717541753483415393526</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2024-01-22T09:05:10Z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609769e7-d5b9-4c9c-aa66-f9cb5e4ba9d2</vt:lpwstr>
  </property>
  <property fmtid="{D5CDD505-2E9C-101B-9397-08002B2CF9AE}" pid="13" name="MSIP_Label_706c7ad2-60a5-409e-8203-10f940b19acd_ContentBits">
    <vt:lpwstr>2</vt:lpwstr>
  </property>
</Properties>
</file>