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201_{58789030-C5A0-479E-BD69-A1E3F9856495}" xr6:coauthVersionLast="47" xr6:coauthVersionMax="47" xr10:uidLastSave="{00000000-0000-0000-0000-000000000000}"/>
  <bookViews>
    <workbookView xWindow="-110" yWindow="-110" windowWidth="19420" windowHeight="10420" tabRatio="919" firstSheet="20"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86" l="1"/>
  <c r="C15" i="86"/>
  <c r="C10" i="85"/>
  <c r="C19" i="85" s="1"/>
  <c r="B2" i="80" l="1"/>
  <c r="B1"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D29" i="83"/>
  <c r="I29" i="83" s="1"/>
  <c r="D8" i="83"/>
  <c r="I8" i="83" s="1"/>
  <c r="D7" i="83"/>
  <c r="I7" i="83" s="1"/>
  <c r="I9" i="83"/>
  <c r="I10" i="83"/>
  <c r="I11" i="83"/>
  <c r="I12" i="83"/>
  <c r="I13" i="83"/>
  <c r="I14" i="83"/>
  <c r="I15" i="83"/>
  <c r="I16" i="83"/>
  <c r="I17" i="83"/>
  <c r="I18" i="83"/>
  <c r="I19" i="83"/>
  <c r="I20" i="83"/>
  <c r="I21" i="83"/>
  <c r="I22" i="83"/>
  <c r="I23" i="83"/>
  <c r="I24" i="83"/>
  <c r="I25" i="83"/>
  <c r="I26" i="83"/>
  <c r="I27" i="83"/>
  <c r="I28" i="83"/>
  <c r="I30" i="83"/>
  <c r="I31" i="83"/>
  <c r="I32" i="83"/>
  <c r="I33" i="83"/>
  <c r="G21" i="80" l="1"/>
  <c r="G39" i="80" s="1"/>
  <c r="D22" i="82"/>
  <c r="E22" i="82"/>
  <c r="C22" i="82"/>
  <c r="I20" i="82" l="1"/>
  <c r="G14" i="74" l="1"/>
  <c r="F22" i="74"/>
  <c r="G9" i="74"/>
  <c r="H9" i="74" s="1"/>
  <c r="G10" i="74"/>
  <c r="H10" i="74" s="1"/>
  <c r="G11" i="74"/>
  <c r="G12" i="74"/>
  <c r="G13" i="74"/>
  <c r="G15" i="74"/>
  <c r="G16" i="74"/>
  <c r="G17" i="74"/>
  <c r="G18" i="74"/>
  <c r="G19" i="74"/>
  <c r="G20" i="74"/>
  <c r="G21" i="74"/>
  <c r="G8" i="74"/>
  <c r="D22" i="74"/>
  <c r="E22" i="74"/>
  <c r="C22" i="74"/>
  <c r="C37" i="69"/>
  <c r="C15" i="69"/>
  <c r="G22" i="74" l="1"/>
  <c r="E9" i="72"/>
  <c r="E10" i="72"/>
  <c r="E11" i="72"/>
  <c r="E12" i="72"/>
  <c r="E13" i="72"/>
  <c r="E14" i="72"/>
  <c r="E15" i="72"/>
  <c r="E16" i="72"/>
  <c r="E17" i="72"/>
  <c r="E18" i="72"/>
  <c r="E19" i="72"/>
  <c r="E20" i="72"/>
  <c r="E8" i="72"/>
  <c r="D14" i="62" l="1"/>
  <c r="C14" i="62"/>
  <c r="B2" i="71" l="1"/>
  <c r="F14" i="62"/>
  <c r="G14" i="62"/>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2" i="84" l="1"/>
  <c r="C12" i="84"/>
  <c r="D7" i="84"/>
  <c r="C7" i="84"/>
  <c r="C19" i="84" s="1"/>
  <c r="H34" i="83"/>
  <c r="G34" i="83"/>
  <c r="F34" i="83"/>
  <c r="E34" i="83"/>
  <c r="D34" i="83"/>
  <c r="C34" i="83"/>
  <c r="I23" i="82"/>
  <c r="I22" i="82"/>
  <c r="H21" i="82"/>
  <c r="G21" i="82"/>
  <c r="F21" i="82"/>
  <c r="E21" i="82"/>
  <c r="D21"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H22" i="81"/>
  <c r="I34" i="83"/>
  <c r="I21" i="82"/>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C7" i="37"/>
  <c r="H21" i="37" l="1"/>
  <c r="G21" i="37"/>
  <c r="J21" i="37"/>
  <c r="I21" i="37"/>
  <c r="F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H8" i="74" l="1"/>
  <c r="V7" i="64" l="1"/>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l="1"/>
  <c r="D54" i="53"/>
  <c r="F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H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C25" i="69"/>
</calcChain>
</file>

<file path=xl/sharedStrings.xml><?xml version="1.0" encoding="utf-8"?>
<sst xmlns="http://schemas.openxmlformats.org/spreadsheetml/2006/main" count="1517" uniqueCount="782">
  <si>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</si>
  <si>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</si>
  <si>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</si>
  <si>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</si>
  <si>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</si>
  <si>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</si>
  <si>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</si>
  <si>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</si>
  <si>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</si>
  <si>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</si>
  <si>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</si>
  <si>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</si>
  <si>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</si>
  <si>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</si>
  <si>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</si>
  <si>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</si>
  <si>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</si>
  <si>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</si>
  <si>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</si>
  <si>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</si>
  <si>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</si>
  <si>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</si>
  <si>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</si>
  <si>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</si>
  <si>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</si>
  <si>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</si>
  <si>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</si>
  <si>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</si>
  <si>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</si>
  <si>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</si>
  <si>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</si>
  <si>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</si>
  <si>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</si>
  <si>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</si>
  <si>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</si>
  <si>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</si>
  <si>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</si>
  <si>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</si>
  <si>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</si>
  <si>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</si>
  <si>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</si>
  <si>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</si>
  <si>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</si>
  <si>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</si>
  <si>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</si>
  <si>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</si>
  <si>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</si>
  <si>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</si>
  <si>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</si>
  <si>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</si>
  <si>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</si>
  <si>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</si>
  <si>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</si>
  <si>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</si>
  <si>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</si>
  <si>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</si>
  <si>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</si>
  <si>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</si>
  <si>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</si>
  <si>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</si>
  <si>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</si>
  <si>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</si>
  <si>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</si>
  <si>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</si>
  <si>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</si>
  <si>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</si>
  <si>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</si>
  <si>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</si>
  <si>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</si>
  <si>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</si>
  <si>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</si>
  <si>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</si>
  <si>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</si>
  <si>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</si>
  <si>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</si>
  <si>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</si>
  <si>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</si>
  <si>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</si>
  <si>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</si>
  <si>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</si>
  <si>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</si>
  <si>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</si>
  <si>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</si>
  <si>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</si>
  <si>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</si>
  <si>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</si>
  <si>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</si>
  <si>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</si>
  <si>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</si>
  <si>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</si>
  <si>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</si>
  <si>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</si>
  <si>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</si>
  <si>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</si>
  <si>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</si>
  <si>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</si>
  <si>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</si>
  <si>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</si>
  <si>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</si>
  <si>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</si>
  <si>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</si>
  <si>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</si>
  <si>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</si>
  <si>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</si>
  <si>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</si>
  <si>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</si>
  <si>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</si>
  <si>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</si>
  <si>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</si>
  <si>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</si>
  <si>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</si>
  <si>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</si>
  <si>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</si>
  <si>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</si>
  <si>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</si>
  <si>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</si>
  <si>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</si>
  <si>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</si>
  <si>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</si>
  <si>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</si>
  <si>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</si>
  <si>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</si>
  <si>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</si>
  <si>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</si>
  <si>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</si>
  <si>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</si>
  <si>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</si>
  <si>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</si>
  <si>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</si>
  <si>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</si>
  <si>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</si>
  <si>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</si>
  <si>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</si>
  <si>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</si>
  <si>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</si>
  <si>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</si>
  <si>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</si>
  <si>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</si>
  <si>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</si>
  <si>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</si>
  <si>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</si>
  <si>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</si>
  <si>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</si>
  <si>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</si>
  <si>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</si>
  <si>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</si>
  <si>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</si>
  <si>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</si>
  <si>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</si>
  <si>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</si>
  <si>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</si>
  <si>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</si>
  <si>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</si>
  <si>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</si>
  <si>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</si>
  <si>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</si>
  <si>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</si>
  <si>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</si>
  <si>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</si>
  <si>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</si>
  <si>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</si>
  <si>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</si>
  <si>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</si>
  <si>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</si>
  <si>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</si>
  <si>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</si>
  <si>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</si>
  <si>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</si>
  <si>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</si>
  <si>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</si>
  <si>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</si>
  <si>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</si>
  <si>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</si>
  <si>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</si>
  <si>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</si>
  <si>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</si>
  <si>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</si>
  <si>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</si>
  <si>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</si>
  <si>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</si>
  <si>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</si>
  <si>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</si>
  <si>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</si>
  <si>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</si>
  <si>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</si>
  <si>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</si>
  <si>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</si>
  <si>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</si>
  <si>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</si>
  <si>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</si>
  <si>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</si>
  <si>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</si>
  <si>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</si>
  <si>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</si>
  <si>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</si>
  <si>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</si>
  <si>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</si>
  <si>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</si>
  <si>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</si>
  <si>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</si>
  <si>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</si>
  <si>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</si>
  <si>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</si>
  <si>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</si>
  <si>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</si>
  <si>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</si>
  <si>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</si>
  <si>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</si>
  <si>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</si>
  <si>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</si>
  <si>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</si>
  <si>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</si>
  <si>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</si>
  <si>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</si>
  <si>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</si>
  <si>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</si>
  <si>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</si>
  <si>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</si>
  <si>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</si>
  <si>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</si>
  <si>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</si>
  <si>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</si>
  <si>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</si>
  <si>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</si>
  <si>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</si>
  <si>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</si>
  <si>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</si>
  <si>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</si>
  <si>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</si>
  <si>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</si>
  <si>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</si>
  <si>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</si>
  <si>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</si>
  <si>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</si>
  <si>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</si>
  <si>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</si>
  <si>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</si>
  <si>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</si>
  <si>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</si>
  <si>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</si>
  <si>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</si>
  <si>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</si>
  <si>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</si>
  <si>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</si>
  <si>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</si>
  <si>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</si>
  <si>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</si>
  <si>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</si>
  <si>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</si>
  <si>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</si>
  <si>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</si>
  <si>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</si>
  <si>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</si>
  <si>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</si>
  <si>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</si>
  <si>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</si>
  <si>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</si>
  <si>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</si>
  <si>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</si>
  <si>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</si>
  <si>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</si>
  <si>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</si>
  <si>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</si>
  <si>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</si>
  <si>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</si>
  <si>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</si>
  <si>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</si>
  <si>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</si>
  <si>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</si>
  <si>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</si>
  <si>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</si>
  <si>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</si>
  <si>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</si>
  <si>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</si>
  <si>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</si>
  <si>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</si>
  <si>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</si>
  <si>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</si>
  <si>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</si>
  <si>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</si>
  <si>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</si>
  <si>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</si>
  <si>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</si>
  <si>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</si>
  <si>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</si>
  <si>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</si>
  <si>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</si>
  <si>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</si>
  <si>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</si>
  <si>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</si>
  <si>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</si>
  <si>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</si>
  <si>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</si>
  <si>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</si>
  <si>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</si>
  <si>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</si>
  <si>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</si>
  <si>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</si>
  <si>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</si>
  <si>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</si>
  <si>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</si>
  <si>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</si>
  <si>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</si>
  <si>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</si>
  <si>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</si>
  <si>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</si>
  <si>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</si>
  <si>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</si>
  <si>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</si>
  <si>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</si>
  <si>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</si>
  <si>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</si>
  <si>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</si>
  <si>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</si>
  <si>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</si>
  <si>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</si>
  <si>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</si>
  <si>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</si>
  <si>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</si>
  <si>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</si>
  <si>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</si>
  <si>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</si>
  <si>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</si>
  <si>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</si>
  <si>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</si>
  <si>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</si>
  <si>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</si>
  <si>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</si>
  <si>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</si>
  <si>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</si>
  <si>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</si>
  <si>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</si>
  <si>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</si>
  <si>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</si>
  <si>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</si>
  <si>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</si>
  <si>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</si>
  <si>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</si>
  <si>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</si>
  <si>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</si>
  <si>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</si>
  <si>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</si>
  <si>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</si>
  <si>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</si>
  <si>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</si>
  <si>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</si>
  <si>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</si>
  <si>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</si>
  <si>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</si>
  <si>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</si>
  <si>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</si>
  <si>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</si>
  <si>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</si>
  <si>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</si>
  <si>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</si>
  <si>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</si>
  <si>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</si>
  <si>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</si>
  <si>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</si>
  <si>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</si>
  <si>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</si>
  <si>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</si>
  <si>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</si>
  <si>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</si>
  <si>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</si>
  <si>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</si>
  <si>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</si>
  <si>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</si>
  <si>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</si>
  <si>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</si>
  <si>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</si>
  <si>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</si>
  <si>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</si>
  <si>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</si>
  <si>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</si>
  <si>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</si>
  <si>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</si>
  <si>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</si>
  <si>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</si>
  <si>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</si>
  <si>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</si>
  <si>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</si>
  <si>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</si>
  <si>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</si>
  <si>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</si>
  <si>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</si>
  <si>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</si>
  <si>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</si>
  <si>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</si>
  <si>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</si>
  <si>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</si>
  <si>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</si>
  <si>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</si>
  <si>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</si>
  <si>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</si>
  <si>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</si>
  <si>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</si>
  <si>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</si>
  <si>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</si>
  <si>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</si>
  <si>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</si>
  <si>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</si>
  <si>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</si>
  <si>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</si>
  <si>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</si>
  <si>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</si>
  <si>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</si>
  <si>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</si>
  <si>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</si>
  <si>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</si>
  <si>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</si>
  <si>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</si>
  <si>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</si>
  <si>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</si>
  <si>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</si>
  <si>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</si>
  <si>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</si>
  <si>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</si>
  <si>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</si>
  <si>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</si>
  <si>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</si>
  <si>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</si>
  <si>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</si>
  <si>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</si>
  <si>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</si>
  <si>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</si>
  <si>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</si>
  <si>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</si>
  <si>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</si>
  <si>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</si>
  <si>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</si>
  <si>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</si>
  <si>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</si>
  <si>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</si>
  <si>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</si>
  <si>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</si>
  <si>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</si>
  <si>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</si>
  <si>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</si>
  <si>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</si>
  <si>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</si>
  <si>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</si>
  <si>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</si>
  <si>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</si>
  <si>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</si>
  <si>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</si>
  <si>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</si>
  <si>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</si>
  <si>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</si>
  <si>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</si>
  <si>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</si>
  <si>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</si>
  <si>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</si>
  <si>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</si>
  <si>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</si>
  <si>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</si>
  <si>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</si>
  <si>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</si>
  <si>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</si>
  <si>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</si>
  <si>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</si>
  <si>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</si>
  <si>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</si>
  <si>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</si>
  <si>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</si>
  <si>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</si>
  <si>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</si>
  <si>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</si>
  <si>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</si>
  <si>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</si>
  <si>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</si>
  <si>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</si>
  <si>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</si>
  <si>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</si>
  <si>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</si>
  <si>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</si>
  <si>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</si>
  <si>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</si>
  <si>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</si>
  <si>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</si>
  <si>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</si>
  <si>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</si>
  <si>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</si>
  <si>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</si>
  <si>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</si>
  <si>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</si>
  <si>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</si>
  <si>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</si>
  <si>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</si>
  <si>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</si>
  <si>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</si>
  <si>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</si>
  <si>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</si>
  <si>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</si>
  <si>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</si>
  <si>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</si>
  <si>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</si>
  <si>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</si>
  <si>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</si>
  <si>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</si>
  <si>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</si>
  <si>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</si>
  <si>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</si>
  <si>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</si>
  <si>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</si>
  <si>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</si>
  <si>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</si>
  <si>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</si>
  <si>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</si>
  <si>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</si>
  <si>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</si>
  <si>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</si>
  <si>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</si>
  <si>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</si>
  <si>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</si>
  <si>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</si>
  <si>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</si>
  <si>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</si>
  <si>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</si>
  <si>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</si>
  <si>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</si>
  <si>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</si>
  <si>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</si>
  <si>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</si>
  <si>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</si>
  <si>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</si>
  <si>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</si>
  <si>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</si>
  <si>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</si>
  <si>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</si>
  <si>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</si>
  <si>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</si>
  <si>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</si>
  <si>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</si>
  <si>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</si>
  <si>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</si>
  <si>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</si>
  <si>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</si>
  <si>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</si>
  <si>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</si>
  <si>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</si>
  <si>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</si>
  <si>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</si>
  <si>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</si>
  <si>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</si>
  <si>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</si>
  <si>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</si>
  <si>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</si>
  <si>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</si>
  <si>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</si>
  <si>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</si>
  <si>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</si>
  <si>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</si>
  <si>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</si>
  <si>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</si>
  <si>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</si>
  <si>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</si>
  <si>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</si>
  <si>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</si>
  <si>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</si>
  <si>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</si>
  <si>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</si>
  <si>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</si>
  <si>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</si>
  <si>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</si>
  <si>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</si>
  <si>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</si>
  <si>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</si>
  <si>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</si>
  <si>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</si>
  <si>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</si>
  <si>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</si>
  <si>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</si>
  <si>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</si>
  <si>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</si>
  <si>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</si>
  <si>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</si>
  <si>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</si>
  <si>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</si>
  <si>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</si>
  <si>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</si>
  <si>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</si>
  <si>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</si>
  <si>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</si>
  <si>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</si>
  <si>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</si>
  <si>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</si>
  <si>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</si>
  <si>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</si>
  <si>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</si>
  <si>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</si>
  <si>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</si>
  <si>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</si>
  <si>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</si>
  <si>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</si>
  <si>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</si>
  <si>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</si>
  <si>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</si>
  <si>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</si>
  <si>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</si>
  <si>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</si>
  <si>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</si>
  <si>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</si>
  <si>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</si>
  <si>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</si>
  <si>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</si>
  <si>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</si>
  <si>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</si>
  <si>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</si>
  <si>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</si>
  <si>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</si>
  <si>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</si>
  <si>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</si>
  <si>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</si>
  <si>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</si>
  <si>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</si>
  <si>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</si>
  <si>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</si>
  <si>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</si>
  <si>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</si>
  <si>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</si>
  <si>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</si>
  <si>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</si>
  <si>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</si>
  <si>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</si>
  <si>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</si>
  <si>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</si>
  <si>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</si>
  <si>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</si>
  <si>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</si>
  <si>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</si>
  <si>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</si>
  <si>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</si>
  <si>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</si>
  <si>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</si>
  <si>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</si>
  <si>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</si>
  <si>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</si>
  <si>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</si>
  <si>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</si>
  <si>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</si>
  <si>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</si>
  <si>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</si>
  <si>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</si>
  <si>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</si>
  <si>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</si>
  <si>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</si>
  <si>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</si>
  <si>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</si>
  <si>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</si>
  <si>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</si>
  <si>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</si>
  <si>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</si>
  <si>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</si>
  <si>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</si>
  <si>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</si>
  <si>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</si>
  <si>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</si>
  <si>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</si>
  <si>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</si>
  <si>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</si>
  <si>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</si>
  <si>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</si>
  <si>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</si>
  <si>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</si>
  <si>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</si>
  <si>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</si>
  <si>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</si>
  <si>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</si>
  <si>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</si>
  <si>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</si>
  <si>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</si>
  <si>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</si>
  <si>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</si>
  <si>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</si>
  <si>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</si>
  <si>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</si>
  <si>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</si>
  <si>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</si>
  <si>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</si>
  <si>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</si>
  <si>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</si>
  <si>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</si>
  <si>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</si>
  <si>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</si>
  <si>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</si>
  <si>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</si>
  <si>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</si>
  <si>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</si>
  <si>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</si>
  <si>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</si>
  <si>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</si>
  <si>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</si>
  <si>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</si>
  <si>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</si>
  <si>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</si>
  <si>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</si>
  <si>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</si>
  <si>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</si>
  <si>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</si>
  <si>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</si>
  <si>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</si>
  <si>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</si>
  <si>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</si>
  <si>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</si>
  <si>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</si>
  <si>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</si>
  <si>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</si>
  <si>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</si>
  <si>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</si>
  <si>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</si>
  <si>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</si>
  <si>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</si>
  <si>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</si>
  <si>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</si>
  <si>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</si>
  <si>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</si>
  <si>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</si>
  <si>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</si>
  <si>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</si>
  <si>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</si>
  <si>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</si>
  <si>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</si>
  <si>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</si>
  <si>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</si>
  <si>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</si>
  <si>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</si>
  <si>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</si>
  <si>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</si>
  <si>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</si>
  <si>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</si>
  <si>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</si>
  <si>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</si>
  <si>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</si>
  <si>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</si>
  <si>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</si>
  <si>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</si>
  <si>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</si>
  <si>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</si>
  <si>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 პაშა ბანკი საქართველო"</t>
  </si>
  <si>
    <t>ფარიდ მამმადოვი</t>
  </si>
  <si>
    <t>ნიკოლოზ შურღაია</t>
  </si>
  <si>
    <t>www.pashabank.ge</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</si>
  <si>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</si>
  <si>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</si>
  <si>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</si>
  <si>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</si>
  <si>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</si>
  <si>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</si>
  <si>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</si>
  <si>
    <t>გენერალური დირექტორი</t>
  </si>
  <si>
    <t>სელიმ ბერენტ</t>
  </si>
  <si>
    <t>ფინანსური დირექტორი</t>
  </si>
  <si>
    <t>ლევან ალადაშვილი</t>
  </si>
  <si>
    <t>რისკების დირექტორი</t>
  </si>
  <si>
    <t>გიორგი ჩანადირი</t>
  </si>
  <si>
    <t>ინფორმაციული ტექნოლოგიებისა და საოპერაციოს დირექტორი</t>
  </si>
  <si>
    <t>ღსს "პაშა ბანკი" (PASHA Bank OJSC) -</t>
  </si>
  <si>
    <t xml:space="preserve">არიფ პაშაევი </t>
  </si>
  <si>
    <t xml:space="preserve">არზუ ალიევა </t>
  </si>
  <si>
    <t xml:space="preserve">ლეილა ალიევა </t>
  </si>
  <si>
    <t>მირ ჯამალ პაშაევი</t>
  </si>
  <si>
    <t>ცხრილი 9 (Capital), N39</t>
  </si>
  <si>
    <t>ცხრილი 9 (Capital), N37</t>
  </si>
  <si>
    <t>ცხრილი 9 (Capital), N2</t>
  </si>
  <si>
    <t>ცხრილი 9 (Capital), N6</t>
  </si>
  <si>
    <t xml:space="preserve"> </t>
  </si>
  <si>
    <t xml:space="preserve">               -  </t>
  </si>
  <si>
    <t xml:space="preserve">                            -  </t>
  </si>
  <si>
    <t xml:space="preserve">                       -  </t>
  </si>
  <si>
    <t xml:space="preserve">                   -  </t>
  </si>
  <si>
    <t xml:space="preserve">                -   </t>
  </si>
  <si>
    <t xml:space="preserve">                             -   </t>
  </si>
  <si>
    <t xml:space="preserve">                          -   </t>
  </si>
  <si>
    <t xml:space="preserve">                              -   </t>
  </si>
  <si>
    <t xml:space="preserve">                        -   </t>
  </si>
  <si>
    <t xml:space="preserve">                                                 -   </t>
  </si>
  <si>
    <t xml:space="preserve">                    -   </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</si>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</sst>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d\,\ yyyy;@"/>
    <numFmt numFmtId="195" formatCode="_-* #,##0_р_._-;\-* #,##0_р_._-;_-* &quot;-&quot;??_р_._-;_-@_-"/>
    <numFmt numFmtId="196" formatCode="_(* #,##0.00_);_(* \(#,##0.00\);_(* \-??_);_(@_)"/>
    <numFmt numFmtId="197" formatCode="_([$€-2]* #,##0.00_);_([$€-2]* \(#,##0.00\);_([$€-2]* &quot;-&quot;??_)"/>
  </numFmts>
  <fonts count="13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sz val="10"/>
      <name val="Times New Roman"/>
      <family val="1"/>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b/>
      <i/>
      <sz val="10"/>
      <name val="Arial"/>
      <family val="2"/>
      <charset val="204"/>
    </font>
    <font>
      <sz val="11"/>
      <color rgb="FF000000"/>
      <name val="Calibri"/>
      <family val="2"/>
      <charset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s>
  <borders count="13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style="thin">
        <color indexed="64"/>
      </top>
      <bottom style="thin">
        <color indexed="64"/>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2191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9"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9"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3" fontId="2" fillId="75" borderId="87"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3" fontId="2" fillId="72" borderId="87" applyFont="0">
      <alignment horizontal="right" vertical="center"/>
      <protection locked="0"/>
    </xf>
    <xf numFmtId="0" fontId="68"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9"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9"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194" fontId="1" fillId="0" borderId="0"/>
    <xf numFmtId="43" fontId="1" fillId="0" borderId="0"/>
    <xf numFmtId="9" fontId="1" fillId="0" borderId="0"/>
    <xf numFmtId="166" fontId="1" fillId="0" borderId="0"/>
    <xf numFmtId="166" fontId="1" fillId="0" borderId="0" applyFont="0" applyFill="0" applyBorder="0" applyAlignment="0" applyProtection="0"/>
    <xf numFmtId="197" fontId="2" fillId="0" borderId="0" applyFont="0" applyFill="0" applyBorder="0" applyAlignment="0" applyProtection="0"/>
    <xf numFmtId="19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9" fillId="0" borderId="0" applyFont="0" applyFill="0" applyBorder="0" applyAlignment="0" applyProtection="0"/>
    <xf numFmtId="43" fontId="8" fillId="0" borderId="0" applyFont="0" applyFill="0" applyBorder="0" applyAlignment="0" applyProtection="0"/>
    <xf numFmtId="194" fontId="27" fillId="0" borderId="0"/>
    <xf numFmtId="44" fontId="8" fillId="0" borderId="0" applyFont="0" applyFill="0" applyBorder="0" applyAlignment="0" applyProtection="0"/>
    <xf numFmtId="38" fontId="130" fillId="0" borderId="46">
      <alignment vertical="center"/>
    </xf>
    <xf numFmtId="194" fontId="2" fillId="0" borderId="0" applyFont="0" applyFill="0" applyBorder="0" applyAlignment="0" applyProtection="0"/>
    <xf numFmtId="194" fontId="8" fillId="0" borderId="0" applyFont="0" applyFill="0" applyBorder="0" applyAlignment="0" applyProtection="0"/>
    <xf numFmtId="194" fontId="2" fillId="0" borderId="0"/>
    <xf numFmtId="194" fontId="8" fillId="0" borderId="0"/>
    <xf numFmtId="194" fontId="38" fillId="0" borderId="125" applyNumberFormat="0" applyAlignment="0">
      <alignment horizontal="right"/>
      <protection locked="0"/>
    </xf>
    <xf numFmtId="194" fontId="2" fillId="69" borderId="125" applyNumberFormat="0" applyFont="0" applyBorder="0" applyProtection="0">
      <alignment horizontal="center" vertical="center"/>
    </xf>
    <xf numFmtId="194" fontId="56" fillId="0" borderId="34" applyNumberFormat="0" applyAlignment="0" applyProtection="0">
      <alignment horizontal="left" vertical="center"/>
    </xf>
    <xf numFmtId="194" fontId="56" fillId="0" borderId="131">
      <alignment horizontal="left" vertical="center"/>
    </xf>
    <xf numFmtId="194" fontId="131" fillId="0" borderId="0"/>
    <xf numFmtId="194" fontId="132" fillId="0" borderId="0"/>
    <xf numFmtId="194" fontId="133" fillId="0" borderId="0"/>
    <xf numFmtId="194" fontId="134" fillId="0" borderId="0"/>
    <xf numFmtId="194" fontId="135" fillId="0" borderId="0"/>
    <xf numFmtId="194" fontId="136" fillId="0" borderId="0"/>
    <xf numFmtId="194" fontId="64" fillId="70" borderId="124" applyFont="0" applyBorder="0">
      <alignment horizontal="center" wrapText="1"/>
    </xf>
    <xf numFmtId="3" fontId="2" fillId="71" borderId="125" applyFont="0" applyProtection="0">
      <alignment horizontal="right" vertical="center"/>
    </xf>
    <xf numFmtId="9" fontId="2" fillId="71" borderId="125" applyFont="0" applyProtection="0">
      <alignment horizontal="right" vertical="center"/>
    </xf>
    <xf numFmtId="194" fontId="2" fillId="71" borderId="124" applyNumberFormat="0" applyFont="0" applyBorder="0" applyProtection="0">
      <alignment horizontal="left" vertical="center"/>
    </xf>
    <xf numFmtId="194" fontId="2" fillId="0" borderId="0">
      <alignment horizontal="center"/>
    </xf>
    <xf numFmtId="194" fontId="8" fillId="0" borderId="0">
      <alignment horizontal="center"/>
    </xf>
    <xf numFmtId="3" fontId="2" fillId="72" borderId="125" applyFont="0">
      <alignment horizontal="right" vertical="center"/>
      <protection locked="0"/>
    </xf>
    <xf numFmtId="194" fontId="2" fillId="0" borderId="0">
      <alignment horizontal="center"/>
    </xf>
    <xf numFmtId="194" fontId="8" fillId="0" borderId="0">
      <alignment horizontal="center"/>
    </xf>
    <xf numFmtId="194" fontId="8" fillId="0" borderId="0"/>
    <xf numFmtId="194" fontId="8" fillId="0" borderId="0"/>
    <xf numFmtId="194" fontId="8" fillId="0" borderId="0"/>
    <xf numFmtId="194" fontId="8" fillId="0" borderId="0"/>
    <xf numFmtId="194" fontId="8" fillId="0" borderId="0"/>
    <xf numFmtId="194" fontId="27" fillId="0" borderId="0"/>
    <xf numFmtId="194" fontId="8" fillId="0" borderId="0"/>
    <xf numFmtId="194" fontId="128" fillId="0" borderId="0"/>
    <xf numFmtId="194" fontId="8" fillId="0" borderId="0"/>
    <xf numFmtId="194" fontId="2" fillId="0" borderId="0"/>
    <xf numFmtId="194" fontId="29" fillId="0" borderId="0"/>
    <xf numFmtId="194" fontId="8" fillId="0" borderId="0"/>
    <xf numFmtId="194" fontId="8" fillId="0" borderId="0"/>
    <xf numFmtId="194" fontId="8" fillId="0" borderId="0"/>
    <xf numFmtId="3" fontId="2" fillId="75" borderId="125" applyFont="0">
      <alignment horizontal="right" vertical="center"/>
      <protection locked="0"/>
    </xf>
    <xf numFmtId="194" fontId="137" fillId="0" borderId="0"/>
    <xf numFmtId="0" fontId="2" fillId="71" borderId="124" applyNumberFormat="0" applyFont="0" applyBorder="0" applyProtection="0">
      <alignment horizontal="left" vertical="center"/>
    </xf>
    <xf numFmtId="9" fontId="128" fillId="0" borderId="0" applyFont="0" applyFill="0" applyBorder="0" applyAlignment="0" applyProtection="0"/>
    <xf numFmtId="0" fontId="2" fillId="69" borderId="125" applyNumberFormat="0" applyFont="0" applyBorder="0" applyProtection="0">
      <alignment horizontal="center" vertical="center"/>
    </xf>
    <xf numFmtId="0" fontId="64" fillId="70" borderId="124" applyFont="0" applyBorder="0">
      <alignment horizontal="center" wrapText="1"/>
    </xf>
    <xf numFmtId="194" fontId="2" fillId="0" borderId="0"/>
    <xf numFmtId="194" fontId="8" fillId="0" borderId="0"/>
    <xf numFmtId="3" fontId="2" fillId="70" borderId="125" applyFont="0">
      <alignment horizontal="right" vertical="center"/>
    </xf>
    <xf numFmtId="188" fontId="2" fillId="70" borderId="125" applyFont="0">
      <alignment horizontal="right" vertical="center"/>
    </xf>
    <xf numFmtId="194" fontId="27" fillId="0" borderId="0"/>
    <xf numFmtId="194" fontId="92" fillId="0" borderId="0"/>
    <xf numFmtId="194" fontId="2" fillId="0" borderId="0">
      <alignment horizontal="center" textRotation="90"/>
    </xf>
    <xf numFmtId="194" fontId="8" fillId="0" borderId="0">
      <alignment horizontal="center" textRotation="90"/>
    </xf>
    <xf numFmtId="197" fontId="8" fillId="0" borderId="0" applyFont="0" applyFill="0" applyBorder="0" applyAlignment="0" applyProtection="0"/>
    <xf numFmtId="196" fontId="138" fillId="0" borderId="0" applyBorder="0" applyProtection="0"/>
    <xf numFmtId="0" fontId="138" fillId="0" borderId="0"/>
    <xf numFmtId="196" fontId="138" fillId="0" borderId="0" applyBorder="0" applyProtection="0"/>
    <xf numFmtId="9" fontId="138" fillId="0" borderId="0" applyBorder="0" applyProtection="0"/>
    <xf numFmtId="0" fontId="2" fillId="0" borderId="0"/>
    <xf numFmtId="196" fontId="138" fillId="0" borderId="0" applyBorder="0" applyProtection="0"/>
    <xf numFmtId="0" fontId="8" fillId="0" borderId="0"/>
    <xf numFmtId="0" fontId="38" fillId="0" borderId="125" applyNumberFormat="0" applyAlignment="0">
      <alignment horizontal="right"/>
      <protection locked="0"/>
    </xf>
    <xf numFmtId="0" fontId="56" fillId="0" borderId="131">
      <alignment horizontal="left" vertical="center"/>
    </xf>
    <xf numFmtId="0" fontId="131" fillId="0" borderId="0"/>
    <xf numFmtId="0" fontId="132" fillId="0" borderId="0"/>
    <xf numFmtId="0" fontId="133" fillId="0" borderId="0"/>
    <xf numFmtId="0" fontId="134" fillId="0" borderId="0"/>
    <xf numFmtId="0" fontId="135" fillId="0" borderId="0"/>
    <xf numFmtId="0" fontId="136" fillId="0" borderId="0"/>
    <xf numFmtId="0" fontId="8" fillId="0" borderId="0">
      <alignment horizontal="center"/>
    </xf>
    <xf numFmtId="0" fontId="8" fillId="0" borderId="0">
      <alignment horizontal="center"/>
    </xf>
    <xf numFmtId="0" fontId="8" fillId="0" borderId="0"/>
    <xf numFmtId="0" fontId="8" fillId="0" borderId="0"/>
    <xf numFmtId="0" fontId="8" fillId="0" borderId="0"/>
    <xf numFmtId="0" fontId="8" fillId="0" borderId="0"/>
    <xf numFmtId="0" fontId="27" fillId="0" borderId="0"/>
    <xf numFmtId="0" fontId="128" fillId="0" borderId="0"/>
    <xf numFmtId="0" fontId="8" fillId="0" borderId="0"/>
    <xf numFmtId="0" fontId="29" fillId="0" borderId="0"/>
    <xf numFmtId="0" fontId="8" fillId="0" borderId="0"/>
    <xf numFmtId="0" fontId="8" fillId="0" borderId="0"/>
    <xf numFmtId="0" fontId="8" fillId="0" borderId="0"/>
    <xf numFmtId="0" fontId="137" fillId="0" borderId="0"/>
    <xf numFmtId="0" fontId="8" fillId="0" borderId="0"/>
    <xf numFmtId="0" fontId="8" fillId="0" borderId="0">
      <alignment horizontal="center" textRotation="90"/>
    </xf>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cellStyleXfs>
  <cellXfs count="82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98"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3" borderId="24" xfId="0" applyFont="1" applyFill="1" applyBorder="1" applyAlignment="1">
      <alignment vertical="center"/>
    </xf>
    <xf numFmtId="0" fontId="4" fillId="0" borderId="103"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4"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3"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1" xfId="0" applyFont="1" applyFill="1" applyBorder="1" applyAlignment="1">
      <alignment horizontal="left" vertical="center" wrapText="1"/>
    </xf>
    <xf numFmtId="0" fontId="4" fillId="0" borderId="103"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3"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3"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1"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3"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3"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1" xfId="0" applyNumberFormat="1" applyFont="1" applyFill="1" applyBorder="1" applyAlignment="1">
      <alignment horizontal="right" vertical="center" wrapText="1"/>
    </xf>
    <xf numFmtId="1" fontId="6" fillId="36" borderId="101"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9" fillId="0" borderId="103" xfId="0" applyFont="1" applyBorder="1" applyAlignment="1">
      <alignment horizontal="right" vertical="center" wrapText="1"/>
    </xf>
    <xf numFmtId="0" fontId="9" fillId="0" borderId="103"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10" fillId="0" borderId="21" xfId="0" applyFont="1" applyBorder="1" applyAlignment="1">
      <alignment horizontal="center"/>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3"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1"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3"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193" fontId="17" fillId="2" borderId="101" xfId="0" applyNumberFormat="1" applyFont="1" applyFill="1" applyBorder="1" applyAlignment="1" applyProtection="1">
      <alignment vertical="center"/>
      <protection locked="0"/>
    </xf>
    <xf numFmtId="193" fontId="9" fillId="2" borderId="101" xfId="0" applyNumberFormat="1" applyFont="1" applyFill="1" applyBorder="1" applyAlignment="1" applyProtection="1">
      <alignment vertical="center"/>
      <protection locked="0"/>
    </xf>
    <xf numFmtId="0" fontId="15" fillId="0" borderId="103"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10" fontId="4" fillId="0" borderId="101"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6" xfId="0" applyFont="1" applyFill="1" applyBorder="1" applyAlignment="1">
      <alignment wrapText="1"/>
    </xf>
    <xf numFmtId="0" fontId="4" fillId="3" borderId="107" xfId="0" applyFont="1" applyFill="1" applyBorder="1"/>
    <xf numFmtId="0" fontId="6" fillId="3" borderId="11" xfId="0" applyFont="1" applyFill="1" applyBorder="1" applyAlignment="1">
      <alignment horizontal="center" wrapText="1"/>
    </xf>
    <xf numFmtId="0" fontId="4" fillId="3" borderId="71" xfId="0" applyFont="1" applyFill="1" applyBorder="1"/>
    <xf numFmtId="0" fontId="4" fillId="3" borderId="80" xfId="0" applyFont="1" applyFill="1" applyBorder="1" applyAlignment="1">
      <alignment horizontal="center" vertical="center" wrapText="1"/>
    </xf>
    <xf numFmtId="0" fontId="4" fillId="0" borderId="103" xfId="0" applyFont="1" applyBorder="1"/>
    <xf numFmtId="0" fontId="6" fillId="0" borderId="103" xfId="0"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0" fontId="4" fillId="3" borderId="80" xfId="0" applyFont="1" applyFill="1" applyBorder="1"/>
    <xf numFmtId="0" fontId="6" fillId="0" borderId="25" xfId="0" applyFont="1" applyBorder="1"/>
    <xf numFmtId="169" fontId="28" fillId="37" borderId="104" xfId="20" applyBorder="1"/>
    <xf numFmtId="10" fontId="6" fillId="0" borderId="27" xfId="20961" applyNumberFormat="1" applyFont="1" applyBorder="1"/>
    <xf numFmtId="0" fontId="9" fillId="2" borderId="94"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193" fontId="17" fillId="2" borderId="95"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8" fillId="0" borderId="87" xfId="0" applyFont="1" applyFill="1" applyBorder="1" applyAlignment="1">
      <alignment horizontal="left"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8" fillId="0" borderId="87" xfId="0" applyFont="1" applyFill="1" applyBorder="1" applyAlignment="1">
      <alignment horizontal="left" vertical="center" indent="1"/>
    </xf>
    <xf numFmtId="0" fontId="116" fillId="79" borderId="87" xfId="0" applyFont="1" applyFill="1" applyBorder="1"/>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7"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25" fillId="0" borderId="103" xfId="0" applyFont="1" applyBorder="1" applyAlignment="1">
      <alignment horizontal="center"/>
    </xf>
    <xf numFmtId="0" fontId="124" fillId="0" borderId="87" xfId="0" applyFont="1" applyBorder="1" applyAlignment="1">
      <alignment horizontal="left" indent="2"/>
    </xf>
    <xf numFmtId="0" fontId="126" fillId="0" borderId="121" xfId="0" applyNumberFormat="1" applyFont="1" applyFill="1" applyBorder="1" applyAlignment="1">
      <alignment vertical="center" wrapText="1" readingOrder="1"/>
    </xf>
    <xf numFmtId="0" fontId="126" fillId="0" borderId="122" xfId="0" applyNumberFormat="1" applyFont="1" applyFill="1" applyBorder="1" applyAlignment="1">
      <alignment vertical="center" wrapText="1" readingOrder="1"/>
    </xf>
    <xf numFmtId="0" fontId="126" fillId="0" borderId="122" xfId="0" applyNumberFormat="1" applyFont="1" applyFill="1" applyBorder="1" applyAlignment="1">
      <alignment horizontal="left" vertical="center" wrapText="1" indent="1" readingOrder="1"/>
    </xf>
    <xf numFmtId="0" fontId="124" fillId="0" borderId="82" xfId="0" applyFont="1" applyBorder="1" applyAlignment="1">
      <alignment horizontal="left" indent="2"/>
    </xf>
    <xf numFmtId="0" fontId="126" fillId="0" borderId="123" xfId="0" applyNumberFormat="1" applyFont="1" applyFill="1" applyBorder="1" applyAlignment="1">
      <alignment vertical="center" wrapText="1" readingOrder="1"/>
    </xf>
    <xf numFmtId="0" fontId="124" fillId="0" borderId="87" xfId="0" applyFont="1" applyFill="1" applyBorder="1" applyAlignment="1">
      <alignment horizontal="left" indent="2"/>
    </xf>
    <xf numFmtId="0" fontId="127" fillId="0" borderId="87" xfId="0" applyNumberFormat="1" applyFont="1" applyFill="1" applyBorder="1" applyAlignment="1">
      <alignment vertical="center" wrapText="1" readingOrder="1"/>
    </xf>
    <xf numFmtId="0" fontId="0" fillId="0" borderId="7" xfId="0" applyBorder="1"/>
    <xf numFmtId="10" fontId="17" fillId="2" borderId="87" xfId="20961" applyNumberFormat="1" applyFont="1" applyFill="1" applyBorder="1" applyAlignment="1" applyProtection="1">
      <alignment vertical="center"/>
      <protection locked="0"/>
    </xf>
    <xf numFmtId="10" fontId="17" fillId="2" borderId="101" xfId="20961" applyNumberFormat="1" applyFont="1" applyFill="1" applyBorder="1" applyAlignment="1" applyProtection="1">
      <alignment vertical="center"/>
      <protection locked="0"/>
    </xf>
    <xf numFmtId="10" fontId="9" fillId="2" borderId="87" xfId="20961" applyNumberFormat="1" applyFont="1" applyFill="1" applyBorder="1" applyAlignment="1" applyProtection="1">
      <alignment vertical="center"/>
      <protection locked="0"/>
    </xf>
    <xf numFmtId="10" fontId="9" fillId="2" borderId="101"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0" fontId="4" fillId="0" borderId="27" xfId="20961" applyNumberFormat="1" applyFont="1" applyBorder="1" applyAlignment="1"/>
    <xf numFmtId="43" fontId="0" fillId="0" borderId="0" xfId="7" applyFont="1"/>
    <xf numFmtId="43" fontId="0" fillId="0" borderId="0" xfId="0" applyNumberFormat="1"/>
    <xf numFmtId="43" fontId="4" fillId="0" borderId="101" xfId="7" applyFont="1" applyFill="1" applyBorder="1" applyAlignment="1">
      <alignment horizontal="right" vertical="center" wrapText="1"/>
    </xf>
    <xf numFmtId="43" fontId="108" fillId="0" borderId="101"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0" fontId="112" fillId="78" borderId="87" xfId="20961" applyNumberFormat="1" applyFont="1" applyFill="1" applyBorder="1" applyAlignment="1" applyProtection="1">
      <alignment horizontal="right" vertical="center"/>
    </xf>
    <xf numFmtId="43" fontId="4" fillId="36" borderId="27" xfId="7" applyFont="1" applyFill="1" applyBorder="1"/>
    <xf numFmtId="193" fontId="4" fillId="0" borderId="0" xfId="0" applyNumberFormat="1" applyFont="1"/>
    <xf numFmtId="10" fontId="28" fillId="37" borderId="0" xfId="20961" applyNumberFormat="1" applyFont="1" applyFill="1" applyBorder="1"/>
    <xf numFmtId="10" fontId="9" fillId="0" borderId="87" xfId="20961" applyNumberFormat="1" applyFont="1" applyFill="1" applyBorder="1" applyAlignment="1" applyProtection="1">
      <alignment vertical="center"/>
      <protection locked="0"/>
    </xf>
    <xf numFmtId="43" fontId="116" fillId="0" borderId="0" xfId="0" applyNumberFormat="1" applyFont="1"/>
    <xf numFmtId="43" fontId="116" fillId="0" borderId="0" xfId="7" applyFont="1"/>
    <xf numFmtId="43" fontId="116" fillId="0" borderId="0" xfId="0" applyNumberFormat="1" applyFont="1" applyFill="1"/>
    <xf numFmtId="43" fontId="116" fillId="0" borderId="0" xfId="7" applyFont="1" applyFill="1"/>
    <xf numFmtId="43" fontId="116" fillId="0" borderId="0" xfId="0" applyNumberFormat="1" applyFont="1" applyBorder="1"/>
    <xf numFmtId="0" fontId="119" fillId="0" borderId="87" xfId="0" applyFont="1" applyFill="1" applyBorder="1" applyAlignment="1">
      <alignment horizontal="center" vertical="center" wrapText="1"/>
    </xf>
    <xf numFmtId="14" fontId="7" fillId="0" borderId="0" xfId="0" applyNumberFormat="1" applyFont="1" applyAlignment="1">
      <alignment horizontal="left"/>
    </xf>
    <xf numFmtId="0" fontId="9" fillId="0" borderId="103" xfId="0" applyFont="1" applyBorder="1" applyAlignment="1">
      <alignment vertical="center"/>
    </xf>
    <xf numFmtId="0" fontId="13" fillId="0" borderId="124" xfId="0" applyFont="1" applyBorder="1" applyAlignment="1">
      <alignment wrapText="1"/>
    </xf>
    <xf numFmtId="0" fontId="10" fillId="0" borderId="124" xfId="0" applyFont="1" applyBorder="1" applyAlignment="1">
      <alignment horizontal="center" vertical="center" wrapText="1"/>
    </xf>
    <xf numFmtId="0" fontId="10" fillId="0" borderId="126" xfId="0" applyFont="1" applyBorder="1" applyAlignment="1">
      <alignment horizontal="center" vertical="center" wrapText="1"/>
    </xf>
    <xf numFmtId="0" fontId="9" fillId="0" borderId="124" xfId="0" applyFont="1" applyBorder="1" applyAlignment="1">
      <alignment wrapText="1"/>
    </xf>
    <xf numFmtId="0" fontId="9" fillId="0" borderId="126" xfId="0" applyFont="1" applyBorder="1" applyAlignment="1"/>
    <xf numFmtId="0" fontId="9" fillId="0" borderId="126" xfId="0" applyFont="1" applyBorder="1" applyAlignment="1">
      <alignment wrapText="1"/>
    </xf>
    <xf numFmtId="0" fontId="9" fillId="0" borderId="127" xfId="0" applyFont="1" applyBorder="1" applyAlignment="1">
      <alignment wrapText="1"/>
    </xf>
    <xf numFmtId="9" fontId="4" fillId="0" borderId="127" xfId="20961" applyFont="1" applyBorder="1" applyAlignment="1"/>
    <xf numFmtId="0" fontId="4" fillId="0" borderId="127" xfId="0" applyFont="1" applyBorder="1" applyAlignment="1"/>
    <xf numFmtId="10" fontId="4" fillId="0" borderId="126" xfId="20961" applyNumberFormat="1" applyFont="1" applyBorder="1" applyAlignment="1"/>
    <xf numFmtId="0" fontId="9" fillId="0" borderId="128" xfId="0" applyFont="1" applyBorder="1" applyAlignment="1">
      <alignment vertical="center"/>
    </xf>
    <xf numFmtId="0" fontId="13" fillId="0" borderId="129" xfId="0" applyFont="1" applyBorder="1" applyAlignment="1">
      <alignment wrapText="1"/>
    </xf>
    <xf numFmtId="10" fontId="4" fillId="0" borderId="130" xfId="20961" applyNumberFormat="1" applyFont="1" applyBorder="1" applyAlignment="1"/>
    <xf numFmtId="0" fontId="13" fillId="0" borderId="126" xfId="0" applyFont="1" applyBorder="1" applyAlignment="1">
      <alignment wrapText="1"/>
    </xf>
    <xf numFmtId="14" fontId="4" fillId="0" borderId="0" xfId="0" applyNumberFormat="1" applyFont="1" applyAlignment="1">
      <alignment horizontal="left"/>
    </xf>
    <xf numFmtId="164" fontId="116" fillId="0" borderId="87" xfId="7" applyNumberFormat="1" applyFont="1" applyBorder="1"/>
    <xf numFmtId="164" fontId="119" fillId="0" borderId="87" xfId="7" applyNumberFormat="1" applyFont="1" applyBorder="1"/>
    <xf numFmtId="14" fontId="116" fillId="0" borderId="0" xfId="0" applyNumberFormat="1" applyFont="1" applyAlignment="1">
      <alignment horizontal="left"/>
    </xf>
    <xf numFmtId="164" fontId="116" fillId="0" borderId="87" xfId="7" applyNumberFormat="1" applyFont="1" applyFill="1" applyBorder="1"/>
    <xf numFmtId="164" fontId="115" fillId="36" borderId="87" xfId="7" applyNumberFormat="1" applyFont="1" applyFill="1" applyBorder="1"/>
    <xf numFmtId="164" fontId="119" fillId="0" borderId="87" xfId="7" applyNumberFormat="1" applyFont="1" applyFill="1" applyBorder="1"/>
    <xf numFmtId="0" fontId="4" fillId="0" borderId="125" xfId="0" applyFont="1" applyBorder="1" applyAlignment="1">
      <alignment horizontal="center"/>
    </xf>
    <xf numFmtId="0" fontId="6" fillId="3" borderId="0" xfId="0" applyFont="1" applyFill="1" applyAlignment="1">
      <alignment horizontal="center" wrapText="1"/>
    </xf>
    <xf numFmtId="0" fontId="4" fillId="3" borderId="0" xfId="0" applyFont="1" applyFill="1" applyAlignment="1">
      <alignment horizontal="center"/>
    </xf>
    <xf numFmtId="0" fontId="4" fillId="0" borderId="125" xfId="0" applyFont="1" applyBorder="1" applyAlignment="1">
      <alignment wrapText="1"/>
    </xf>
    <xf numFmtId="164" fontId="4" fillId="0" borderId="125" xfId="7" applyNumberFormat="1" applyFont="1" applyBorder="1"/>
    <xf numFmtId="164" fontId="4" fillId="0" borderId="126" xfId="7" applyNumberFormat="1" applyFont="1" applyBorder="1"/>
    <xf numFmtId="0" fontId="14" fillId="0" borderId="125" xfId="0" applyFont="1" applyBorder="1" applyAlignment="1">
      <alignment horizontal="left" wrapText="1" indent="2"/>
    </xf>
    <xf numFmtId="0" fontId="14" fillId="0" borderId="125" xfId="0" applyFont="1" applyBorder="1" applyAlignment="1">
      <alignment horizontal="left"/>
    </xf>
    <xf numFmtId="169" fontId="28" fillId="37" borderId="125" xfId="20" applyBorder="1"/>
    <xf numFmtId="0" fontId="4" fillId="0" borderId="125" xfId="0" applyFont="1" applyBorder="1"/>
    <xf numFmtId="164" fontId="4" fillId="0" borderId="125" xfId="7" applyNumberFormat="1" applyFont="1" applyBorder="1" applyAlignment="1">
      <alignment vertical="center"/>
    </xf>
    <xf numFmtId="0" fontId="6" fillId="0" borderId="125" xfId="0" applyFont="1" applyBorder="1"/>
    <xf numFmtId="164" fontId="6" fillId="0" borderId="126" xfId="7" applyNumberFormat="1" applyFont="1" applyBorder="1"/>
    <xf numFmtId="0" fontId="6" fillId="3" borderId="0" xfId="0" applyFont="1" applyFill="1" applyAlignment="1">
      <alignment horizontal="center"/>
    </xf>
    <xf numFmtId="164" fontId="4" fillId="0" borderId="125" xfId="7" applyNumberFormat="1" applyFont="1" applyFill="1" applyBorder="1"/>
    <xf numFmtId="164" fontId="4" fillId="0" borderId="125" xfId="7" applyNumberFormat="1" applyFont="1" applyFill="1" applyBorder="1" applyAlignment="1">
      <alignment vertical="center"/>
    </xf>
    <xf numFmtId="0" fontId="4" fillId="3" borderId="0" xfId="0" applyFont="1" applyFill="1"/>
    <xf numFmtId="164" fontId="116" fillId="0" borderId="87" xfId="7" applyNumberFormat="1" applyFont="1" applyBorder="1" applyAlignment="1">
      <alignment horizontal="left" indent="1"/>
    </xf>
    <xf numFmtId="164" fontId="116" fillId="80" borderId="87" xfId="7" applyNumberFormat="1" applyFont="1" applyFill="1" applyBorder="1"/>
    <xf numFmtId="4" fontId="116" fillId="0" borderId="0" xfId="0" applyNumberFormat="1" applyFont="1"/>
    <xf numFmtId="194" fontId="4" fillId="82" borderId="131" xfId="21414" applyFont="1" applyFill="1" applyBorder="1" applyAlignment="1">
      <alignment vertical="center"/>
    </xf>
    <xf numFmtId="194" fontId="4" fillId="82" borderId="132" xfId="21414" applyFont="1" applyFill="1" applyBorder="1" applyAlignment="1">
      <alignment vertical="center"/>
    </xf>
    <xf numFmtId="169" fontId="28" fillId="37" borderId="0" xfId="20" applyBorder="1"/>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82" borderId="131" xfId="7" applyNumberFormat="1" applyFont="1" applyFill="1" applyBorder="1" applyAlignment="1">
      <alignment vertical="center"/>
    </xf>
    <xf numFmtId="164" fontId="4" fillId="0" borderId="125" xfId="7" applyNumberFormat="1" applyFont="1" applyFill="1" applyBorder="1" applyAlignment="1">
      <alignment vertical="center"/>
    </xf>
    <xf numFmtId="164" fontId="4" fillId="0" borderId="124" xfId="7" applyNumberFormat="1" applyFont="1" applyFill="1" applyBorder="1" applyAlignment="1">
      <alignment vertical="center"/>
    </xf>
    <xf numFmtId="164" fontId="4" fillId="0" borderId="126"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133" xfId="7" applyNumberFormat="1" applyFont="1" applyFill="1" applyBorder="1" applyAlignment="1">
      <alignment vertical="center"/>
    </xf>
    <xf numFmtId="194" fontId="4" fillId="82" borderId="0" xfId="21414" applyFont="1" applyFill="1" applyBorder="1" applyAlignment="1">
      <alignment vertical="center"/>
    </xf>
    <xf numFmtId="169" fontId="28" fillId="37" borderId="61" xfId="20" applyBorder="1"/>
    <xf numFmtId="164" fontId="4" fillId="0" borderId="30" xfId="21414" applyNumberFormat="1" applyFont="1" applyFill="1" applyBorder="1" applyAlignment="1">
      <alignment vertical="center"/>
    </xf>
    <xf numFmtId="164" fontId="4" fillId="0" borderId="21" xfId="21414" applyNumberFormat="1" applyFont="1" applyFill="1" applyBorder="1" applyAlignment="1">
      <alignment vertical="center"/>
    </xf>
    <xf numFmtId="169" fontId="28" fillId="37" borderId="134" xfId="20" applyBorder="1"/>
    <xf numFmtId="169" fontId="28" fillId="37" borderId="135" xfId="20" applyBorder="1"/>
    <xf numFmtId="169" fontId="28" fillId="37" borderId="136" xfId="20" applyBorder="1"/>
    <xf numFmtId="169" fontId="28" fillId="37" borderId="34" xfId="20" applyBorder="1"/>
    <xf numFmtId="10" fontId="4" fillId="0" borderId="81" xfId="20961" applyNumberFormat="1" applyFont="1" applyFill="1" applyBorder="1" applyAlignment="1">
      <alignment vertical="center"/>
    </xf>
    <xf numFmtId="10" fontId="4" fillId="0" borderId="97" xfId="20961" applyNumberFormat="1" applyFont="1" applyFill="1" applyBorder="1" applyAlignment="1">
      <alignment vertical="center"/>
    </xf>
    <xf numFmtId="164" fontId="4" fillId="0" borderId="134" xfId="7" applyNumberFormat="1" applyFont="1" applyFill="1" applyBorder="1" applyAlignment="1">
      <alignment vertical="center"/>
    </xf>
    <xf numFmtId="164" fontId="0" fillId="0" borderId="125" xfId="7" applyNumberFormat="1" applyFont="1" applyBorder="1"/>
    <xf numFmtId="164" fontId="4" fillId="0" borderId="131" xfId="7" applyNumberFormat="1" applyFont="1" applyFill="1" applyBorder="1" applyAlignment="1">
      <alignment vertical="center"/>
    </xf>
    <xf numFmtId="164" fontId="4" fillId="0" borderId="132" xfId="7" applyNumberFormat="1" applyFont="1" applyFill="1" applyBorder="1" applyAlignment="1">
      <alignment vertical="center"/>
    </xf>
    <xf numFmtId="164" fontId="119" fillId="0" borderId="125" xfId="7" applyNumberFormat="1" applyFont="1" applyBorder="1" applyAlignment="1"/>
    <xf numFmtId="164" fontId="116" fillId="0" borderId="125" xfId="7" applyNumberFormat="1" applyFont="1" applyBorder="1" applyAlignment="1"/>
    <xf numFmtId="164" fontId="116" fillId="0" borderId="87" xfId="7" applyNumberFormat="1" applyFont="1" applyBorder="1" applyAlignment="1">
      <alignment horizontal="center" vertical="center"/>
    </xf>
    <xf numFmtId="164" fontId="115" fillId="0" borderId="87" xfId="7" applyNumberFormat="1" applyFont="1" applyFill="1" applyBorder="1" applyAlignment="1">
      <alignment horizontal="left" vertical="center"/>
    </xf>
    <xf numFmtId="10" fontId="9" fillId="2" borderId="26" xfId="20961" applyNumberFormat="1" applyFont="1" applyFill="1" applyBorder="1" applyAlignment="1" applyProtection="1">
      <alignment vertical="center"/>
      <protection locked="0"/>
    </xf>
    <xf numFmtId="164" fontId="116" fillId="0" borderId="87" xfId="7" applyNumberFormat="1" applyFont="1" applyBorder="1" applyAlignment="1"/>
    <xf numFmtId="164" fontId="118" fillId="0" borderId="87" xfId="7" applyNumberFormat="1" applyFont="1" applyFill="1" applyBorder="1" applyAlignment="1">
      <alignment horizontal="left" vertical="center"/>
    </xf>
    <xf numFmtId="43" fontId="0" fillId="0" borderId="0" xfId="7" applyFont="1"/>
    <xf numFmtId="0" fontId="4" fillId="82" borderId="131" xfId="0" applyFont="1" applyFill="1" applyBorder="1" applyAlignment="1">
      <alignment vertical="center"/>
    </xf>
    <xf numFmtId="0" fontId="4" fillId="82" borderId="127" xfId="0" applyFont="1" applyFill="1" applyBorder="1" applyAlignment="1">
      <alignment vertical="center"/>
    </xf>
    <xf numFmtId="164" fontId="4" fillId="0" borderId="72" xfId="7" applyNumberFormat="1" applyFont="1" applyFill="1" applyBorder="1" applyAlignment="1">
      <alignment vertical="center"/>
    </xf>
    <xf numFmtId="164" fontId="4" fillId="82" borderId="131" xfId="7" applyNumberFormat="1" applyFont="1" applyFill="1" applyBorder="1" applyAlignment="1">
      <alignment vertical="center"/>
    </xf>
    <xf numFmtId="164" fontId="4" fillId="82" borderId="127" xfId="7" applyNumberFormat="1" applyFont="1" applyFill="1" applyBorder="1" applyAlignment="1">
      <alignment vertical="center"/>
    </xf>
    <xf numFmtId="164" fontId="4" fillId="0" borderId="125" xfId="7" applyNumberFormat="1" applyFont="1" applyFill="1" applyBorder="1" applyAlignment="1">
      <alignment vertical="center"/>
    </xf>
    <xf numFmtId="164" fontId="4" fillId="0" borderId="124" xfId="7" applyNumberFormat="1" applyFont="1" applyFill="1" applyBorder="1" applyAlignment="1">
      <alignment vertical="center"/>
    </xf>
    <xf numFmtId="164" fontId="4" fillId="0" borderId="126"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0" fontId="4" fillId="0" borderId="81" xfId="20961" applyNumberFormat="1" applyFont="1" applyFill="1" applyBorder="1" applyAlignment="1">
      <alignment vertical="center"/>
    </xf>
    <xf numFmtId="10" fontId="4" fillId="0" borderId="97" xfId="20961" applyNumberFormat="1" applyFont="1" applyFill="1" applyBorder="1" applyAlignment="1">
      <alignment vertical="center"/>
    </xf>
    <xf numFmtId="164" fontId="4" fillId="0" borderId="28" xfId="7" applyNumberFormat="1" applyFont="1" applyFill="1" applyBorder="1" applyAlignment="1">
      <alignment vertical="center"/>
    </xf>
    <xf numFmtId="164" fontId="0" fillId="0" borderId="125" xfId="7" applyNumberFormat="1" applyFont="1" applyBorder="1"/>
    <xf numFmtId="0" fontId="116" fillId="0" borderId="0" xfId="0" applyFont="1" applyAlignment="1">
      <alignment vertical="center"/>
    </xf>
    <xf numFmtId="164" fontId="119" fillId="0" borderId="87" xfId="7" applyNumberFormat="1" applyFont="1" applyBorder="1" applyAlignment="1">
      <alignment vertical="center"/>
    </xf>
    <xf numFmtId="164" fontId="116" fillId="0" borderId="87" xfId="7" applyNumberFormat="1" applyFont="1" applyBorder="1" applyAlignment="1">
      <alignment vertical="center"/>
    </xf>
    <xf numFmtId="0" fontId="116" fillId="0" borderId="0" xfId="0" applyFont="1" applyFill="1" applyAlignment="1">
      <alignment vertical="center"/>
    </xf>
    <xf numFmtId="0" fontId="115" fillId="0" borderId="87" xfId="0" applyFont="1" applyFill="1" applyBorder="1" applyAlignment="1">
      <alignment horizontal="left" indent="2"/>
    </xf>
    <xf numFmtId="0" fontId="116" fillId="0" borderId="87" xfId="0" applyFont="1" applyFill="1" applyBorder="1" applyAlignment="1">
      <alignment horizontal="left"/>
    </xf>
    <xf numFmtId="0" fontId="116" fillId="0" borderId="87" xfId="0" applyFont="1" applyFill="1" applyBorder="1" applyAlignment="1"/>
    <xf numFmtId="164" fontId="119" fillId="0" borderId="7" xfId="7" applyNumberFormat="1" applyFont="1" applyBorder="1" applyAlignment="1"/>
    <xf numFmtId="164" fontId="116" fillId="0" borderId="87" xfId="7" applyNumberFormat="1" applyFont="1" applyFill="1" applyBorder="1" applyAlignment="1"/>
    <xf numFmtId="164" fontId="116" fillId="81" borderId="87" xfId="7" applyNumberFormat="1" applyFont="1" applyFill="1" applyBorder="1" applyAlignment="1"/>
    <xf numFmtId="164" fontId="116" fillId="0" borderId="87" xfId="7" applyNumberFormat="1" applyFont="1" applyFill="1" applyBorder="1" applyAlignment="1">
      <alignment vertical="top" wrapText="1"/>
    </xf>
    <xf numFmtId="164" fontId="116" fillId="0" borderId="87" xfId="7" applyNumberFormat="1" applyFont="1" applyFill="1" applyBorder="1" applyAlignment="1">
      <alignment wrapText="1"/>
    </xf>
    <xf numFmtId="10" fontId="124" fillId="0" borderId="87" xfId="20961" applyNumberFormat="1" applyFont="1" applyBorder="1"/>
    <xf numFmtId="10" fontId="124" fillId="0" borderId="82" xfId="20961" applyNumberFormat="1" applyFont="1" applyBorder="1"/>
    <xf numFmtId="43" fontId="124" fillId="0" borderId="87" xfId="7" applyFont="1" applyBorder="1"/>
    <xf numFmtId="43" fontId="124" fillId="0" borderId="82" xfId="7" applyFont="1" applyBorder="1"/>
    <xf numFmtId="164" fontId="124" fillId="0" borderId="87" xfId="7" applyNumberFormat="1" applyFont="1" applyBorder="1"/>
    <xf numFmtId="164" fontId="124" fillId="0" borderId="82" xfId="7" applyNumberFormat="1" applyFont="1" applyBorder="1"/>
    <xf numFmtId="0" fontId="126" fillId="0" borderId="122" xfId="0" applyNumberFormat="1" applyFont="1" applyFill="1" applyBorder="1" applyAlignment="1">
      <alignment horizontal="left" vertical="center" indent="1" readingOrder="1"/>
    </xf>
    <xf numFmtId="164" fontId="116" fillId="0" borderId="87" xfId="7" applyNumberFormat="1" applyFont="1" applyFill="1" applyBorder="1" applyAlignment="1">
      <alignment horizontal="left" indent="1"/>
    </xf>
    <xf numFmtId="0" fontId="116" fillId="0" borderId="87" xfId="0" applyFont="1" applyFill="1" applyBorder="1" applyAlignment="1">
      <alignment horizont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25" xfId="0" applyFont="1" applyBorder="1" applyAlignment="1">
      <alignment wrapText="1"/>
    </xf>
    <xf numFmtId="0" fontId="4" fillId="0" borderId="126" xfId="0" applyFont="1" applyBorder="1" applyAlignment="1"/>
    <xf numFmtId="0" fontId="10" fillId="0" borderId="124"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5"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93" xfId="0" applyFont="1" applyFill="1" applyBorder="1" applyAlignment="1">
      <alignment horizontal="center" vertical="center" wrapText="1"/>
    </xf>
    <xf numFmtId="194" fontId="4" fillId="0" borderId="68" xfId="21414" applyFont="1" applyFill="1" applyBorder="1" applyAlignment="1">
      <alignment horizontal="center" vertical="center" wrapText="1"/>
    </xf>
    <xf numFmtId="194" fontId="4" fillId="0" borderId="61" xfId="21414" applyFont="1" applyFill="1" applyBorder="1" applyAlignment="1">
      <alignment horizontal="center" vertical="center" wrapText="1"/>
    </xf>
    <xf numFmtId="194" fontId="4" fillId="0" borderId="93" xfId="21414"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6" xfId="0" applyFont="1" applyBorder="1" applyAlignment="1">
      <alignment horizontal="center" vertical="center" wrapText="1"/>
    </xf>
    <xf numFmtId="0" fontId="118" fillId="0" borderId="108"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2"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8" fillId="0" borderId="115"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100" xfId="0" applyFont="1" applyFill="1" applyBorder="1" applyAlignment="1">
      <alignment horizontal="center" vertical="center" wrapText="1"/>
    </xf>
    <xf numFmtId="0" fontId="119" fillId="0" borderId="110"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wrapText="1"/>
    </xf>
    <xf numFmtId="0" fontId="123" fillId="0" borderId="83" xfId="0" applyFont="1" applyFill="1" applyBorder="1" applyAlignment="1">
      <alignment horizontal="center" vertical="center"/>
    </xf>
    <xf numFmtId="0" fontId="123" fillId="0" borderId="110"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10"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117"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100" xfId="0" applyFont="1" applyFill="1" applyBorder="1" applyAlignment="1">
      <alignment horizontal="center" vertical="center"/>
    </xf>
    <xf numFmtId="0" fontId="116" fillId="0" borderId="110"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100"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100" xfId="0" applyFont="1" applyBorder="1" applyAlignment="1">
      <alignment horizontal="center" vertical="top" wrapText="1"/>
    </xf>
    <xf numFmtId="0" fontId="116" fillId="0" borderId="110"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125" xfId="0" applyFont="1" applyBorder="1" applyAlignment="1">
      <alignment horizontal="center" vertical="top" wrapText="1"/>
    </xf>
    <xf numFmtId="0" fontId="118" fillId="0" borderId="119" xfId="0" applyNumberFormat="1" applyFont="1" applyFill="1" applyBorder="1" applyAlignment="1">
      <alignment horizontal="left" vertical="top" wrapText="1"/>
    </xf>
    <xf numFmtId="0" fontId="118" fillId="0" borderId="120" xfId="0" applyNumberFormat="1" applyFont="1" applyFill="1" applyBorder="1" applyAlignment="1">
      <alignment horizontal="left" vertical="top" wrapText="1"/>
    </xf>
    <xf numFmtId="0" fontId="125" fillId="0" borderId="87" xfId="0" applyFont="1" applyBorder="1" applyAlignment="1">
      <alignment horizontal="center" vertical="center"/>
    </xf>
    <xf numFmtId="0" fontId="124" fillId="0" borderId="87" xfId="0" applyFont="1" applyBorder="1" applyAlignment="1">
      <alignment horizontal="center" vertical="center" wrapText="1"/>
    </xf>
    <xf numFmtId="0" fontId="124" fillId="0" borderId="82" xfId="0" applyFont="1" applyBorder="1" applyAlignment="1">
      <alignment horizontal="center" vertical="center" wrapText="1"/>
    </xf>
  </cellXfs>
  <cellStyles count="21918">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15" xfId="21415" xr:uid="{644A2B38-F248-4377-ABAF-ED8611B21304}"/>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2 5" xfId="21480" xr:uid="{3973AB7C-C59E-44CE-AFF3-6402542985D1}"/>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4 4" xfId="21485" xr:uid="{A29BF523-105D-4502-8FC3-CE62394D683A}"/>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11" xfId="21418" xr:uid="{6FDF96DB-F960-404F-B43D-FAF43EBC0648}"/>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17" xfId="21417" xr:uid="{0C90EFBA-01D7-4C15-A1C4-C99C09EA4B3A}"/>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 7" xfId="21482" xr:uid="{B4783F71-ED91-4E80-8943-9AF93C236359}"/>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85" xfId="21420" xr:uid="{144F8A6E-9FE7-4369-BB39-60C686B00492}"/>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 5" xfId="21421" xr:uid="{85D0A410-51E2-4AD0-9097-4FAC967931F9}"/>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 6" xfId="21422" xr:uid="{02233A1A-A489-46D6-A904-1A9D5B60EFB9}"/>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 5" xfId="21423" xr:uid="{E8F3B595-090A-4B51-9BAC-D21A1FE046E5}"/>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12" xfId="21424" xr:uid="{4F6C9993-0B88-4058-AB8B-48AC9D542C69}"/>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omma0 - Style3 2" xfId="21425" xr:uid="{50505C38-A4C3-4782-B3E4-8A0A1EA504FB}"/>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3 3" xfId="21426" xr:uid="{B3645EA2-385D-4BC9-8A69-F022F98A2C23}"/>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LTA 8" xfId="21427" xr:uid="{E4700FC7-E61D-40FB-BCF9-6B3ABA90927A}"/>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2 2" xfId="21429" xr:uid="{C2B6D32D-201A-46BE-BC26-D3B5F01CDD84}"/>
    <cellStyle name="Euro 2 3" xfId="21479" xr:uid="{7449894D-F950-4B3C-8D1E-8EA4E4402DA8}"/>
    <cellStyle name="Euro 3" xfId="9155" xr:uid="{00000000-0005-0000-0000-00000B240000}"/>
    <cellStyle name="Euro 4" xfId="21428" xr:uid="{0D1EC3EC-8AD0-43E0-B8A6-196B602475F8}"/>
    <cellStyle name="Euro 5" xfId="21419" xr:uid="{2B73DD5C-14F9-4253-B4EC-010617BA4DB4}"/>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2 2" xfId="21431" xr:uid="{4FBD438D-B85D-4972-952D-C37E680CDA72}"/>
    <cellStyle name="Flag 2 3" xfId="21486" xr:uid="{8C877931-22C5-47FE-974C-B3BB8CA20F21}"/>
    <cellStyle name="Flag 3" xfId="9184" xr:uid="{00000000-0005-0000-0000-000028240000}"/>
    <cellStyle name="Flag 4" xfId="21430" xr:uid="{543BD706-A666-4E1C-A8D0-EC722A56B785}"/>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12" xfId="21432" xr:uid="{A764A7F7-F10F-45FB-95AC-30DB49BF81A6}"/>
    <cellStyle name="Gia's 13" xfId="21487" xr:uid="{D8BBDFAA-D006-4151-AE56-67AE54D1F4DB}"/>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3" xfId="21433" xr:uid="{6DBA9298-D49E-45AD-BA6A-17CC3BA18079}"/>
    <cellStyle name="greyed 4" xfId="21469" xr:uid="{A2919C27-C11C-4E17-A1C2-4764E687E975}"/>
    <cellStyle name="Header1" xfId="9222" xr:uid="{00000000-0005-0000-0000-000059240000}"/>
    <cellStyle name="Header1 2" xfId="9223" xr:uid="{00000000-0005-0000-0000-00005A240000}"/>
    <cellStyle name="Header1 3" xfId="9224" xr:uid="{00000000-0005-0000-0000-00005B240000}"/>
    <cellStyle name="Header1 4" xfId="21434" xr:uid="{74E1F770-9E00-4BAB-81F7-F715964DF93F}"/>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er2 5" xfId="21435" xr:uid="{F777A5B3-82C8-4F8C-8342-C56C5E247411}"/>
    <cellStyle name="Header2 6" xfId="21488" xr:uid="{25573F8C-592D-4E1D-80F3-68DA1ACC3F1C}"/>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1 4" xfId="21436" xr:uid="{30DB7DB2-161C-444D-A6E1-02DEC3EF55A5}"/>
    <cellStyle name="Heading1 5" xfId="21489" xr:uid="{9B98EFC3-6562-41C4-A529-1843F0E58AAF}"/>
    <cellStyle name="Heading2" xfId="9307" xr:uid="{00000000-0005-0000-0000-0000B1240000}"/>
    <cellStyle name="Heading2 2" xfId="9308" xr:uid="{00000000-0005-0000-0000-0000B2240000}"/>
    <cellStyle name="Heading2 3" xfId="9309" xr:uid="{00000000-0005-0000-0000-0000B3240000}"/>
    <cellStyle name="Heading2 4" xfId="21437" xr:uid="{758A9DFE-1105-4860-83DB-3ACF6D4BB42F}"/>
    <cellStyle name="Heading2 5" xfId="21490" xr:uid="{C968795C-B715-4DD2-BFC9-5317E25D3EBD}"/>
    <cellStyle name="Heading3" xfId="9310" xr:uid="{00000000-0005-0000-0000-0000B4240000}"/>
    <cellStyle name="Heading3 2" xfId="9311" xr:uid="{00000000-0005-0000-0000-0000B5240000}"/>
    <cellStyle name="Heading3 3" xfId="9312" xr:uid="{00000000-0005-0000-0000-0000B6240000}"/>
    <cellStyle name="Heading3 4" xfId="21438" xr:uid="{986C7DA6-D5E7-4841-A9BE-9FCF6A82B87F}"/>
    <cellStyle name="Heading3 5" xfId="21491" xr:uid="{E48B8029-BAC5-4602-A6B7-86A988759A05}"/>
    <cellStyle name="Heading4" xfId="9313" xr:uid="{00000000-0005-0000-0000-0000B7240000}"/>
    <cellStyle name="Heading4 2" xfId="9314" xr:uid="{00000000-0005-0000-0000-0000B8240000}"/>
    <cellStyle name="Heading4 3" xfId="9315" xr:uid="{00000000-0005-0000-0000-0000B9240000}"/>
    <cellStyle name="Heading4 4" xfId="21439" xr:uid="{33E2CACC-D01F-4567-97FF-9668EC7BF641}"/>
    <cellStyle name="Heading4 5" xfId="21492" xr:uid="{2AE3D19B-A1A4-4A8F-9559-A1AC98EACFB6}"/>
    <cellStyle name="Heading5" xfId="9316" xr:uid="{00000000-0005-0000-0000-0000BA240000}"/>
    <cellStyle name="Heading5 2" xfId="9317" xr:uid="{00000000-0005-0000-0000-0000BB240000}"/>
    <cellStyle name="Heading5 3" xfId="9318" xr:uid="{00000000-0005-0000-0000-0000BC240000}"/>
    <cellStyle name="Heading5 4" xfId="21440" xr:uid="{E72828E8-F7A6-4A67-AC1B-12626D0974F5}"/>
    <cellStyle name="Heading5 5" xfId="21493" xr:uid="{0A95B78B-91EF-4F7C-878A-10D1C5DA4605}"/>
    <cellStyle name="Heading6" xfId="9319" xr:uid="{00000000-0005-0000-0000-0000BD240000}"/>
    <cellStyle name="Heading6 2" xfId="9320" xr:uid="{00000000-0005-0000-0000-0000BE240000}"/>
    <cellStyle name="Heading6 3" xfId="9321" xr:uid="{00000000-0005-0000-0000-0000BF240000}"/>
    <cellStyle name="Heading6 4" xfId="21441" xr:uid="{CEF1CB6D-AB31-4B33-93BD-DA8318336C0A}"/>
    <cellStyle name="Heading6 5" xfId="21494" xr:uid="{231A0906-C382-4D11-9B9F-20FE2BCF61FB}"/>
    <cellStyle name="HeadingTable" xfId="9322" xr:uid="{00000000-0005-0000-0000-0000C0240000}"/>
    <cellStyle name="HeadingTable 2" xfId="21311" xr:uid="{00000000-0005-0000-0000-0000C1240000}"/>
    <cellStyle name="HeadingTable 3" xfId="21442" xr:uid="{99AD36F3-C723-4392-8552-FF171979E4AC}"/>
    <cellStyle name="HeadingTable 4" xfId="21470" xr:uid="{8D542C10-1FE6-4071-8F75-CAF04501BB12}"/>
    <cellStyle name="highlightExposure" xfId="9323" xr:uid="{00000000-0005-0000-0000-0000C2240000}"/>
    <cellStyle name="highlightExposure 2" xfId="21310" xr:uid="{00000000-0005-0000-0000-0000C3240000}"/>
    <cellStyle name="highlightExposure 3" xfId="21443" xr:uid="{FA6538CD-69CD-4A24-AD77-0F2DA5E00160}"/>
    <cellStyle name="highlightPercentage" xfId="9324" xr:uid="{00000000-0005-0000-0000-0000C4240000}"/>
    <cellStyle name="highlightPercentage 2" xfId="21309" xr:uid="{00000000-0005-0000-0000-0000C5240000}"/>
    <cellStyle name="highlightPercentage 3" xfId="21444" xr:uid="{60E48D33-9B48-49E8-9DB1-C1904F4B575F}"/>
    <cellStyle name="highlightText" xfId="9325" xr:uid="{00000000-0005-0000-0000-0000C6240000}"/>
    <cellStyle name="highlightText 2" xfId="21308" xr:uid="{00000000-0005-0000-0000-0000C7240000}"/>
    <cellStyle name="highlightText 3" xfId="21445" xr:uid="{7277C804-1D60-4389-9BD2-DC93CCF9CD2D}"/>
    <cellStyle name="highlightText 4" xfId="21467" xr:uid="{0E600270-D3BF-430D-AF16-70C6070899DB}"/>
    <cellStyle name="Horizontal" xfId="9326" xr:uid="{00000000-0005-0000-0000-0000C8240000}"/>
    <cellStyle name="Horizontal 2" xfId="9327" xr:uid="{00000000-0005-0000-0000-0000C9240000}"/>
    <cellStyle name="Horizontal 2 2" xfId="21447" xr:uid="{2365E759-356E-4F0B-98A0-83BFAE73E9AA}"/>
    <cellStyle name="Horizontal 2 3" xfId="21495" xr:uid="{C4A694C3-6E10-40D7-B747-C7189A632885}"/>
    <cellStyle name="Horizontal 3" xfId="9328" xr:uid="{00000000-0005-0000-0000-0000CA240000}"/>
    <cellStyle name="Horizontal 4" xfId="21446" xr:uid="{ECF31AE0-52F6-4395-BD9F-9A0DC69A1FCF}"/>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inputExposure 3" xfId="21448" xr:uid="{91450480-F563-4BA3-9069-4FC1DB63955C}"/>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2 2" xfId="21450" xr:uid="{EA970903-FF2D-4C7E-B153-8D711F96E229}"/>
    <cellStyle name="Matrix 2 3" xfId="21496" xr:uid="{6E3B4647-23D6-4B17-9099-8B7C5DE69B98}"/>
    <cellStyle name="Matrix 3" xfId="9459" xr:uid="{00000000-0005-0000-0000-0000A3250000}"/>
    <cellStyle name="Matrix 4" xfId="21449" xr:uid="{6DCEA487-14DB-48CF-B51D-4EC136A74632}"/>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13" xfId="21451" xr:uid="{B000A337-4430-4439-B06B-0EFC54E07D96}"/>
    <cellStyle name="Normal 10 14" xfId="21497" xr:uid="{7D63E50D-9C93-4679-8CA8-62DFF0ADB4A8}"/>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3 5" xfId="21452" xr:uid="{6D847F1B-01C1-4359-8AEC-4EB072DB6688}"/>
    <cellStyle name="Normal 10 2 3 3 6" xfId="21498" xr:uid="{3BADDE39-8E3A-4E5F-BBBA-82455DD42F56}"/>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_Likvidoba NBG AUG" xfId="21453" xr:uid="{BC33642E-AE4F-4139-B4C7-26030C041AFE}"/>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0 5" xfId="21598" xr:uid="{619FF7D8-2046-442D-8754-49528DC8A80C}"/>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1 5" xfId="21599" xr:uid="{E7424C80-F778-4F89-915B-5B09B97F699B}"/>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2 5" xfId="21600" xr:uid="{EC599CE1-26C3-4B1F-89D1-B1CD468EDDDF}"/>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3 8" xfId="21601" xr:uid="{E31D78A4-77D7-49FE-8575-5926B3AABB0E}"/>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4 5" xfId="21602" xr:uid="{3ABD2890-C80E-4850-B6E0-0CC85661ACBE}"/>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5 8" xfId="21603" xr:uid="{FD677BAC-814B-4F72-97DF-7FD92FA368F5}"/>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6 5" xfId="21604" xr:uid="{B134C1EB-0C97-4FBF-8E58-A9E7951C77E9}"/>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7 5" xfId="21605" xr:uid="{7D69F1A6-6B55-48E3-97AB-F81FD01A6F67}"/>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8 5" xfId="21606" xr:uid="{6E9E613A-E532-447A-947F-086ADBC11E24}"/>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09 5" xfId="21607" xr:uid="{F1ED62D5-DEDD-4C0F-866F-526C369BD21E}"/>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12" xfId="21454" xr:uid="{9C65C844-7B4B-4DE1-8775-551C12665B58}"/>
    <cellStyle name="Normal 11 13" xfId="21499" xr:uid="{BDC1F4E5-2F8D-4A5F-95A2-4C0DCAB49ED5}"/>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0 5" xfId="21608" xr:uid="{A5BE85C0-759C-44A6-A12B-5355C13F474E}"/>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1 5" xfId="21609" xr:uid="{6726AD2A-F95A-4041-9CC3-682799C5E365}"/>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2 5" xfId="21610" xr:uid="{85A7CEA0-E275-4637-BF4A-345FD0C1B75B}"/>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3 5" xfId="21611" xr:uid="{83657082-15CF-48E5-9AFC-F49E95CAE45B}"/>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4 5" xfId="21612" xr:uid="{7AE2EF36-67C1-4D96-B6D9-FC0C25770618}"/>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5 5" xfId="21613" xr:uid="{899C4A9E-453F-4337-98B9-5C8A4A909AFB}"/>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6 5" xfId="21614" xr:uid="{64A93088-1A91-4B8E-9D9A-47B4059C2E04}"/>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7 5" xfId="21615" xr:uid="{2DC1F62B-9AC2-40E9-921F-2146D22F9D92}"/>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8 5" xfId="21616" xr:uid="{E354047B-AE2A-49A5-8CA1-898A60D0E38A}"/>
    <cellStyle name="Normal 119" xfId="9959" xr:uid="{00000000-0005-0000-0000-000098270000}"/>
    <cellStyle name="Normal 119 2" xfId="21617" xr:uid="{F675502E-2184-4701-8506-70F987E6210A}"/>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15" xfId="21511" xr:uid="{3B42637E-0AFB-48E9-AC37-C89EC488730E}"/>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0 2" xfId="21618" xr:uid="{3837838D-0AFE-4B5E-98FF-9146A4DD582D}"/>
    <cellStyle name="Normal 121" xfId="3" xr:uid="{00000000-0005-0000-0000-000067280000}"/>
    <cellStyle name="Normal 121 2" xfId="21410" xr:uid="{00000000-0005-0000-0000-000068280000}"/>
    <cellStyle name="Normal 121 3" xfId="21619" xr:uid="{50B469F6-D583-4F3D-B1C2-B9AF5B1EB1A3}"/>
    <cellStyle name="Normal 122" xfId="20960" xr:uid="{00000000-0005-0000-0000-000069280000}"/>
    <cellStyle name="Normal 122 2" xfId="21620" xr:uid="{0EC9CAEC-A6FC-4C71-AD4E-56181159F4B0}"/>
    <cellStyle name="Normal 123" xfId="21414" xr:uid="{7886C5B3-36F3-4068-B12F-08DC39AA25E2}"/>
    <cellStyle name="Normal 124" xfId="21621" xr:uid="{25CE9769-64CF-4CD5-9B80-C953EE09DEF8}"/>
    <cellStyle name="Normal 125" xfId="21622" xr:uid="{0C645A25-8F35-4560-836E-7B0793E52ED6}"/>
    <cellStyle name="Normal 126" xfId="21623" xr:uid="{EB437397-8016-4790-B503-F9F09E2DF0A8}"/>
    <cellStyle name="Normal 127" xfId="21624" xr:uid="{2E559403-91CB-4504-AB91-CF5135548239}"/>
    <cellStyle name="Normal 128" xfId="21625" xr:uid="{65511DB6-792C-49BF-B472-332B6A928E25}"/>
    <cellStyle name="Normal 129" xfId="21626" xr:uid="{13E2A55F-A5C2-4521-AFA2-D4D15EEE430B}"/>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14" xfId="21512" xr:uid="{AAC352E4-E8B5-4D00-A0EE-9EF08D0D8094}"/>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30" xfId="21627" xr:uid="{031A52AA-7AE6-499B-8284-3A620C36404F}"/>
    <cellStyle name="Normal 131" xfId="21628" xr:uid="{C29743DD-76D6-4F88-95F4-57FFFF09102B}"/>
    <cellStyle name="Normal 132" xfId="21629" xr:uid="{F26BB014-8459-4C8B-87AA-3C67B5D8DE26}"/>
    <cellStyle name="Normal 133" xfId="21630" xr:uid="{6ADE7EEB-98E5-4C9D-9C7E-F2F75CB0E103}"/>
    <cellStyle name="Normal 134" xfId="21631" xr:uid="{17117429-E656-4A42-90E5-B4ACE87425F4}"/>
    <cellStyle name="Normal 135" xfId="21632" xr:uid="{33FB6E0A-56B2-49C3-BC61-0EC5A3C51FD9}"/>
    <cellStyle name="Normal 136" xfId="21633" xr:uid="{86068533-51B3-4F8D-82EA-3840DF69FCF0}"/>
    <cellStyle name="Normal 137" xfId="21634" xr:uid="{D0569232-757F-47C5-8D7B-DFD1D7FE37F9}"/>
    <cellStyle name="Normal 138" xfId="21635" xr:uid="{1DCBB83F-A6DB-44B3-9C02-1F2ECDBBF3EB}"/>
    <cellStyle name="Normal 139" xfId="21636" xr:uid="{4BB0F42D-76AD-4C14-8678-455176E8E57D}"/>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4 7" xfId="21455" xr:uid="{C1ED1709-6FD7-40B3-B2B4-101C5CB3127B}"/>
    <cellStyle name="Normal 14 8" xfId="21500" xr:uid="{FD2F6AD4-984A-4769-8DA6-0ACF04EB32EA}"/>
    <cellStyle name="Normal 140" xfId="21637" xr:uid="{C1234D95-1771-45FE-923D-8F58D5716E42}"/>
    <cellStyle name="Normal 141" xfId="21638" xr:uid="{F011B507-0225-4ED9-B293-40F2A70C3EBD}"/>
    <cellStyle name="Normal 142" xfId="21639" xr:uid="{98988704-B4D7-4B5A-9C59-1CDC1ED9045E}"/>
    <cellStyle name="Normal 143" xfId="21640" xr:uid="{DDBAAD67-3A90-4903-852A-B81F144A1701}"/>
    <cellStyle name="Normal 144" xfId="21642" xr:uid="{58AF10F4-8672-4E0C-A310-D42152372556}"/>
    <cellStyle name="Normal 145" xfId="21643" xr:uid="{635AF9A0-FB19-4DDE-9907-91B89CE82662}"/>
    <cellStyle name="Normal 146" xfId="21644" xr:uid="{E818EF6D-0FC2-4E4C-8121-4D6F6DDCFC73}"/>
    <cellStyle name="Normal 147" xfId="21645" xr:uid="{455FFDB9-646E-466A-8CFC-6B47AA4AF67A}"/>
    <cellStyle name="Normal 148" xfId="21646" xr:uid="{25B85A17-A7C9-4D00-96DF-B612B4FAF019}"/>
    <cellStyle name="Normal 149" xfId="21647" xr:uid="{ADB109DD-E1F0-4155-AADA-A47AE46254DF}"/>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14" xfId="21513" xr:uid="{01FCEC56-09FE-4AA6-945E-1CE0FABA7872}"/>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50" xfId="21648" xr:uid="{BCB684FF-22BF-4CE1-AEA1-ECC596F0EB19}"/>
    <cellStyle name="Normal 151" xfId="21649" xr:uid="{87677005-9990-4C2A-A84E-91A1D18F7CA6}"/>
    <cellStyle name="Normal 152" xfId="21650" xr:uid="{F65F1B2A-9A5A-453F-84E4-44214A88A5B5}"/>
    <cellStyle name="Normal 153" xfId="21651" xr:uid="{C99E0F2E-0E66-403C-A3BD-A75628E9B7AB}"/>
    <cellStyle name="Normal 154" xfId="21653" xr:uid="{1C9ED89E-94F4-4EED-A3EE-ECAC4F96D8E8}"/>
    <cellStyle name="Normal 155" xfId="21654" xr:uid="{2D961EAA-5CF7-4D05-B58F-8CE3863B7169}"/>
    <cellStyle name="Normal 156" xfId="21655" xr:uid="{4847BBF0-27D1-466A-9280-8025FDC4D74C}"/>
    <cellStyle name="Normal 157" xfId="21652" xr:uid="{E4CCE0FB-0CAE-44F3-860D-57E81B1A3CF2}"/>
    <cellStyle name="Normal 158" xfId="21656" xr:uid="{102BB854-51C1-4BB4-A0DE-024976D31720}"/>
    <cellStyle name="Normal 159" xfId="21657" xr:uid="{3B632AB6-2F57-4809-AA42-9F4C546D6BDC}"/>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22" xfId="21514" xr:uid="{D03379A7-743A-4403-9133-0A65887E4407}"/>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60" xfId="21658" xr:uid="{FCB57226-35FD-42A9-9BA2-359B7FB8417C}"/>
    <cellStyle name="Normal 161" xfId="21659" xr:uid="{1519F4DF-C19D-4DF3-B204-50AB7246A749}"/>
    <cellStyle name="Normal 162" xfId="21660" xr:uid="{A6E6CCFD-282A-415C-BA6C-3943B9817FC1}"/>
    <cellStyle name="Normal 163" xfId="21661" xr:uid="{7AD75D4D-1AA1-42B0-9FA7-0DC31B29FC76}"/>
    <cellStyle name="Normal 164" xfId="21662" xr:uid="{27A05478-E162-4D07-9386-CD8294319541}"/>
    <cellStyle name="Normal 165" xfId="21663" xr:uid="{11603287-576F-4695-A107-00F761D2BA9A}"/>
    <cellStyle name="Normal 166" xfId="21641" xr:uid="{BD95FDA0-DB25-4F35-8CC2-989976CA4C99}"/>
    <cellStyle name="Normal 167" xfId="21664" xr:uid="{4F69F084-A844-46FD-8B3C-99E5264E5FF7}"/>
    <cellStyle name="Normal 168" xfId="21665" xr:uid="{B7C5864E-64DF-4E14-BE4E-41278AE97B08}"/>
    <cellStyle name="Normal 169" xfId="21666" xr:uid="{09336941-C39A-4A01-BB61-7016597407A8}"/>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16" xfId="21515" xr:uid="{AD7BD8A1-A875-4CFC-8DA2-3E14A5A794EF}"/>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70" xfId="21667" xr:uid="{312583A9-1789-4AD2-92FA-3B83099DD900}"/>
    <cellStyle name="Normal 171" xfId="21668" xr:uid="{F1E1BD74-C52A-43D7-ACB6-A58474FF20E3}"/>
    <cellStyle name="Normal 172" xfId="21669" xr:uid="{EBA8F4B9-2BAD-47A3-B948-294D78B38F04}"/>
    <cellStyle name="Normal 173" xfId="21670" xr:uid="{18907C65-FED2-4339-A6A1-DF421D77F838}"/>
    <cellStyle name="Normal 174" xfId="21671" xr:uid="{4FE03ABD-C1FF-4C1D-AE28-372F8DCBCF36}"/>
    <cellStyle name="Normal 175" xfId="21672" xr:uid="{B63343BC-16A5-4C0A-A23D-9CB5EE176903}"/>
    <cellStyle name="Normal 176" xfId="21673" xr:uid="{6ABB54FD-AEA7-4111-9DE1-E9E70F194A7E}"/>
    <cellStyle name="Normal 177" xfId="21674" xr:uid="{F3F461E6-243D-438C-BE7B-7080DC2B18AA}"/>
    <cellStyle name="Normal 178" xfId="21675" xr:uid="{17BDBE5D-2CAB-490E-8160-F43A550AE5CD}"/>
    <cellStyle name="Normal 179" xfId="21676" xr:uid="{CDB32CE8-8458-4766-9010-018982B1664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8 9" xfId="21516" xr:uid="{2BEE5E0B-ACA0-413F-B6A0-42FC2CEA5F2F}"/>
    <cellStyle name="Normal 180" xfId="21677" xr:uid="{FCD8428C-1098-4DD0-ABD1-F2C06C55B130}"/>
    <cellStyle name="Normal 181" xfId="21678" xr:uid="{0FDB0E05-BFC0-4292-8586-653326BE620D}"/>
    <cellStyle name="Normal 182" xfId="21679" xr:uid="{377BDAA6-1F52-4FFC-8E69-8086EE053142}"/>
    <cellStyle name="Normal 183" xfId="21680" xr:uid="{EA65304C-C643-4A94-978D-6BB216A89590}"/>
    <cellStyle name="Normal 184" xfId="21681" xr:uid="{BE0E7CB8-C5E2-4DD7-9C03-F7E0C5D58E80}"/>
    <cellStyle name="Normal 185" xfId="21682" xr:uid="{07454B5F-D60B-47C1-B03B-F53D0158C1E4}"/>
    <cellStyle name="Normal 186" xfId="21683" xr:uid="{1B176DBB-9E11-4AE5-ADAF-EA5C95150B8A}"/>
    <cellStyle name="Normal 187" xfId="21684" xr:uid="{1902046F-E887-40AC-B1E7-89D5B9670C55}"/>
    <cellStyle name="Normal 188" xfId="21685" xr:uid="{CFB95283-1A01-404F-B94C-D2E4AE5AA89A}"/>
    <cellStyle name="Normal 189" xfId="21686" xr:uid="{3E798562-06DD-46CF-AEDD-A5767D802301}"/>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16" xfId="21517" xr:uid="{2E98B9A0-1E42-46A5-8A12-618D4C9E7428}"/>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190" xfId="21687" xr:uid="{58A90EE6-C9A5-41C0-A990-D2291A41442F}"/>
    <cellStyle name="Normal 191" xfId="21688" xr:uid="{05B14EDE-E7D2-47F9-89B1-ED0F663DE041}"/>
    <cellStyle name="Normal 192" xfId="21689" xr:uid="{01273134-E4A0-4078-92E4-5670A0603421}"/>
    <cellStyle name="Normal 193" xfId="21690" xr:uid="{8A31480A-27B2-43DE-ABA5-22B14FC1DFDB}"/>
    <cellStyle name="Normal 194" xfId="21691" xr:uid="{297474AA-6E29-4F04-BEA8-3A7ABE8B1025}"/>
    <cellStyle name="Normal 195" xfId="21692" xr:uid="{ACF3EB8C-F425-4B17-9B94-78C7A0468D45}"/>
    <cellStyle name="Normal 196" xfId="21693" xr:uid="{7979AAEB-AA52-40F0-B1D1-D97069A24D6F}"/>
    <cellStyle name="Normal 197" xfId="21694" xr:uid="{2AF34ACE-05B0-4218-94D8-725C9B532392}"/>
    <cellStyle name="Normal 198" xfId="21695" xr:uid="{CB1EDB17-1574-46F2-8CFC-3458621FEBFD}"/>
    <cellStyle name="Normal 199" xfId="21696" xr:uid="{A53497D1-C92A-4880-96E7-219D5059E635}"/>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08" xfId="21456" xr:uid="{E1136351-78C1-4F0F-875D-187C52B82938}"/>
    <cellStyle name="Normal 2 2 109" xfId="21501" xr:uid="{A73CE11C-12FC-407E-A83B-3FECBF3BFC81}"/>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_6 tvemde gareb" xfId="21457" xr:uid="{1D977AF4-9141-4FC1-9620-1E0362E90119}"/>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20" xfId="21518" xr:uid="{A03CFFC0-F852-4C2B-8C72-F37C12ED97AD}"/>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00" xfId="21697" xr:uid="{7DC06BAF-EBAB-45D9-968E-5CCC693049F1}"/>
    <cellStyle name="Normal 201" xfId="21698" xr:uid="{792E4C7D-E0A4-485E-AA54-474F4B9FE45F}"/>
    <cellStyle name="Normal 202" xfId="21699" xr:uid="{CE61BB65-B9E0-4B03-BFEF-B308F72B06CB}"/>
    <cellStyle name="Normal 203" xfId="21700" xr:uid="{B254DB74-5E23-43DC-8EEA-10B7540BEE3E}"/>
    <cellStyle name="Normal 204" xfId="21701" xr:uid="{3EF9C70E-2E33-4BD5-ACC5-54973A4B990F}"/>
    <cellStyle name="Normal 205" xfId="21702" xr:uid="{6617B0E1-AB26-4447-A441-E5C68BDCBD5C}"/>
    <cellStyle name="Normal 206" xfId="21703" xr:uid="{C7036D8F-A312-4B44-9D1B-CDE4CA7746AE}"/>
    <cellStyle name="Normal 207" xfId="21704" xr:uid="{3F760DBE-65EA-4148-A3D1-F46A3FCC074A}"/>
    <cellStyle name="Normal 208" xfId="21705" xr:uid="{1A3F6662-A2D9-4BF9-8BBD-DC8E44B26645}"/>
    <cellStyle name="Normal 209" xfId="21706" xr:uid="{44897A2F-1F09-488C-AD43-98B67933C764}"/>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16" xfId="21519" xr:uid="{006C0FA2-F1F9-4E7B-9C81-D98439FB5D4D}"/>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10" xfId="21707" xr:uid="{01933BF5-2AA4-45ED-BCDA-92CC0B697E59}"/>
    <cellStyle name="Normal 211" xfId="21708" xr:uid="{665C8889-FCFB-4072-AE48-C1E57729666D}"/>
    <cellStyle name="Normal 212" xfId="21709" xr:uid="{2A101125-83BF-4C90-BBA5-258B0A70503B}"/>
    <cellStyle name="Normal 213" xfId="21710" xr:uid="{9B595B60-CBE7-4633-AE2D-441D1D3EE081}"/>
    <cellStyle name="Normal 214" xfId="21711" xr:uid="{36269581-4282-4929-811B-EFD9CE0754B5}"/>
    <cellStyle name="Normal 215" xfId="21712" xr:uid="{8F945755-F48C-402B-B99D-5321D01C4D69}"/>
    <cellStyle name="Normal 216" xfId="21713" xr:uid="{27F32D5B-35E2-4AE7-B181-617384DF0841}"/>
    <cellStyle name="Normal 217" xfId="21714" xr:uid="{83E65413-3A09-473F-BBE4-B6C5E792033A}"/>
    <cellStyle name="Normal 218" xfId="21715" xr:uid="{1BB43638-2C7C-4D37-83D8-4B70F97A814B}"/>
    <cellStyle name="Normal 219" xfId="21716" xr:uid="{4614B0B6-6C4D-4BAD-8B6F-744F1F7CFAD9}"/>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2 9" xfId="21520" xr:uid="{E86E4862-E84C-4312-9A91-46BE1A2754F3}"/>
    <cellStyle name="Normal 220" xfId="21717" xr:uid="{7401DB1C-9BFB-4A97-86FE-AB65BE2AB1F8}"/>
    <cellStyle name="Normal 221" xfId="21718" xr:uid="{91478A87-59C1-4550-9065-C7574D1C3698}"/>
    <cellStyle name="Normal 222" xfId="21719" xr:uid="{179C95BC-BB4E-40CE-85AC-794FE7377FB1}"/>
    <cellStyle name="Normal 223" xfId="21720" xr:uid="{0F6C6772-3268-4BFB-9E0E-E08D55623E58}"/>
    <cellStyle name="Normal 224" xfId="21721" xr:uid="{19CEEA4F-DD07-4605-991C-F9C15967E5A5}"/>
    <cellStyle name="Normal 225" xfId="21722" xr:uid="{95AC33EE-30AA-46AE-AB46-81C04CBD9A69}"/>
    <cellStyle name="Normal 226" xfId="21723" xr:uid="{F9096469-1271-4B3B-B8F8-45256088B6B1}"/>
    <cellStyle name="Normal 227" xfId="21724" xr:uid="{7BB80BB6-73AE-4825-8C88-17FCB1E479FA}"/>
    <cellStyle name="Normal 228" xfId="21725" xr:uid="{F065D42D-730E-4CE6-8A3A-E28C6A8E3780}"/>
    <cellStyle name="Normal 229" xfId="21726" xr:uid="{AB1F7AEA-93AF-4E01-8D11-CAE65B7116FB}"/>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3 9" xfId="21521" xr:uid="{4D566BF7-40CA-4449-96B4-C015FD91791A}"/>
    <cellStyle name="Normal 230" xfId="21727" xr:uid="{EB87B5CC-6AEA-4D06-95E9-721C273AE417}"/>
    <cellStyle name="Normal 231" xfId="21728" xr:uid="{DBA2F18F-4DEF-417D-BFD7-BDE29AB5182E}"/>
    <cellStyle name="Normal 232" xfId="21729" xr:uid="{F8C3DD4A-8C34-4B99-9427-5A2AC4E705D3}"/>
    <cellStyle name="Normal 233" xfId="21730" xr:uid="{E57F2D44-A4C1-4246-8B7E-AA6EF398C986}"/>
    <cellStyle name="Normal 234" xfId="21731" xr:uid="{C9BE932B-B38E-4C94-B60E-E43C19BBC7DB}"/>
    <cellStyle name="Normal 235" xfId="21732" xr:uid="{02EB844B-E452-4FB6-B550-94339744CD3E}"/>
    <cellStyle name="Normal 236" xfId="21733" xr:uid="{265F2A32-5352-45C3-9D57-841E740C2F84}"/>
    <cellStyle name="Normal 237" xfId="21734" xr:uid="{C9B87DB1-B2B5-4EF0-8415-A4C076BE9D5C}"/>
    <cellStyle name="Normal 238" xfId="21735" xr:uid="{7516B06E-B7CF-419F-86E0-B1156213FC90}"/>
    <cellStyle name="Normal 239" xfId="21736" xr:uid="{5C82F085-E159-4341-9749-4FE7361A7726}"/>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4 9" xfId="21522" xr:uid="{5D9275CF-DBE6-4E07-8304-1FCCEF121036}"/>
    <cellStyle name="Normal 240" xfId="21737" xr:uid="{A213E298-2B7B-47BE-AA24-042BD4D6FC8C}"/>
    <cellStyle name="Normal 241" xfId="21738" xr:uid="{ED1CEFCC-03B8-43C4-A52A-422D10CD954C}"/>
    <cellStyle name="Normal 242" xfId="21739" xr:uid="{8BF63C49-FD65-44FC-B340-61D12C748897}"/>
    <cellStyle name="Normal 243" xfId="21740" xr:uid="{27B060D5-CE04-4AD0-8782-0E11410C6761}"/>
    <cellStyle name="Normal 244" xfId="21741" xr:uid="{DF5BF578-1988-4F8D-94B9-E4BBBE5902AE}"/>
    <cellStyle name="Normal 245" xfId="21742" xr:uid="{31525973-5270-45F5-9713-5CE47DFC527D}"/>
    <cellStyle name="Normal 246" xfId="21743" xr:uid="{798592AD-6624-4E1D-8E74-3DBBECE0D920}"/>
    <cellStyle name="Normal 247" xfId="21744" xr:uid="{ED2BDF4B-AD3E-45AE-B73C-664F5224D456}"/>
    <cellStyle name="Normal 248" xfId="21745" xr:uid="{FF6FED8B-34FD-49ED-8F4F-62A0026C3BC7}"/>
    <cellStyle name="Normal 249" xfId="21746" xr:uid="{442A9119-C873-4A57-B85A-6481F29C2E53}"/>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5 7" xfId="21523" xr:uid="{1EA62B0D-4B23-48F0-AB3D-8F267B555F32}"/>
    <cellStyle name="Normal 250" xfId="21747" xr:uid="{8FD1BB6C-BFBC-4143-B641-DB37E9B71646}"/>
    <cellStyle name="Normal 251" xfId="21748" xr:uid="{7940C4E2-FB19-429E-B31D-8A14ED3D43C0}"/>
    <cellStyle name="Normal 252" xfId="21749" xr:uid="{FDAB8F11-DDC4-410D-92D6-AC5A07CD222D}"/>
    <cellStyle name="Normal 253" xfId="21750" xr:uid="{B8E6C599-078D-40E8-8927-3AF759DC2246}"/>
    <cellStyle name="Normal 254" xfId="21751" xr:uid="{33EF7172-5562-4CB7-A65E-C68C29BA06A2}"/>
    <cellStyle name="Normal 255" xfId="21752" xr:uid="{6F928175-857A-4BD2-9910-AF68838B385B}"/>
    <cellStyle name="Normal 256" xfId="21753" xr:uid="{5ABC7490-E17E-496E-807D-57F23FF12663}"/>
    <cellStyle name="Normal 257" xfId="21754" xr:uid="{41D0901F-F65A-4E9D-AB61-CA5E56590408}"/>
    <cellStyle name="Normal 258" xfId="21755" xr:uid="{A75EDE84-B767-44A1-938D-7A89FF2A73B5}"/>
    <cellStyle name="Normal 259" xfId="21756" xr:uid="{1B39372B-416B-40C7-8F15-CD77C3D135F2}"/>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6 7" xfId="21524" xr:uid="{E3441A8A-5172-4FF4-A678-7A1E9960AE25}"/>
    <cellStyle name="Normal 260" xfId="21757" xr:uid="{4C52F8D0-06C6-48D3-A8C4-037D2828E8B5}"/>
    <cellStyle name="Normal 261" xfId="21758" xr:uid="{25BE010D-A05F-44D4-A86E-7F820973EB72}"/>
    <cellStyle name="Normal 262" xfId="21759" xr:uid="{67F470D9-79CE-4BDE-932F-09007F855EFE}"/>
    <cellStyle name="Normal 263" xfId="21760" xr:uid="{19839CC1-0091-41C6-92CA-DE381087E2E0}"/>
    <cellStyle name="Normal 264" xfId="21761" xr:uid="{E6E4D10E-C913-4104-8E8B-F35CE412951A}"/>
    <cellStyle name="Normal 265" xfId="21762" xr:uid="{C83DF1D5-8AC4-41DE-9BED-C39E0F7038A2}"/>
    <cellStyle name="Normal 266" xfId="21763" xr:uid="{CEC2913F-6F98-434A-8355-9FE0C6D0EE23}"/>
    <cellStyle name="Normal 267" xfId="21764" xr:uid="{692F7660-2D2B-4CD2-B373-DD12205262F0}"/>
    <cellStyle name="Normal 268" xfId="21765" xr:uid="{DB5C356F-D963-4CD9-88C8-7844DD36ACB1}"/>
    <cellStyle name="Normal 269" xfId="21766" xr:uid="{5691ED62-1038-4874-87CA-7A3F7B93DE66}"/>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7 6" xfId="21525" xr:uid="{A762C77D-7A29-4816-9C3D-3EE8B1BABEC0}"/>
    <cellStyle name="Normal 270" xfId="21767" xr:uid="{63D7B4B5-F265-46B6-A86C-F36CB2CE2884}"/>
    <cellStyle name="Normal 271" xfId="21768" xr:uid="{EB80B0FA-BC2A-4352-AAB3-4C595D19FB55}"/>
    <cellStyle name="Normal 272" xfId="21769" xr:uid="{C34DAABD-E7B7-4422-9B6E-071E4EA22E7E}"/>
    <cellStyle name="Normal 273" xfId="21770" xr:uid="{B09CFB68-CF76-42FE-929B-705718FFB571}"/>
    <cellStyle name="Normal 274" xfId="21771" xr:uid="{65B57B3C-9186-4713-B5F3-AC9D7B09F8DD}"/>
    <cellStyle name="Normal 275" xfId="21772" xr:uid="{5EF1D56B-1FB1-4298-B0E8-64498DF8A3A5}"/>
    <cellStyle name="Normal 276" xfId="21773" xr:uid="{AAAB020A-FFF6-424B-B9FD-EB4A87B1B003}"/>
    <cellStyle name="Normal 277" xfId="21774" xr:uid="{C073FCF0-CFD4-462E-A64C-7F0674485C82}"/>
    <cellStyle name="Normal 278" xfId="21775" xr:uid="{04CA9ACC-1173-4F7D-B358-BB3662B08DD3}"/>
    <cellStyle name="Normal 279" xfId="21776" xr:uid="{AC6B207C-2462-45FE-82CD-100223905E7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8 6" xfId="21526" xr:uid="{F118FF32-E585-4F82-A126-C5BA85CD554A}"/>
    <cellStyle name="Normal 280" xfId="21777" xr:uid="{90D925FB-4D31-4870-9F04-37523271D316}"/>
    <cellStyle name="Normal 281" xfId="21778" xr:uid="{4626B6E4-B8E2-40FF-AF7F-B6B73694CE04}"/>
    <cellStyle name="Normal 282" xfId="21779" xr:uid="{7F798BFD-D97F-47FB-8729-A7DCC8651A2D}"/>
    <cellStyle name="Normal 283" xfId="21780" xr:uid="{7F5CCC3C-FC7A-4AE6-8C8D-AC920E4C513C}"/>
    <cellStyle name="Normal 284" xfId="21782" xr:uid="{97802AFF-775C-41B7-AB77-B1AD25FDD19B}"/>
    <cellStyle name="Normal 285" xfId="21784" xr:uid="{7DC262EC-6BBB-4E4C-9727-887141727CB2}"/>
    <cellStyle name="Normal 286" xfId="21785" xr:uid="{01F38C30-309E-4734-A8B1-BD804D719557}"/>
    <cellStyle name="Normal 287" xfId="21786" xr:uid="{1505BBAA-7220-44E9-99C7-5A309922EE35}"/>
    <cellStyle name="Normal 288" xfId="21787" xr:uid="{66FB2521-1395-464E-97FB-287211DAE39C}"/>
    <cellStyle name="Normal 289" xfId="21788" xr:uid="{1257A6A2-06F8-428D-A149-8B5484F96C0C}"/>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18" xfId="21527" xr:uid="{F02D21D0-9A0F-496D-AB17-27FA80957B9C}"/>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290" xfId="21789" xr:uid="{7D9DE1D3-933D-4BB5-96CD-6067B0486BA2}"/>
    <cellStyle name="Normal 291" xfId="21790" xr:uid="{EFD2A9F2-A70E-4A5E-864C-CECC5A2CA3EB}"/>
    <cellStyle name="Normal 292" xfId="21791" xr:uid="{7661B774-A895-4BC1-8998-0B712396078D}"/>
    <cellStyle name="Normal 293" xfId="21792" xr:uid="{6023F77B-C1D6-4A73-BB62-E5BFFC06FA4E}"/>
    <cellStyle name="Normal 294" xfId="21793" xr:uid="{143C4440-6008-4516-B115-659FECEE2ABA}"/>
    <cellStyle name="Normal 295" xfId="21794" xr:uid="{6F716D6F-DA58-4D63-B5B7-50E0CC59E791}"/>
    <cellStyle name="Normal 296" xfId="21795" xr:uid="{FC9C0CAC-C518-4DB3-8E0A-35E5E4F8330A}"/>
    <cellStyle name="Normal 297" xfId="21781" xr:uid="{89CE9513-9F50-4FB4-A3DF-D9C25477469F}"/>
    <cellStyle name="Normal 298" xfId="21783" xr:uid="{71F3CA82-66A1-494C-A130-4466A89B1DEC}"/>
    <cellStyle name="Normal 299" xfId="21796" xr:uid="{3F111035-3B31-4FA4-AB4B-74F49FBDE596}"/>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19" xfId="21481" xr:uid="{F42A99E7-7638-46A9-9D3D-A8A3633B5E5C}"/>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48" xfId="21458" xr:uid="{C8EDCE5F-9587-479F-8D61-A45375B12516}"/>
    <cellStyle name="Normal 3 49" xfId="21502" xr:uid="{7C4F1AC0-02DE-431D-92B8-6F1E36E32883}"/>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18" xfId="21528" xr:uid="{00D5C2DD-6A1D-4C04-A277-10335761498F}"/>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00" xfId="21797" xr:uid="{0D3435ED-7063-4608-8261-8C15D2CEF9C3}"/>
    <cellStyle name="Normal 301" xfId="21798" xr:uid="{5FE58BEB-6B0E-4A56-8978-E9DDFD1BFE35}"/>
    <cellStyle name="Normal 302" xfId="21799" xr:uid="{3F873470-6735-4A76-A150-F46F6AF67591}"/>
    <cellStyle name="Normal 303" xfId="21800" xr:uid="{56D5186C-57AB-4ED0-8DFB-7F98564D7762}"/>
    <cellStyle name="Normal 304" xfId="21801" xr:uid="{26A8C306-D308-48EF-B9B9-C7EB167BCA4B}"/>
    <cellStyle name="Normal 305" xfId="21802" xr:uid="{C91554F9-1776-4CC1-9832-17B11016E159}"/>
    <cellStyle name="Normal 306" xfId="21803" xr:uid="{40E034E7-2FF6-4646-AA7B-D2FF105D9D60}"/>
    <cellStyle name="Normal 307" xfId="21804" xr:uid="{4860E7D5-ECF1-4EC6-BF8E-CDDC8EF4432F}"/>
    <cellStyle name="Normal 308" xfId="21805" xr:uid="{231D8593-33E2-4811-8B8B-55194248CBB6}"/>
    <cellStyle name="Normal 309" xfId="21806" xr:uid="{C8298BE4-0C07-409F-B298-EA83836D874E}"/>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1 4" xfId="21529" xr:uid="{A579A25F-0015-4E9A-8022-5D43F282C2B4}"/>
    <cellStyle name="Normal 310" xfId="21807" xr:uid="{615DA1E4-59F6-4017-BCC3-D48706FB00B7}"/>
    <cellStyle name="Normal 311" xfId="21808" xr:uid="{26283CE0-2511-4C86-ADE4-CD055958DB79}"/>
    <cellStyle name="Normal 312" xfId="21809" xr:uid="{0491CCCA-9094-412B-8CAC-429A3F1C4DE0}"/>
    <cellStyle name="Normal 313" xfId="21810" xr:uid="{45578156-2577-45DB-861C-A55C60E3283B}"/>
    <cellStyle name="Normal 314" xfId="21811" xr:uid="{2120CF6E-4763-4AE2-9EFC-470614E230D3}"/>
    <cellStyle name="Normal 315" xfId="21812" xr:uid="{D69C9F78-9F17-4CEA-8920-5F591DA3C54B}"/>
    <cellStyle name="Normal 316" xfId="21813" xr:uid="{BA238B77-26C2-46B9-B9EB-487153CC8535}"/>
    <cellStyle name="Normal 317" xfId="21814" xr:uid="{58226549-95A5-454E-9769-0CEDD67D4CBA}"/>
    <cellStyle name="Normal 318" xfId="21815" xr:uid="{6D986468-1BD6-4E31-A68E-B899A60158B4}"/>
    <cellStyle name="Normal 319" xfId="21816" xr:uid="{BFE6AA6C-DAE9-4D36-BAC8-D13B76960EFA}"/>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2 4" xfId="21530" xr:uid="{0F793D16-DE96-4C49-9278-E5AEFA305505}"/>
    <cellStyle name="Normal 320" xfId="21817" xr:uid="{9B4A06E8-0633-4725-91D5-D13EB9BBFAF1}"/>
    <cellStyle name="Normal 321" xfId="21818" xr:uid="{468E3280-E599-405A-87AD-2E1EC23F74F5}"/>
    <cellStyle name="Normal 322" xfId="21819" xr:uid="{AD7E2B9E-AFD7-442A-BB44-01F699C49DCA}"/>
    <cellStyle name="Normal 323" xfId="21820" xr:uid="{00A9D9AB-3B4B-42DE-9378-6194EAE32D54}"/>
    <cellStyle name="Normal 324" xfId="21821" xr:uid="{1A3BBD08-1E6B-4FEB-A020-5905F23B54EC}"/>
    <cellStyle name="Normal 325" xfId="21822" xr:uid="{E3880C4A-3C59-4E31-8714-208450651982}"/>
    <cellStyle name="Normal 326" xfId="21823" xr:uid="{2792587E-0884-4080-9944-B92016FC0467}"/>
    <cellStyle name="Normal 327" xfId="21824" xr:uid="{EF1B11B6-52AB-4743-95CF-4622B500AD3F}"/>
    <cellStyle name="Normal 328" xfId="21825" xr:uid="{C4429BEE-CA50-4ABB-891E-DB32F6877640}"/>
    <cellStyle name="Normal 329" xfId="21826" xr:uid="{C872B57C-CB82-4CB5-B131-E0795C0DFDD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3 4" xfId="21531" xr:uid="{63BBCC2E-16E0-47BE-AD2E-2CCF74ECF68F}"/>
    <cellStyle name="Normal 330" xfId="21827" xr:uid="{E68EDC2A-1280-4BDC-8611-3FB65C517309}"/>
    <cellStyle name="Normal 331" xfId="21828" xr:uid="{FDA25D0C-D9B1-4629-9F61-7EBBA2964780}"/>
    <cellStyle name="Normal 332" xfId="21829" xr:uid="{DD7DB572-B938-4D0F-A518-98543172807E}"/>
    <cellStyle name="Normal 333" xfId="21830" xr:uid="{C1CAC82F-1C88-4CB7-B280-B41E4E38995A}"/>
    <cellStyle name="Normal 334" xfId="21831" xr:uid="{414CB22A-E187-465F-9076-EFE9599FFDA2}"/>
    <cellStyle name="Normal 335" xfId="21832" xr:uid="{692B8222-B9FF-474C-BB40-15C541745CA1}"/>
    <cellStyle name="Normal 336" xfId="21833" xr:uid="{CA0DEFB9-4E7C-410E-9366-DA5361D53547}"/>
    <cellStyle name="Normal 337" xfId="21834" xr:uid="{09E31668-E1A1-471E-A08E-27F65D1EF285}"/>
    <cellStyle name="Normal 338" xfId="21835" xr:uid="{393DCF95-9528-499C-88EF-AC940EAD4AE1}"/>
    <cellStyle name="Normal 339" xfId="21836" xr:uid="{4F57CBFC-4319-476C-87D6-B201BF9B67B5}"/>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4 8" xfId="21532" xr:uid="{2D3A23DC-4560-42B1-AE3A-A748DF44882C}"/>
    <cellStyle name="Normal 340" xfId="21837" xr:uid="{8AE48789-DA6E-4FFA-AAD7-231D0A4D92E4}"/>
    <cellStyle name="Normal 341" xfId="21838" xr:uid="{D461CBD7-C4C6-474E-9655-E1D81AE01278}"/>
    <cellStyle name="Normal 342" xfId="21839" xr:uid="{F6F70BB3-BF7E-462B-BDA7-6CD2122B543E}"/>
    <cellStyle name="Normal 343" xfId="21840" xr:uid="{243E56FB-8446-4953-BE85-1D7A508DF2A6}"/>
    <cellStyle name="Normal 344" xfId="21841" xr:uid="{FD57C694-BDC6-4CFA-9E98-7F9CA6806A50}"/>
    <cellStyle name="Normal 345" xfId="21842" xr:uid="{298C68A5-B53E-44C3-BA11-5B8D8F690F06}"/>
    <cellStyle name="Normal 346" xfId="21843" xr:uid="{47D6EE59-8126-4977-A97A-E837985F2BBF}"/>
    <cellStyle name="Normal 347" xfId="21844" xr:uid="{E9199D0D-F662-468D-B57A-165D504AE227}"/>
    <cellStyle name="Normal 348" xfId="21845" xr:uid="{80D7C3E2-105E-414F-B16C-9DFDED9D289B}"/>
    <cellStyle name="Normal 349" xfId="21846" xr:uid="{A2BC197C-AB52-40F0-A647-789225B63FD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5 3" xfId="21533" xr:uid="{F1316B59-4D73-4AB2-A44E-6290ADC18B0A}"/>
    <cellStyle name="Normal 350" xfId="21847" xr:uid="{6B00CA4A-9B7A-415C-8A16-169F9426D8A4}"/>
    <cellStyle name="Normal 351" xfId="21848" xr:uid="{70599B6E-DDDC-41F5-8AF4-0930250C1143}"/>
    <cellStyle name="Normal 352" xfId="21849" xr:uid="{BDCF9F68-F6B9-417A-9D9E-670E035CAAF8}"/>
    <cellStyle name="Normal 353" xfId="21850" xr:uid="{FC94FD66-7B14-4D29-88DF-C8517DF9AE9D}"/>
    <cellStyle name="Normal 354" xfId="21851" xr:uid="{B76AAAFE-AF4E-4B15-87A6-89FDE90789C7}"/>
    <cellStyle name="Normal 355" xfId="21852" xr:uid="{10BC38DD-E6A8-4AC4-810E-F1221DF75303}"/>
    <cellStyle name="Normal 356" xfId="21853" xr:uid="{BDEEE3CD-5D00-441E-9512-0ACD3261C78F}"/>
    <cellStyle name="Normal 357" xfId="21854" xr:uid="{C62573B5-C6E6-4BA6-855F-9EE6F4B6A5EF}"/>
    <cellStyle name="Normal 358" xfId="21855" xr:uid="{0E9D7D81-72A1-4082-9577-1C619E724C21}"/>
    <cellStyle name="Normal 359" xfId="21856" xr:uid="{CA13C7E8-1EB1-4347-8951-F6BB78101CAD}"/>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6 8" xfId="21534" xr:uid="{6BC2A4FA-5358-4937-8708-6BDAB35E1070}"/>
    <cellStyle name="Normal 360" xfId="21857" xr:uid="{FA6B7088-E17B-476F-A918-E0D9636035BB}"/>
    <cellStyle name="Normal 361" xfId="21858" xr:uid="{29D6F548-C66F-41FE-9211-EEF6A11AF204}"/>
    <cellStyle name="Normal 362" xfId="21859" xr:uid="{C26A633A-79DB-4360-B06E-6931244284A6}"/>
    <cellStyle name="Normal 363" xfId="21860" xr:uid="{806C0E16-3ED7-4008-A5C1-939413BD09A4}"/>
    <cellStyle name="Normal 364" xfId="21861" xr:uid="{70069483-709C-436B-8B09-48222493778B}"/>
    <cellStyle name="Normal 365" xfId="21862" xr:uid="{A166DDB4-81EB-41D3-8105-DE1619C85078}"/>
    <cellStyle name="Normal 366" xfId="21863" xr:uid="{7FA60C4D-3300-42CA-A972-5EF06975185A}"/>
    <cellStyle name="Normal 367" xfId="21864" xr:uid="{594A4129-95E6-4D0E-B71C-5BD5956AAF7C}"/>
    <cellStyle name="Normal 368" xfId="21865" xr:uid="{3914A7D6-775F-48C3-A29F-1629DB528498}"/>
    <cellStyle name="Normal 369" xfId="21866" xr:uid="{F40373DD-966F-459A-9FE5-A6DD9D32459E}"/>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7 4" xfId="21535" xr:uid="{0F120B55-9615-4A0A-9C56-6741E7651437}"/>
    <cellStyle name="Normal 370" xfId="21867" xr:uid="{678772C8-A447-466A-85E9-9DFE918C6FD1}"/>
    <cellStyle name="Normal 371" xfId="21868" xr:uid="{0529EAE3-C7AD-4B1E-9301-73860F3B806B}"/>
    <cellStyle name="Normal 372" xfId="21869" xr:uid="{57B0090D-7882-478D-BC0A-5E5CCCA6210F}"/>
    <cellStyle name="Normal 373" xfId="21870" xr:uid="{E6283B34-CE90-4FD0-BC73-D19E3776D5E9}"/>
    <cellStyle name="Normal 374" xfId="21871" xr:uid="{CD084521-87BE-4E93-8A62-E907E8A19A45}"/>
    <cellStyle name="Normal 375" xfId="21872" xr:uid="{3A0A78E1-1FF8-4A02-BA6F-98CA4B5797D3}"/>
    <cellStyle name="Normal 376" xfId="21873" xr:uid="{4B38969D-8A3C-4E50-A67D-0428573A0C59}"/>
    <cellStyle name="Normal 377" xfId="21874" xr:uid="{E173BD7B-5AFF-4454-A8C4-13EAD92AEC81}"/>
    <cellStyle name="Normal 378" xfId="21875" xr:uid="{95A95BB3-7D66-4546-B9C8-F41FD02F6A9C}"/>
    <cellStyle name="Normal 379" xfId="21876" xr:uid="{5572C2B1-2E70-4877-ABA9-9DE142317009}"/>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8 4" xfId="21536" xr:uid="{FC63F96D-9A9C-4F81-9D25-63DAADC2417C}"/>
    <cellStyle name="Normal 380" xfId="21877" xr:uid="{21468861-9BDE-44CA-B026-D9C46A6E23C9}"/>
    <cellStyle name="Normal 381" xfId="21878" xr:uid="{1C37A82D-914E-470E-B3C1-EBC3C68C7B15}"/>
    <cellStyle name="Normal 382" xfId="21879" xr:uid="{5E8D2CF6-DC23-4C8C-B0DD-A2457564D356}"/>
    <cellStyle name="Normal 383" xfId="21880" xr:uid="{D0DED0A5-B31D-432F-A11C-E08BB81FC1BE}"/>
    <cellStyle name="Normal 384" xfId="21881" xr:uid="{6E65E104-C2F5-4E20-A248-DD4EF5ADE67A}"/>
    <cellStyle name="Normal 385" xfId="21882" xr:uid="{EB3A65A2-51D6-41C7-98AD-9EE46306575F}"/>
    <cellStyle name="Normal 386" xfId="21883" xr:uid="{F7A0782A-D214-4289-A801-4B6E6BB1182A}"/>
    <cellStyle name="Normal 387" xfId="21884" xr:uid="{5FDF1C68-B58D-4054-B362-B7CF7F2860D5}"/>
    <cellStyle name="Normal 388" xfId="21885" xr:uid="{57D04F09-B969-4308-B505-06B90E2E535F}"/>
    <cellStyle name="Normal 389" xfId="21886" xr:uid="{16A6B497-F553-4888-8C39-1171F798E7B1}"/>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39 4" xfId="21537" xr:uid="{9A80E02E-17BB-4A4C-98E3-ABB27DF2211A}"/>
    <cellStyle name="Normal 390" xfId="21887" xr:uid="{DE11993A-14C3-4C3C-85B1-2D20D6C2E922}"/>
    <cellStyle name="Normal 391" xfId="21888" xr:uid="{582A3C4E-522E-4DF8-B868-E1C15F5C4BB6}"/>
    <cellStyle name="Normal 392" xfId="21889" xr:uid="{FE32BC24-DE38-464C-9D36-C26FC0404073}"/>
    <cellStyle name="Normal 393" xfId="21890" xr:uid="{9865714B-2E9A-4D81-BDEC-742CAD0AF8A2}"/>
    <cellStyle name="Normal 394" xfId="21891" xr:uid="{F4EFE933-344F-40E7-9A02-9BBFEC184E54}"/>
    <cellStyle name="Normal 395" xfId="21892" xr:uid="{C743D963-61C4-4152-932F-B6E40E2A81E6}"/>
    <cellStyle name="Normal 396" xfId="21893" xr:uid="{AECA9C71-929D-40F4-ADA0-EF824F0380AB}"/>
    <cellStyle name="Normal 397" xfId="21894" xr:uid="{680A606F-46A8-4EAE-9764-1612524A1FAF}"/>
    <cellStyle name="Normal 398" xfId="21895" xr:uid="{8036EB36-F0EF-4036-9BDF-EE4264C7A3F5}"/>
    <cellStyle name="Normal 399" xfId="21896" xr:uid="{26FB043E-5C2F-4D61-9B98-4DB04354244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15" xfId="21459" xr:uid="{448349D2-70BC-4A38-B565-BB8AF6E5E264}"/>
    <cellStyle name="Normal 4 16" xfId="21503" xr:uid="{282CBDC2-5323-466F-81E9-B19236316003}"/>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0 4" xfId="21538" xr:uid="{884964E9-F522-4CB9-9626-1705A87255E7}"/>
    <cellStyle name="Normal 400" xfId="21897" xr:uid="{1C0A7185-7DA3-47C1-B53D-466BEDC4BCD4}"/>
    <cellStyle name="Normal 401" xfId="21898" xr:uid="{1FF66FB9-6C9D-4E6F-8F02-99C8E055C4AE}"/>
    <cellStyle name="Normal 402" xfId="21899" xr:uid="{EA52A763-70A8-4ACF-ACD3-E43A1A58A6DF}"/>
    <cellStyle name="Normal 403" xfId="21900" xr:uid="{FCF81DAA-93D6-4348-A112-717B258D14AB}"/>
    <cellStyle name="Normal 404" xfId="21901" xr:uid="{487C2846-2A39-40D5-AC7F-9D9E0EFD6A0F}"/>
    <cellStyle name="Normal 405" xfId="21902" xr:uid="{FF597673-4826-4DBF-B118-C64C2494B1FB}"/>
    <cellStyle name="Normal 406" xfId="21903" xr:uid="{C62904DD-AC21-49CF-978B-AA6E5D36C01F}"/>
    <cellStyle name="Normal 407" xfId="21904" xr:uid="{F4005486-C309-4A0A-B50A-D264904F8736}"/>
    <cellStyle name="Normal 408" xfId="21905" xr:uid="{08918174-52EE-46C4-B400-E42DE7393806}"/>
    <cellStyle name="Normal 409" xfId="21906" xr:uid="{0DD19361-4C33-4271-A110-969A8E771666}"/>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1 4" xfId="21539" xr:uid="{B8259371-7777-4F34-B5D1-7FB387764F50}"/>
    <cellStyle name="Normal 410" xfId="21907" xr:uid="{1EDBC883-C4C1-4180-BFC6-C4FD2CB9209E}"/>
    <cellStyle name="Normal 411" xfId="21908" xr:uid="{2463C1C2-A2F5-4CBB-8FA5-35276D49AF8F}"/>
    <cellStyle name="Normal 412" xfId="21909" xr:uid="{74ED2964-AF47-47BD-925F-3ED933787DE1}"/>
    <cellStyle name="Normal 413" xfId="21910" xr:uid="{B42A98F9-65CA-4C67-9492-124844151CB6}"/>
    <cellStyle name="Normal 414" xfId="21911" xr:uid="{40F5101E-1F5F-43D9-9211-FA8AE2CFE14B}"/>
    <cellStyle name="Normal 415" xfId="21912" xr:uid="{84A839FD-3DBD-456D-9B59-76CD99DC8CAA}"/>
    <cellStyle name="Normal 416" xfId="21913" xr:uid="{28C5531E-3A49-4793-83E2-50412FDE85B7}"/>
    <cellStyle name="Normal 417" xfId="21914" xr:uid="{FE977A95-8D14-4F54-9673-E4D82703A3A4}"/>
    <cellStyle name="Normal 418" xfId="21915" xr:uid="{349462E7-0BA9-486E-A0CF-676E04D97E15}"/>
    <cellStyle name="Normal 419" xfId="21916" xr:uid="{5FCF0150-EF7A-4D64-ADAF-372E69D9ABCB}"/>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2 4" xfId="21540" xr:uid="{ECADC731-1A50-45EA-9A60-C39D0AC19214}"/>
    <cellStyle name="Normal 420" xfId="21917" xr:uid="{73597A86-822C-44FA-AF04-F111121CE88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3 4" xfId="21541" xr:uid="{49A33F88-D9F0-4E3D-BA31-202E1C867818}"/>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4 6" xfId="21542" xr:uid="{0E9ACA6C-E289-4337-B766-1A245318E662}"/>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5 8" xfId="21543" xr:uid="{F123AEF4-33C4-4403-A5E8-C8AA59D45464}"/>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6 8" xfId="21544" xr:uid="{D72E583D-47C5-42C2-8C64-3981162A890A}"/>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7 8" xfId="21545" xr:uid="{62CC4BA9-DCE2-45DD-87D9-B898A719497A}"/>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8 8" xfId="21546" xr:uid="{81573AD4-A30F-4694-B528-9914AE2168F4}"/>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49 8" xfId="21547" xr:uid="{4639874F-0066-4E19-B140-7CFF71BABFF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14" xfId="21460" xr:uid="{69363D3C-4984-408B-A2E2-FF1B3D30A752}"/>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0 8" xfId="21548" xr:uid="{E8575941-5596-46C6-A7F4-FA50885EF9F9}"/>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1 8" xfId="21549" xr:uid="{07C6A429-316B-4C64-833C-89AA616E2163}"/>
    <cellStyle name="Normal 52" xfId="19262" xr:uid="{00000000-0005-0000-0000-0000F74B0000}"/>
    <cellStyle name="Normal 52 2" xfId="21550" xr:uid="{5E10FE9A-CD63-4DCB-B89C-84F71AA0B791}"/>
    <cellStyle name="Normal 53" xfId="19263" xr:uid="{00000000-0005-0000-0000-0000F84B0000}"/>
    <cellStyle name="Normal 53 2" xfId="21551" xr:uid="{651CD92C-13DA-4792-A5A5-5E03183B0199}"/>
    <cellStyle name="Normal 54" xfId="19264" xr:uid="{00000000-0005-0000-0000-0000F94B0000}"/>
    <cellStyle name="Normal 54 2" xfId="21552" xr:uid="{EA3F65AB-2D84-4337-AD65-D491776807DA}"/>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5 8" xfId="21553" xr:uid="{8DC67FC3-F9DA-4B25-9A76-CE3BB917B7A9}"/>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6 8" xfId="21554" xr:uid="{D7C17F74-FA8F-4406-B6A9-DC5DC0EC0C75}"/>
    <cellStyle name="Normal 57" xfId="19299" xr:uid="{00000000-0005-0000-0000-00001C4C0000}"/>
    <cellStyle name="Normal 57 2" xfId="19300" xr:uid="{00000000-0005-0000-0000-00001D4C0000}"/>
    <cellStyle name="Normal 57 3" xfId="21555" xr:uid="{43C981AB-9F78-4A14-8E06-385548ACD6DB}"/>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8 5" xfId="21556" xr:uid="{31B3EA6F-FADF-4CF2-A399-3BFC215868FE}"/>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59 5" xfId="21557" xr:uid="{0D5B2E56-6785-4AB7-ADEA-51603438805F}"/>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 7" xfId="21461" xr:uid="{C1502642-FE21-4723-9EE5-072049479785}"/>
    <cellStyle name="Normal 6 8" xfId="21504" xr:uid="{6D08BD7D-91C3-4868-9D20-E3678F0D106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0 5" xfId="21558" xr:uid="{22B7DFF5-0D22-46FD-918D-B35155EE5F3D}"/>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1 5" xfId="21559" xr:uid="{859B63CD-E71A-4001-97D1-9A3C6D8F9969}"/>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2 5" xfId="21560" xr:uid="{4F1F975F-32FB-4FD6-93A5-0812C64AA9D3}"/>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3 5" xfId="21561" xr:uid="{6AD59BA8-8A4E-4A88-A9A1-A9412C10AF5B}"/>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4 5" xfId="21562" xr:uid="{9DBB1A8E-2D3B-40CB-9B9B-0C1227DCE0C8}"/>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5 5" xfId="21563" xr:uid="{94C389ED-5FF3-4B6E-9996-6C4685263D3E}"/>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6 5" xfId="21564" xr:uid="{5A740E28-98C0-4C52-9564-D4CC3553E7F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7 5" xfId="21565" xr:uid="{71CA8F2E-5C97-459E-A514-69C277CAFBB4}"/>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8 5" xfId="21566" xr:uid="{87644F2A-EED1-413A-9DD2-A0082174DD33}"/>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69 5" xfId="21567" xr:uid="{B0F30A17-2923-47AF-BF54-F0DB874E7FDA}"/>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13" xfId="21462" xr:uid="{3FC6AE02-76AE-4E5E-A3BC-540254C926BD}"/>
    <cellStyle name="Normal 7 14" xfId="21505" xr:uid="{F371F832-66BE-484C-AA55-409A595918A3}"/>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0 5" xfId="21568" xr:uid="{543F698C-B2DD-42A6-A683-D71BC8B5AE41}"/>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1 5" xfId="21569" xr:uid="{A6E76F77-3FE3-4EC7-887E-EBE522E538BE}"/>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2 5" xfId="21570" xr:uid="{45D4170A-4875-4F64-B0C9-0C1AF9909E37}"/>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3 5" xfId="21571" xr:uid="{4B57D3FC-5D82-4D5F-B052-CF10FA013BF1}"/>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4 5" xfId="21572" xr:uid="{AF0B6B5B-D2E2-4075-B9CB-6A25F51607CD}"/>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5 5" xfId="21573" xr:uid="{63B74033-C9AD-4B75-B61B-3F4CC4EC125C}"/>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6 5" xfId="21574" xr:uid="{ACC99702-0A10-429B-B65D-267B0214B4BC}"/>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7 5" xfId="21575" xr:uid="{85CE00D7-095B-4431-8559-E7DED8AACAD3}"/>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8 5" xfId="21576" xr:uid="{E4781C5A-C557-4D7C-B9B1-9642EC3F75FC}"/>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79 5" xfId="21577" xr:uid="{F93CBAB3-CA8E-4B57-9029-85E506BC6D17}"/>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 96" xfId="21463" xr:uid="{E72F2E3B-5142-43E6-8C99-76998DF9BF4E}"/>
    <cellStyle name="Normal 8 97" xfId="21506" xr:uid="{09D6EC58-5C19-404B-8362-9EDB509D3689}"/>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0 5" xfId="21578" xr:uid="{9080D9D8-A0A5-4A99-BB1D-825BA1D2F595}"/>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1 5" xfId="21579" xr:uid="{5917C096-8F02-435F-AE6F-AD773C025BA7}"/>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2 5" xfId="21580" xr:uid="{FF43ABA2-4B70-4833-BE26-95EDFC594C34}"/>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3 5" xfId="21581" xr:uid="{A58B2BF7-6674-40CD-8B5B-FA1395E257E9}"/>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4 5" xfId="21582" xr:uid="{4C8C3879-E955-45E7-886D-18050EE4A043}"/>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5 5" xfId="21583" xr:uid="{8ABE1E3D-090D-4CBE-AD21-3D68A4B96B16}"/>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6 5" xfId="21584" xr:uid="{3C059A69-42C4-4342-B56F-6C4B8DB0C378}"/>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7 5" xfId="21585" xr:uid="{AED96DA3-5E1D-4A88-8B04-57A15F445C54}"/>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8 5" xfId="21586" xr:uid="{5BA37782-90E4-4389-856D-992A3FCD17E5}"/>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89 5" xfId="21587" xr:uid="{FC576DDE-15A9-4DF7-919D-FA831541A84C}"/>
    <cellStyle name="Normal 9" xfId="20015" xr:uid="{00000000-0005-0000-0000-0000E84E0000}"/>
    <cellStyle name="Normal 9 10" xfId="20016" xr:uid="{00000000-0005-0000-0000-0000E94E0000}"/>
    <cellStyle name="Normal 9 10 2" xfId="20017" xr:uid="{00000000-0005-0000-0000-0000EA4E0000}"/>
    <cellStyle name="Normal 9 100" xfId="21507" xr:uid="{63E7E8A9-BC97-4758-A129-C2770C299213}"/>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 99" xfId="21464" xr:uid="{505CD265-5996-4FDB-A30F-456DB8B5E085}"/>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0 5" xfId="21588" xr:uid="{1168E154-70B6-45A1-94F3-ADD129F93243}"/>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1 5" xfId="21589" xr:uid="{363ED068-EBB5-433B-AB06-F4DC07AAE765}"/>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2 5" xfId="21590" xr:uid="{BB1F1423-C570-4966-A804-77C65E28D174}"/>
    <cellStyle name="Normal 93" xfId="20340" xr:uid="{00000000-0005-0000-0000-00002D500000}"/>
    <cellStyle name="Normal 93 2" xfId="20341" xr:uid="{00000000-0005-0000-0000-00002E500000}"/>
    <cellStyle name="Normal 93 3" xfId="21591" xr:uid="{9BD4D6C3-C7D3-427B-BA02-65DD4F095C8E}"/>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4 5" xfId="21592" xr:uid="{553B168E-CAD4-4F3C-BEE6-8A3F37347542}"/>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5 5" xfId="21593" xr:uid="{A9405E49-4A53-4274-8BB8-5059EB899775}"/>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6 8" xfId="21594" xr:uid="{D2C4DCC4-E0E5-4BF5-ABE0-D3C0DA3FA275}"/>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7 5" xfId="21595" xr:uid="{380EE44F-8AF6-4B57-B6A6-45EFBC90679E}"/>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8 5" xfId="21596" xr:uid="{25486573-0820-4849-9C15-1345F743C428}"/>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 99 5" xfId="21597" xr:uid="{DF3478A0-EE25-48B0-9A5A-8F6FE67F432D}"/>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alExposure 3" xfId="21465" xr:uid="{75B7297E-6D8D-424A-8D66-2CB28F182D6E}"/>
    <cellStyle name="OptionHeading" xfId="20525" xr:uid="{00000000-0005-0000-0000-000045510000}"/>
    <cellStyle name="OptionHeading 2" xfId="20526" xr:uid="{00000000-0005-0000-0000-000046510000}"/>
    <cellStyle name="OptionHeading 3" xfId="20527" xr:uid="{00000000-0005-0000-0000-000047510000}"/>
    <cellStyle name="OptionHeading 4" xfId="21466" xr:uid="{FEDC716C-2904-4C19-82DC-8CF41C9E0DD5}"/>
    <cellStyle name="OptionHeading 5" xfId="21508" xr:uid="{F58865EA-1070-41B6-9C87-B9607F726A89}"/>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3 2" xfId="21483" xr:uid="{1BB09AC8-4DF7-4F77-A6D1-DE9F25429987}"/>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3 5" xfId="21416" xr:uid="{7315BCF0-EF58-43D4-8DC4-33D41076122A}"/>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4 5" xfId="21468" xr:uid="{98C3639B-E39B-45A6-9142-FD133FFD3D71}"/>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2 2" xfId="21472" xr:uid="{6B8A317B-2898-4EEF-BBDD-22E45B143DAC}"/>
    <cellStyle name="Price 2 3" xfId="21509" xr:uid="{CABA46E9-F1BD-48C8-A492-1FF07C4BE826}"/>
    <cellStyle name="Price 3" xfId="20783" xr:uid="{00000000-0005-0000-0000-00009E520000}"/>
    <cellStyle name="Price 4" xfId="21471" xr:uid="{FBFBC05E-E134-43EC-B0E1-08935AB296B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Exposure 3" xfId="21473" xr:uid="{D8EE7739-E926-4A67-AC3E-049555DB9D46}"/>
    <cellStyle name="showParameterE" xfId="20787" xr:uid="{00000000-0005-0000-0000-0000A3520000}"/>
    <cellStyle name="showParameterE 2" xfId="21046" xr:uid="{00000000-0005-0000-0000-0000A4520000}"/>
    <cellStyle name="showParameterE 3" xfId="21474" xr:uid="{EF119038-8C29-4D5A-8DE5-92C41409C4AF}"/>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2 3" xfId="21484" xr:uid="{EAB27E1C-64E9-4620-A275-4038998FF2A8}"/>
    <cellStyle name="Style 1 3" xfId="20792" xr:uid="{00000000-0005-0000-0000-0000A9520000}"/>
    <cellStyle name="Style 1 4" xfId="20793" xr:uid="{00000000-0005-0000-0000-0000AA520000}"/>
    <cellStyle name="Style 1 5" xfId="21475" xr:uid="{D2058486-0F16-4A7E-B0CA-7BE973775E8F}"/>
    <cellStyle name="Style 2" xfId="20794" xr:uid="{00000000-0005-0000-0000-0000AB520000}"/>
    <cellStyle name="Style 2 2" xfId="21476" xr:uid="{FF2D080C-7A94-4F6A-93E7-68A2820C365E}"/>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2 2" xfId="21478" xr:uid="{1F3E1505-79F5-4A46-8C1D-C1E224184971}"/>
    <cellStyle name="Vertical 2 3" xfId="21510" xr:uid="{B60D0A2A-8E0D-47D0-B915-C654D3566344}"/>
    <cellStyle name="Vertical 3" xfId="20922" xr:uid="{00000000-0005-0000-0000-000080530000}"/>
    <cellStyle name="Vertical 4" xfId="21477" xr:uid="{32519D63-8307-4A83-AD00-865F6C4A0D59}"/>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0" zoomScaleNormal="80" workbookViewId="0">
      <pane xSplit="1" ySplit="7" topLeftCell="B20" activePane="bottomRight" state="frozen"/>
      <selection pane="topRight" activeCell="B1" sqref="B1"/>
      <selection pane="bottomLeft" activeCell="A8" sqref="A8"/>
      <selection pane="bottomRight" activeCell="B19" sqref="B19"/>
    </sheetView>
  </sheetViews>
  <sheetFormatPr defaultRowHeight="14.5"/>
  <cols>
    <col min="1" max="1" width="10.36328125" style="2" customWidth="1"/>
    <col min="2" max="2" width="153" bestFit="1" customWidth="1"/>
    <col min="3" max="3" width="29.08984375" customWidth="1"/>
    <col min="7" max="7" width="25" customWidth="1"/>
  </cols>
  <sheetData>
    <row r="1" spans="1:3">
      <c r="A1" s="10"/>
      <c r="B1" s="180" t="s">
        <v>253</v>
      </c>
      <c r="C1" s="87"/>
    </row>
    <row r="2" spans="1:3" s="177" customFormat="1">
      <c r="A2" s="223">
        <v>1</v>
      </c>
      <c r="B2" s="178" t="s">
        <v>254</v>
      </c>
      <c r="C2" s="175" t="s">
        <v>739</v>
      </c>
    </row>
    <row r="3" spans="1:3" s="177" customFormat="1">
      <c r="A3" s="223">
        <v>2</v>
      </c>
      <c r="B3" s="179" t="s">
        <v>255</v>
      </c>
      <c r="C3" s="175" t="s">
        <v>740</v>
      </c>
    </row>
    <row r="4" spans="1:3" s="177" customFormat="1">
      <c r="A4" s="223">
        <v>3</v>
      </c>
      <c r="B4" s="179" t="s">
        <v>256</v>
      </c>
      <c r="C4" s="175" t="s">
        <v>741</v>
      </c>
    </row>
    <row r="5" spans="1:3" s="177" customFormat="1">
      <c r="A5" s="224">
        <v>4</v>
      </c>
      <c r="B5" s="182" t="s">
        <v>257</v>
      </c>
      <c r="C5" s="175" t="s">
        <v>742</v>
      </c>
    </row>
    <row r="6" spans="1:3" s="181" customFormat="1" ht="65.25" customHeight="1">
      <c r="A6" s="708" t="s">
        <v>371</v>
      </c>
      <c r="B6" s="709"/>
      <c r="C6" s="709"/>
    </row>
    <row r="7" spans="1:3">
      <c r="A7" s="382" t="s">
        <v>326</v>
      </c>
      <c r="B7" s="383" t="s">
        <v>258</v>
      </c>
    </row>
    <row r="8" spans="1:3">
      <c r="A8" s="384">
        <v>1</v>
      </c>
      <c r="B8" s="380" t="s">
        <v>223</v>
      </c>
    </row>
    <row r="9" spans="1:3">
      <c r="A9" s="384">
        <v>2</v>
      </c>
      <c r="B9" s="380" t="s">
        <v>259</v>
      </c>
    </row>
    <row r="10" spans="1:3">
      <c r="A10" s="384">
        <v>3</v>
      </c>
      <c r="B10" s="380" t="s">
        <v>260</v>
      </c>
    </row>
    <row r="11" spans="1:3">
      <c r="A11" s="384">
        <v>4</v>
      </c>
      <c r="B11" s="380" t="s">
        <v>261</v>
      </c>
      <c r="C11" s="176"/>
    </row>
    <row r="12" spans="1:3">
      <c r="A12" s="384">
        <v>5</v>
      </c>
      <c r="B12" s="380" t="s">
        <v>187</v>
      </c>
    </row>
    <row r="13" spans="1:3">
      <c r="A13" s="384">
        <v>6</v>
      </c>
      <c r="B13" s="385" t="s">
        <v>149</v>
      </c>
    </row>
    <row r="14" spans="1:3">
      <c r="A14" s="384">
        <v>7</v>
      </c>
      <c r="B14" s="380" t="s">
        <v>262</v>
      </c>
    </row>
    <row r="15" spans="1:3">
      <c r="A15" s="384">
        <v>8</v>
      </c>
      <c r="B15" s="380" t="s">
        <v>265</v>
      </c>
    </row>
    <row r="16" spans="1:3">
      <c r="A16" s="384">
        <v>9</v>
      </c>
      <c r="B16" s="380" t="s">
        <v>88</v>
      </c>
    </row>
    <row r="17" spans="1:2">
      <c r="A17" s="386" t="s">
        <v>417</v>
      </c>
      <c r="B17" s="380" t="s">
        <v>397</v>
      </c>
    </row>
    <row r="18" spans="1:2">
      <c r="A18" s="384">
        <v>10</v>
      </c>
      <c r="B18" s="380" t="s">
        <v>268</v>
      </c>
    </row>
    <row r="19" spans="1:2">
      <c r="A19" s="384">
        <v>11</v>
      </c>
      <c r="B19" s="385" t="s">
        <v>249</v>
      </c>
    </row>
    <row r="20" spans="1:2">
      <c r="A20" s="384">
        <v>12</v>
      </c>
      <c r="B20" s="385" t="s">
        <v>246</v>
      </c>
    </row>
    <row r="21" spans="1:2">
      <c r="A21" s="384">
        <v>13</v>
      </c>
      <c r="B21" s="387" t="s">
        <v>362</v>
      </c>
    </row>
    <row r="22" spans="1:2">
      <c r="A22" s="384">
        <v>14</v>
      </c>
      <c r="B22" s="388" t="s">
        <v>391</v>
      </c>
    </row>
    <row r="23" spans="1:2">
      <c r="A23" s="389">
        <v>15</v>
      </c>
      <c r="B23" s="385" t="s">
        <v>77</v>
      </c>
    </row>
    <row r="24" spans="1:2">
      <c r="A24" s="389">
        <v>15.1</v>
      </c>
      <c r="B24" s="380" t="s">
        <v>426</v>
      </c>
    </row>
    <row r="25" spans="1:2">
      <c r="A25" s="389">
        <v>16</v>
      </c>
      <c r="B25" s="380" t="s">
        <v>494</v>
      </c>
    </row>
    <row r="26" spans="1:2">
      <c r="A26" s="389">
        <v>17</v>
      </c>
      <c r="B26" s="380" t="s">
        <v>703</v>
      </c>
    </row>
    <row r="27" spans="1:2">
      <c r="A27" s="389">
        <v>18</v>
      </c>
      <c r="B27" s="380" t="s">
        <v>712</v>
      </c>
    </row>
    <row r="28" spans="1:2">
      <c r="A28" s="389">
        <v>19</v>
      </c>
      <c r="B28" s="380" t="s">
        <v>713</v>
      </c>
    </row>
    <row r="29" spans="1:2">
      <c r="A29" s="389">
        <v>20</v>
      </c>
      <c r="B29" s="388" t="s">
        <v>589</v>
      </c>
    </row>
    <row r="30" spans="1:2">
      <c r="A30" s="389">
        <v>21</v>
      </c>
      <c r="B30" s="380" t="s">
        <v>607</v>
      </c>
    </row>
    <row r="31" spans="1:2">
      <c r="A31" s="389">
        <v>22</v>
      </c>
      <c r="B31" s="552" t="s">
        <v>624</v>
      </c>
    </row>
    <row r="32" spans="1:2" ht="26">
      <c r="A32" s="389">
        <v>23</v>
      </c>
      <c r="B32" s="552" t="s">
        <v>704</v>
      </c>
    </row>
    <row r="33" spans="1:2">
      <c r="A33" s="389">
        <v>24</v>
      </c>
      <c r="B33" s="380" t="s">
        <v>705</v>
      </c>
    </row>
    <row r="34" spans="1:2">
      <c r="A34" s="389">
        <v>25</v>
      </c>
      <c r="B34" s="380" t="s">
        <v>706</v>
      </c>
    </row>
    <row r="35" spans="1:2">
      <c r="A35" s="384">
        <v>26</v>
      </c>
      <c r="B35" s="388"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90" zoomScaleNormal="90" workbookViewId="0">
      <pane xSplit="1" ySplit="5" topLeftCell="B6" activePane="bottomRight" state="frozen"/>
      <selection pane="topRight" activeCell="B1" sqref="B1"/>
      <selection pane="bottomLeft" activeCell="A5" sqref="A5"/>
      <selection pane="bottomRight" activeCell="C18" sqref="C18"/>
    </sheetView>
  </sheetViews>
  <sheetFormatPr defaultRowHeight="14.5"/>
  <cols>
    <col min="1" max="1" width="9.54296875" style="5" bestFit="1" customWidth="1"/>
    <col min="2" max="2" width="132.453125" style="2" customWidth="1"/>
    <col min="3" max="3" width="18.453125" style="2" customWidth="1"/>
  </cols>
  <sheetData>
    <row r="1" spans="1:6">
      <c r="A1" s="16" t="s">
        <v>188</v>
      </c>
      <c r="B1" s="15" t="str">
        <f>Info!C2</f>
        <v>სს " პაშა ბანკი საქართველო"</v>
      </c>
      <c r="D1" s="2"/>
      <c r="E1" s="2"/>
      <c r="F1" s="2"/>
    </row>
    <row r="2" spans="1:6" s="20" customFormat="1" ht="15.75" customHeight="1">
      <c r="A2" s="20" t="s">
        <v>189</v>
      </c>
      <c r="B2" s="611">
        <f>'1. key ratios'!B2</f>
        <v>44469</v>
      </c>
    </row>
    <row r="3" spans="1:6" s="20" customFormat="1" ht="15.75" customHeight="1"/>
    <row r="4" spans="1:6" ht="15" thickBot="1">
      <c r="A4" s="5" t="s">
        <v>335</v>
      </c>
      <c r="B4" s="57" t="s">
        <v>88</v>
      </c>
    </row>
    <row r="5" spans="1:6">
      <c r="A5" s="128" t="s">
        <v>26</v>
      </c>
      <c r="B5" s="129"/>
      <c r="C5" s="130" t="s">
        <v>27</v>
      </c>
    </row>
    <row r="6" spans="1:6">
      <c r="A6" s="131">
        <v>1</v>
      </c>
      <c r="B6" s="76" t="s">
        <v>28</v>
      </c>
      <c r="C6" s="263">
        <f>SUM(C7:C11)</f>
        <v>73194081.539999992</v>
      </c>
    </row>
    <row r="7" spans="1:6">
      <c r="A7" s="131">
        <v>2</v>
      </c>
      <c r="B7" s="73" t="s">
        <v>29</v>
      </c>
      <c r="C7" s="264">
        <v>103000000</v>
      </c>
    </row>
    <row r="8" spans="1:6">
      <c r="A8" s="131">
        <v>3</v>
      </c>
      <c r="B8" s="67" t="s">
        <v>30</v>
      </c>
      <c r="C8" s="264"/>
    </row>
    <row r="9" spans="1:6">
      <c r="A9" s="131">
        <v>4</v>
      </c>
      <c r="B9" s="67" t="s">
        <v>31</v>
      </c>
      <c r="C9" s="264"/>
    </row>
    <row r="10" spans="1:6">
      <c r="A10" s="131">
        <v>5</v>
      </c>
      <c r="B10" s="67" t="s">
        <v>32</v>
      </c>
      <c r="C10" s="264"/>
    </row>
    <row r="11" spans="1:6">
      <c r="A11" s="131">
        <v>6</v>
      </c>
      <c r="B11" s="74" t="s">
        <v>33</v>
      </c>
      <c r="C11" s="264">
        <v>-29805918.460000001</v>
      </c>
    </row>
    <row r="12" spans="1:6" s="4" customFormat="1">
      <c r="A12" s="131">
        <v>7</v>
      </c>
      <c r="B12" s="76" t="s">
        <v>34</v>
      </c>
      <c r="C12" s="265">
        <f>SUM(C13:C27)</f>
        <v>4187085.74</v>
      </c>
    </row>
    <row r="13" spans="1:6" s="4" customFormat="1">
      <c r="A13" s="131">
        <v>8</v>
      </c>
      <c r="B13" s="75" t="s">
        <v>35</v>
      </c>
      <c r="C13" s="266"/>
    </row>
    <row r="14" spans="1:6" s="4" customFormat="1" ht="26">
      <c r="A14" s="131">
        <v>9</v>
      </c>
      <c r="B14" s="68" t="s">
        <v>36</v>
      </c>
      <c r="C14" s="266"/>
    </row>
    <row r="15" spans="1:6" s="4" customFormat="1">
      <c r="A15" s="131">
        <v>10</v>
      </c>
      <c r="B15" s="69" t="s">
        <v>37</v>
      </c>
      <c r="C15" s="266">
        <v>4187085.74</v>
      </c>
    </row>
    <row r="16" spans="1:6" s="4" customFormat="1">
      <c r="A16" s="131">
        <v>11</v>
      </c>
      <c r="B16" s="70" t="s">
        <v>38</v>
      </c>
      <c r="C16" s="266"/>
    </row>
    <row r="17" spans="1:3" s="4" customFormat="1">
      <c r="A17" s="131">
        <v>12</v>
      </c>
      <c r="B17" s="69" t="s">
        <v>39</v>
      </c>
      <c r="C17" s="266"/>
    </row>
    <row r="18" spans="1:3" s="4" customFormat="1">
      <c r="A18" s="131">
        <v>13</v>
      </c>
      <c r="B18" s="69" t="s">
        <v>40</v>
      </c>
      <c r="C18" s="266"/>
    </row>
    <row r="19" spans="1:3" s="4" customFormat="1">
      <c r="A19" s="131">
        <v>14</v>
      </c>
      <c r="B19" s="69" t="s">
        <v>41</v>
      </c>
      <c r="C19" s="266"/>
    </row>
    <row r="20" spans="1:3" s="4" customFormat="1" ht="26">
      <c r="A20" s="131">
        <v>15</v>
      </c>
      <c r="B20" s="69" t="s">
        <v>42</v>
      </c>
      <c r="C20" s="266"/>
    </row>
    <row r="21" spans="1:3" s="4" customFormat="1" ht="26">
      <c r="A21" s="131">
        <v>16</v>
      </c>
      <c r="B21" s="68" t="s">
        <v>43</v>
      </c>
      <c r="C21" s="266"/>
    </row>
    <row r="22" spans="1:3" s="4" customFormat="1">
      <c r="A22" s="131">
        <v>17</v>
      </c>
      <c r="B22" s="132" t="s">
        <v>44</v>
      </c>
      <c r="C22" s="266">
        <v>0</v>
      </c>
    </row>
    <row r="23" spans="1:3" s="4" customFormat="1" ht="26">
      <c r="A23" s="131">
        <v>18</v>
      </c>
      <c r="B23" s="68" t="s">
        <v>45</v>
      </c>
      <c r="C23" s="266"/>
    </row>
    <row r="24" spans="1:3" s="4" customFormat="1" ht="26">
      <c r="A24" s="131">
        <v>19</v>
      </c>
      <c r="B24" s="68" t="s">
        <v>46</v>
      </c>
      <c r="C24" s="266"/>
    </row>
    <row r="25" spans="1:3" s="4" customFormat="1" ht="26">
      <c r="A25" s="131">
        <v>20</v>
      </c>
      <c r="B25" s="71" t="s">
        <v>47</v>
      </c>
      <c r="C25" s="266"/>
    </row>
    <row r="26" spans="1:3" s="4" customFormat="1">
      <c r="A26" s="131">
        <v>21</v>
      </c>
      <c r="B26" s="71" t="s">
        <v>48</v>
      </c>
      <c r="C26" s="266"/>
    </row>
    <row r="27" spans="1:3" s="4" customFormat="1" ht="26">
      <c r="A27" s="131">
        <v>22</v>
      </c>
      <c r="B27" s="71" t="s">
        <v>49</v>
      </c>
      <c r="C27" s="266"/>
    </row>
    <row r="28" spans="1:3" s="4" customFormat="1">
      <c r="A28" s="131">
        <v>23</v>
      </c>
      <c r="B28" s="77" t="s">
        <v>23</v>
      </c>
      <c r="C28" s="265">
        <f>C6-C12</f>
        <v>69006995.799999997</v>
      </c>
    </row>
    <row r="29" spans="1:3" s="4" customFormat="1">
      <c r="A29" s="133"/>
      <c r="B29" s="72"/>
      <c r="C29" s="266"/>
    </row>
    <row r="30" spans="1:3" s="4" customFormat="1">
      <c r="A30" s="133">
        <v>24</v>
      </c>
      <c r="B30" s="77" t="s">
        <v>50</v>
      </c>
      <c r="C30" s="265">
        <f>C31+C34</f>
        <v>0</v>
      </c>
    </row>
    <row r="31" spans="1:3" s="4" customFormat="1">
      <c r="A31" s="133">
        <v>25</v>
      </c>
      <c r="B31" s="67" t="s">
        <v>51</v>
      </c>
      <c r="C31" s="267">
        <f>C32+C33</f>
        <v>0</v>
      </c>
    </row>
    <row r="32" spans="1:3" s="4" customFormat="1">
      <c r="A32" s="133">
        <v>26</v>
      </c>
      <c r="B32" s="173" t="s">
        <v>52</v>
      </c>
      <c r="C32" s="266"/>
    </row>
    <row r="33" spans="1:3" s="4" customFormat="1">
      <c r="A33" s="133">
        <v>27</v>
      </c>
      <c r="B33" s="173" t="s">
        <v>53</v>
      </c>
      <c r="C33" s="266"/>
    </row>
    <row r="34" spans="1:3" s="4" customFormat="1">
      <c r="A34" s="133">
        <v>28</v>
      </c>
      <c r="B34" s="67" t="s">
        <v>54</v>
      </c>
      <c r="C34" s="266"/>
    </row>
    <row r="35" spans="1:3" s="4" customFormat="1">
      <c r="A35" s="133">
        <v>29</v>
      </c>
      <c r="B35" s="77" t="s">
        <v>55</v>
      </c>
      <c r="C35" s="265">
        <f>SUM(C36:C40)</f>
        <v>0</v>
      </c>
    </row>
    <row r="36" spans="1:3" s="4" customFormat="1">
      <c r="A36" s="133">
        <v>30</v>
      </c>
      <c r="B36" s="68" t="s">
        <v>56</v>
      </c>
      <c r="C36" s="266"/>
    </row>
    <row r="37" spans="1:3" s="4" customFormat="1">
      <c r="A37" s="133">
        <v>31</v>
      </c>
      <c r="B37" s="69" t="s">
        <v>57</v>
      </c>
      <c r="C37" s="266"/>
    </row>
    <row r="38" spans="1:3" s="4" customFormat="1" ht="26">
      <c r="A38" s="133">
        <v>32</v>
      </c>
      <c r="B38" s="68" t="s">
        <v>58</v>
      </c>
      <c r="C38" s="266"/>
    </row>
    <row r="39" spans="1:3" s="4" customFormat="1" ht="26">
      <c r="A39" s="133">
        <v>33</v>
      </c>
      <c r="B39" s="68" t="s">
        <v>46</v>
      </c>
      <c r="C39" s="266"/>
    </row>
    <row r="40" spans="1:3" s="4" customFormat="1" ht="26">
      <c r="A40" s="133">
        <v>34</v>
      </c>
      <c r="B40" s="71" t="s">
        <v>59</v>
      </c>
      <c r="C40" s="266"/>
    </row>
    <row r="41" spans="1:3" s="4" customFormat="1">
      <c r="A41" s="133">
        <v>35</v>
      </c>
      <c r="B41" s="77" t="s">
        <v>24</v>
      </c>
      <c r="C41" s="265">
        <f>C30-C35</f>
        <v>0</v>
      </c>
    </row>
    <row r="42" spans="1:3" s="4" customFormat="1">
      <c r="A42" s="133"/>
      <c r="B42" s="72"/>
      <c r="C42" s="266"/>
    </row>
    <row r="43" spans="1:3" s="4" customFormat="1">
      <c r="A43" s="133">
        <v>36</v>
      </c>
      <c r="B43" s="78" t="s">
        <v>60</v>
      </c>
      <c r="C43" s="265">
        <f>SUM(C44:C46)</f>
        <v>31465172.753400002</v>
      </c>
    </row>
    <row r="44" spans="1:3" s="4" customFormat="1">
      <c r="A44" s="133">
        <v>37</v>
      </c>
      <c r="B44" s="67" t="s">
        <v>61</v>
      </c>
      <c r="C44" s="266">
        <v>26353969.331900001</v>
      </c>
    </row>
    <row r="45" spans="1:3" s="4" customFormat="1">
      <c r="A45" s="133">
        <v>38</v>
      </c>
      <c r="B45" s="67" t="s">
        <v>62</v>
      </c>
      <c r="C45" s="266"/>
    </row>
    <row r="46" spans="1:3" s="4" customFormat="1">
      <c r="A46" s="133">
        <v>39</v>
      </c>
      <c r="B46" s="67" t="s">
        <v>63</v>
      </c>
      <c r="C46" s="266">
        <v>5111203.4215000002</v>
      </c>
    </row>
    <row r="47" spans="1:3" s="4" customFormat="1">
      <c r="A47" s="133">
        <v>40</v>
      </c>
      <c r="B47" s="78" t="s">
        <v>64</v>
      </c>
      <c r="C47" s="265">
        <f>SUM(C48:C51)</f>
        <v>0</v>
      </c>
    </row>
    <row r="48" spans="1:3" s="4" customFormat="1">
      <c r="A48" s="133">
        <v>41</v>
      </c>
      <c r="B48" s="68" t="s">
        <v>65</v>
      </c>
      <c r="C48" s="266"/>
    </row>
    <row r="49" spans="1:3" s="4" customFormat="1">
      <c r="A49" s="133">
        <v>42</v>
      </c>
      <c r="B49" s="69" t="s">
        <v>66</v>
      </c>
      <c r="C49" s="266"/>
    </row>
    <row r="50" spans="1:3" s="4" customFormat="1" ht="26">
      <c r="A50" s="133">
        <v>43</v>
      </c>
      <c r="B50" s="68" t="s">
        <v>67</v>
      </c>
      <c r="C50" s="266"/>
    </row>
    <row r="51" spans="1:3" s="4" customFormat="1" ht="26">
      <c r="A51" s="133">
        <v>44</v>
      </c>
      <c r="B51" s="68" t="s">
        <v>46</v>
      </c>
      <c r="C51" s="266"/>
    </row>
    <row r="52" spans="1:3" s="4" customFormat="1" ht="15" thickBot="1">
      <c r="A52" s="134">
        <v>45</v>
      </c>
      <c r="B52" s="135" t="s">
        <v>25</v>
      </c>
      <c r="C52" s="268">
        <f>C43-C47</f>
        <v>31465172.753400002</v>
      </c>
    </row>
    <row r="55" spans="1:3">
      <c r="B55" s="2"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headerFooter>
    <oddFooter>&amp;C_x000D_&amp;1#&amp;"Calibri"&amp;10&amp;K000000 C1 - FOR INTERNAL USE ONLY</oddFooter>
  </headerFooter>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zoomScale="90" zoomScaleNormal="90" workbookViewId="0">
      <selection activeCell="H23" sqref="H23"/>
    </sheetView>
  </sheetViews>
  <sheetFormatPr defaultColWidth="9.08984375" defaultRowHeight="13"/>
  <cols>
    <col min="1" max="1" width="10.90625" style="331" bestFit="1" customWidth="1"/>
    <col min="2" max="2" width="59" style="331" customWidth="1"/>
    <col min="3" max="3" width="16.6328125" style="331" bestFit="1" customWidth="1"/>
    <col min="4" max="4" width="22.08984375" style="331" customWidth="1"/>
    <col min="5" max="16384" width="9.08984375" style="331"/>
  </cols>
  <sheetData>
    <row r="1" spans="1:4" ht="13.5">
      <c r="A1" s="16" t="s">
        <v>188</v>
      </c>
      <c r="B1" s="15" t="str">
        <f>Info!C2</f>
        <v>სს " პაშა ბანკი საქართველო"</v>
      </c>
    </row>
    <row r="2" spans="1:4" s="20" customFormat="1" ht="15.75" customHeight="1">
      <c r="A2" s="20" t="s">
        <v>189</v>
      </c>
      <c r="B2" s="611">
        <f>'1. key ratios'!B2</f>
        <v>44469</v>
      </c>
    </row>
    <row r="3" spans="1:4" s="20" customFormat="1" ht="15.75" customHeight="1"/>
    <row r="4" spans="1:4" ht="13.5" thickBot="1">
      <c r="A4" s="332" t="s">
        <v>396</v>
      </c>
      <c r="B4" s="367" t="s">
        <v>397</v>
      </c>
    </row>
    <row r="5" spans="1:4" s="368" customFormat="1">
      <c r="A5" s="728" t="s">
        <v>398</v>
      </c>
      <c r="B5" s="729"/>
      <c r="C5" s="357" t="s">
        <v>399</v>
      </c>
      <c r="D5" s="358" t="s">
        <v>400</v>
      </c>
    </row>
    <row r="6" spans="1:4" s="369" customFormat="1">
      <c r="A6" s="359">
        <v>1</v>
      </c>
      <c r="B6" s="360" t="s">
        <v>401</v>
      </c>
      <c r="C6" s="360"/>
      <c r="D6" s="361"/>
    </row>
    <row r="7" spans="1:4" s="369" customFormat="1">
      <c r="A7" s="362" t="s">
        <v>402</v>
      </c>
      <c r="B7" s="363" t="s">
        <v>403</v>
      </c>
      <c r="C7" s="418">
        <v>4.4999999999999998E-2</v>
      </c>
      <c r="D7" s="581">
        <f>C7*'5. RWA'!$C$13</f>
        <v>20326087.944703463</v>
      </c>
    </row>
    <row r="8" spans="1:4" s="369" customFormat="1">
      <c r="A8" s="362" t="s">
        <v>404</v>
      </c>
      <c r="B8" s="363" t="s">
        <v>405</v>
      </c>
      <c r="C8" s="419">
        <v>0.06</v>
      </c>
      <c r="D8" s="581">
        <f>C8*'5. RWA'!$C$13</f>
        <v>27101450.592937954</v>
      </c>
    </row>
    <row r="9" spans="1:4" s="369" customFormat="1">
      <c r="A9" s="362" t="s">
        <v>406</v>
      </c>
      <c r="B9" s="363" t="s">
        <v>407</v>
      </c>
      <c r="C9" s="419">
        <v>0.08</v>
      </c>
      <c r="D9" s="581">
        <f>C9*'5. RWA'!$C$13</f>
        <v>36135267.457250603</v>
      </c>
    </row>
    <row r="10" spans="1:4" s="369" customFormat="1">
      <c r="A10" s="359" t="s">
        <v>408</v>
      </c>
      <c r="B10" s="360" t="s">
        <v>409</v>
      </c>
      <c r="C10" s="420"/>
      <c r="D10" s="416"/>
    </row>
    <row r="11" spans="1:4" s="370" customFormat="1">
      <c r="A11" s="364" t="s">
        <v>410</v>
      </c>
      <c r="B11" s="365" t="s">
        <v>472</v>
      </c>
      <c r="C11" s="421"/>
      <c r="D11" s="582">
        <f>C11*'5. RWA'!$C$13</f>
        <v>0</v>
      </c>
    </row>
    <row r="12" spans="1:4" s="370" customFormat="1">
      <c r="A12" s="364" t="s">
        <v>411</v>
      </c>
      <c r="B12" s="365" t="s">
        <v>412</v>
      </c>
      <c r="C12" s="421"/>
      <c r="D12" s="582">
        <f>C12*'5. RWA'!$C$13</f>
        <v>0</v>
      </c>
    </row>
    <row r="13" spans="1:4" s="370" customFormat="1">
      <c r="A13" s="364" t="s">
        <v>413</v>
      </c>
      <c r="B13" s="365" t="s">
        <v>414</v>
      </c>
      <c r="C13" s="421"/>
      <c r="D13" s="582">
        <f>C13*'5. RWA'!$C$13</f>
        <v>0</v>
      </c>
    </row>
    <row r="14" spans="1:4" s="369" customFormat="1">
      <c r="A14" s="359" t="s">
        <v>415</v>
      </c>
      <c r="B14" s="360" t="s">
        <v>470</v>
      </c>
      <c r="C14" s="422"/>
      <c r="D14" s="416"/>
    </row>
    <row r="15" spans="1:4" s="369" customFormat="1">
      <c r="A15" s="381" t="s">
        <v>418</v>
      </c>
      <c r="B15" s="365" t="s">
        <v>471</v>
      </c>
      <c r="C15" s="421">
        <v>2.3777108395229906E-2</v>
      </c>
      <c r="D15" s="582">
        <f>C15*'5. RWA'!$C$13</f>
        <v>10739902.140270893</v>
      </c>
    </row>
    <row r="16" spans="1:4" s="369" customFormat="1">
      <c r="A16" s="381" t="s">
        <v>419</v>
      </c>
      <c r="B16" s="365" t="s">
        <v>421</v>
      </c>
      <c r="C16" s="421">
        <v>3.1729824576587087E-2</v>
      </c>
      <c r="D16" s="582">
        <f>C16*'5. RWA'!$C$13</f>
        <v>14332071.218082722</v>
      </c>
    </row>
    <row r="17" spans="1:6" s="369" customFormat="1">
      <c r="A17" s="381" t="s">
        <v>420</v>
      </c>
      <c r="B17" s="365" t="s">
        <v>468</v>
      </c>
      <c r="C17" s="421">
        <v>7.2233548417824367E-2</v>
      </c>
      <c r="D17" s="582">
        <f>C17*'5. RWA'!$C$13</f>
        <v>32627232.393304311</v>
      </c>
    </row>
    <row r="18" spans="1:6" s="368" customFormat="1">
      <c r="A18" s="730" t="s">
        <v>469</v>
      </c>
      <c r="B18" s="731"/>
      <c r="C18" s="423" t="s">
        <v>399</v>
      </c>
      <c r="D18" s="417" t="s">
        <v>400</v>
      </c>
    </row>
    <row r="19" spans="1:6" s="369" customFormat="1">
      <c r="A19" s="366">
        <v>4</v>
      </c>
      <c r="B19" s="365" t="s">
        <v>23</v>
      </c>
      <c r="C19" s="421">
        <f>C7+C11+C12+C13+C15</f>
        <v>6.8777108395229908E-2</v>
      </c>
      <c r="D19" s="581">
        <f>C19*'5. RWA'!$C$13</f>
        <v>31065990.08497436</v>
      </c>
    </row>
    <row r="20" spans="1:6" s="369" customFormat="1">
      <c r="A20" s="366">
        <v>5</v>
      </c>
      <c r="B20" s="365" t="s">
        <v>89</v>
      </c>
      <c r="C20" s="421">
        <f>C8+C11+C12+C13+C16</f>
        <v>9.1729824576587085E-2</v>
      </c>
      <c r="D20" s="581">
        <f>C20*'5. RWA'!$C$13</f>
        <v>41433521.811020672</v>
      </c>
    </row>
    <row r="21" spans="1:6" s="369" customFormat="1" ht="13.5" thickBot="1">
      <c r="A21" s="371" t="s">
        <v>416</v>
      </c>
      <c r="B21" s="372" t="s">
        <v>88</v>
      </c>
      <c r="C21" s="424">
        <f>C9+C11+C12+C13+C17</f>
        <v>0.15223354841782438</v>
      </c>
      <c r="D21" s="583">
        <f>C21*'5. RWA'!$C$13</f>
        <v>68762499.850554928</v>
      </c>
    </row>
    <row r="22" spans="1:6">
      <c r="F22" s="332"/>
    </row>
    <row r="23" spans="1:6" ht="65">
      <c r="B23" s="22"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90" zoomScaleNormal="90" workbookViewId="0">
      <pane xSplit="1" ySplit="5" topLeftCell="B6" activePane="bottomRight" state="frozen"/>
      <selection pane="topRight" activeCell="B1" sqref="B1"/>
      <selection pane="bottomLeft" activeCell="A5" sqref="A5"/>
      <selection pane="bottomRight" activeCell="F5" sqref="F5"/>
    </sheetView>
  </sheetViews>
  <sheetFormatPr defaultRowHeight="14.5"/>
  <cols>
    <col min="1" max="1" width="10.6328125" style="63" customWidth="1"/>
    <col min="2" max="2" width="91.90625" style="63" customWidth="1"/>
    <col min="3" max="3" width="33" style="63" customWidth="1"/>
    <col min="4" max="4" width="32.36328125" style="63" customWidth="1"/>
    <col min="5" max="5" width="9.453125" customWidth="1"/>
  </cols>
  <sheetData>
    <row r="1" spans="1:6">
      <c r="A1" s="16" t="s">
        <v>188</v>
      </c>
      <c r="B1" s="18" t="str">
        <f>Info!C2</f>
        <v>სს " პაშა ბანკი საქართველო"</v>
      </c>
      <c r="E1" s="2"/>
      <c r="F1" s="2"/>
    </row>
    <row r="2" spans="1:6" s="20" customFormat="1" ht="15.75" customHeight="1">
      <c r="A2" s="20" t="s">
        <v>189</v>
      </c>
      <c r="B2" s="611">
        <f>'1. key ratios'!B2</f>
        <v>44469</v>
      </c>
    </row>
    <row r="3" spans="1:6" s="20" customFormat="1" ht="15.75" customHeight="1">
      <c r="A3" s="25"/>
    </row>
    <row r="4" spans="1:6" s="20" customFormat="1" ht="15.75" customHeight="1" thickBot="1">
      <c r="A4" s="20" t="s">
        <v>336</v>
      </c>
      <c r="B4" s="197" t="s">
        <v>268</v>
      </c>
      <c r="D4" s="199" t="s">
        <v>93</v>
      </c>
    </row>
    <row r="5" spans="1:6" ht="70.75" customHeight="1">
      <c r="A5" s="146" t="s">
        <v>26</v>
      </c>
      <c r="B5" s="147" t="s">
        <v>231</v>
      </c>
      <c r="C5" s="148" t="s">
        <v>236</v>
      </c>
      <c r="D5" s="198" t="s">
        <v>269</v>
      </c>
    </row>
    <row r="6" spans="1:6">
      <c r="A6" s="136">
        <v>1</v>
      </c>
      <c r="B6" s="79" t="s">
        <v>154</v>
      </c>
      <c r="C6" s="269">
        <v>5651974.6952999998</v>
      </c>
      <c r="D6" s="137"/>
      <c r="E6" s="8"/>
    </row>
    <row r="7" spans="1:6">
      <c r="A7" s="136">
        <v>2</v>
      </c>
      <c r="B7" s="80" t="s">
        <v>155</v>
      </c>
      <c r="C7" s="270">
        <v>47121585.483899996</v>
      </c>
      <c r="D7" s="138"/>
      <c r="E7" s="8"/>
    </row>
    <row r="8" spans="1:6">
      <c r="A8" s="136">
        <v>3</v>
      </c>
      <c r="B8" s="80" t="s">
        <v>156</v>
      </c>
      <c r="C8" s="270">
        <v>71199934.902999997</v>
      </c>
      <c r="D8" s="138"/>
      <c r="E8" s="8"/>
    </row>
    <row r="9" spans="1:6">
      <c r="A9" s="136">
        <v>4</v>
      </c>
      <c r="B9" s="80" t="s">
        <v>185</v>
      </c>
      <c r="C9" s="270">
        <v>0</v>
      </c>
      <c r="D9" s="138"/>
      <c r="E9" s="8"/>
    </row>
    <row r="10" spans="1:6">
      <c r="A10" s="136">
        <v>5</v>
      </c>
      <c r="B10" s="80" t="s">
        <v>157</v>
      </c>
      <c r="C10" s="270">
        <v>37736621.068399996</v>
      </c>
      <c r="D10" s="138"/>
      <c r="E10" s="8"/>
    </row>
    <row r="11" spans="1:6">
      <c r="A11" s="136">
        <v>6.1</v>
      </c>
      <c r="B11" s="80" t="s">
        <v>158</v>
      </c>
      <c r="C11" s="271">
        <v>284026273.80910003</v>
      </c>
      <c r="D11" s="139"/>
      <c r="E11" s="9"/>
    </row>
    <row r="12" spans="1:6">
      <c r="A12" s="136">
        <v>6.2</v>
      </c>
      <c r="B12" s="81" t="s">
        <v>159</v>
      </c>
      <c r="C12" s="271">
        <v>-17980066.343399998</v>
      </c>
      <c r="D12" s="139"/>
      <c r="E12" s="9"/>
    </row>
    <row r="13" spans="1:6">
      <c r="A13" s="136" t="s">
        <v>369</v>
      </c>
      <c r="B13" s="82" t="s">
        <v>370</v>
      </c>
      <c r="C13" s="271">
        <v>4526424.7781000007</v>
      </c>
      <c r="D13" s="138" t="s">
        <v>762</v>
      </c>
      <c r="E13" s="9"/>
    </row>
    <row r="14" spans="1:6">
      <c r="A14" s="136" t="s">
        <v>492</v>
      </c>
      <c r="B14" s="82" t="s">
        <v>481</v>
      </c>
      <c r="C14" s="271"/>
      <c r="D14" s="139"/>
      <c r="E14" s="9"/>
    </row>
    <row r="15" spans="1:6">
      <c r="A15" s="136">
        <v>6</v>
      </c>
      <c r="B15" s="80" t="s">
        <v>160</v>
      </c>
      <c r="C15" s="276">
        <f>C11+C12</f>
        <v>266046207.46570003</v>
      </c>
      <c r="D15" s="139"/>
      <c r="E15" s="8"/>
    </row>
    <row r="16" spans="1:6">
      <c r="A16" s="136">
        <v>7</v>
      </c>
      <c r="B16" s="80" t="s">
        <v>161</v>
      </c>
      <c r="C16" s="270">
        <v>1967770.5468000001</v>
      </c>
      <c r="D16" s="138"/>
      <c r="E16" s="8"/>
    </row>
    <row r="17" spans="1:5">
      <c r="A17" s="136">
        <v>8</v>
      </c>
      <c r="B17" s="80" t="s">
        <v>162</v>
      </c>
      <c r="C17" s="270">
        <v>98175</v>
      </c>
      <c r="D17" s="138"/>
      <c r="E17" s="8"/>
    </row>
    <row r="18" spans="1:5">
      <c r="A18" s="136">
        <v>9</v>
      </c>
      <c r="B18" s="80" t="s">
        <v>163</v>
      </c>
      <c r="C18" s="270">
        <v>0</v>
      </c>
      <c r="D18" s="138"/>
      <c r="E18" s="8"/>
    </row>
    <row r="19" spans="1:5">
      <c r="A19" s="136">
        <v>9.1</v>
      </c>
      <c r="B19" s="82" t="s">
        <v>245</v>
      </c>
      <c r="C19" s="271"/>
      <c r="D19" s="138"/>
      <c r="E19" s="8"/>
    </row>
    <row r="20" spans="1:5">
      <c r="A20" s="136">
        <v>9.1999999999999993</v>
      </c>
      <c r="B20" s="82" t="s">
        <v>235</v>
      </c>
      <c r="C20" s="271"/>
      <c r="D20" s="138"/>
      <c r="E20" s="8"/>
    </row>
    <row r="21" spans="1:5">
      <c r="A21" s="136">
        <v>9.3000000000000007</v>
      </c>
      <c r="B21" s="82" t="s">
        <v>234</v>
      </c>
      <c r="C21" s="271"/>
      <c r="D21" s="138"/>
      <c r="E21" s="8"/>
    </row>
    <row r="22" spans="1:5">
      <c r="A22" s="136">
        <v>10</v>
      </c>
      <c r="B22" s="80" t="s">
        <v>164</v>
      </c>
      <c r="C22" s="270">
        <v>15335810.289999999</v>
      </c>
      <c r="D22" s="138"/>
      <c r="E22" s="8"/>
    </row>
    <row r="23" spans="1:5">
      <c r="A23" s="136">
        <v>10.1</v>
      </c>
      <c r="B23" s="82" t="s">
        <v>233</v>
      </c>
      <c r="C23" s="270">
        <v>4187085.74</v>
      </c>
      <c r="D23" s="225" t="s">
        <v>343</v>
      </c>
      <c r="E23" s="8"/>
    </row>
    <row r="24" spans="1:5">
      <c r="A24" s="136">
        <v>11</v>
      </c>
      <c r="B24" s="83" t="s">
        <v>165</v>
      </c>
      <c r="C24" s="272">
        <v>3054955.7683000001</v>
      </c>
      <c r="D24" s="140"/>
      <c r="E24" s="8"/>
    </row>
    <row r="25" spans="1:5">
      <c r="A25" s="136">
        <v>12</v>
      </c>
      <c r="B25" s="85" t="s">
        <v>166</v>
      </c>
      <c r="C25" s="273">
        <f>SUM(C6:C10,C15:C18,C22,C24)</f>
        <v>448213035.22140002</v>
      </c>
      <c r="D25" s="141"/>
      <c r="E25" s="7"/>
    </row>
    <row r="26" spans="1:5">
      <c r="A26" s="136">
        <v>13</v>
      </c>
      <c r="B26" s="80" t="s">
        <v>167</v>
      </c>
      <c r="C26" s="274">
        <v>69864298.250200003</v>
      </c>
      <c r="D26" s="142"/>
      <c r="E26" s="8"/>
    </row>
    <row r="27" spans="1:5">
      <c r="A27" s="136">
        <v>14</v>
      </c>
      <c r="B27" s="80" t="s">
        <v>168</v>
      </c>
      <c r="C27" s="270">
        <v>51080207.820500001</v>
      </c>
      <c r="D27" s="138"/>
      <c r="E27" s="8"/>
    </row>
    <row r="28" spans="1:5">
      <c r="A28" s="136">
        <v>15</v>
      </c>
      <c r="B28" s="80" t="s">
        <v>169</v>
      </c>
      <c r="C28" s="270">
        <v>4280606.7761000004</v>
      </c>
      <c r="D28" s="138"/>
      <c r="E28" s="8"/>
    </row>
    <row r="29" spans="1:5">
      <c r="A29" s="136">
        <v>16</v>
      </c>
      <c r="B29" s="80" t="s">
        <v>170</v>
      </c>
      <c r="C29" s="270">
        <v>159115442.85250002</v>
      </c>
      <c r="D29" s="138"/>
      <c r="E29" s="8"/>
    </row>
    <row r="30" spans="1:5">
      <c r="A30" s="136">
        <v>17</v>
      </c>
      <c r="B30" s="80" t="s">
        <v>171</v>
      </c>
      <c r="C30" s="270">
        <v>0</v>
      </c>
      <c r="D30" s="138"/>
      <c r="E30" s="8"/>
    </row>
    <row r="31" spans="1:5">
      <c r="A31" s="136">
        <v>18</v>
      </c>
      <c r="B31" s="80" t="s">
        <v>172</v>
      </c>
      <c r="C31" s="270">
        <v>35614000</v>
      </c>
      <c r="D31" s="138"/>
      <c r="E31" s="8"/>
    </row>
    <row r="32" spans="1:5">
      <c r="A32" s="136">
        <v>19</v>
      </c>
      <c r="B32" s="80" t="s">
        <v>173</v>
      </c>
      <c r="C32" s="270">
        <v>7492532.1802999992</v>
      </c>
      <c r="D32" s="138"/>
      <c r="E32" s="8"/>
    </row>
    <row r="33" spans="1:5">
      <c r="A33" s="136">
        <v>20</v>
      </c>
      <c r="B33" s="80" t="s">
        <v>95</v>
      </c>
      <c r="C33" s="270">
        <v>16343865.8061</v>
      </c>
      <c r="D33" s="138"/>
      <c r="E33" s="8"/>
    </row>
    <row r="34" spans="1:5">
      <c r="A34" s="562">
        <v>20.100000000000001</v>
      </c>
      <c r="B34" s="84" t="s">
        <v>715</v>
      </c>
      <c r="C34" s="272">
        <v>584778.64339999994</v>
      </c>
      <c r="D34" s="138" t="s">
        <v>762</v>
      </c>
      <c r="E34" s="8"/>
    </row>
    <row r="35" spans="1:5">
      <c r="A35" s="136">
        <v>21</v>
      </c>
      <c r="B35" s="83" t="s">
        <v>174</v>
      </c>
      <c r="C35" s="272">
        <v>31228000</v>
      </c>
      <c r="D35" s="138"/>
      <c r="E35" s="8"/>
    </row>
    <row r="36" spans="1:5">
      <c r="A36" s="136">
        <v>21.1</v>
      </c>
      <c r="B36" s="84" t="s">
        <v>714</v>
      </c>
      <c r="C36" s="272">
        <v>26353969.331900001</v>
      </c>
      <c r="D36" s="138" t="s">
        <v>763</v>
      </c>
      <c r="E36" s="8"/>
    </row>
    <row r="37" spans="1:5">
      <c r="A37" s="136">
        <v>22</v>
      </c>
      <c r="B37" s="85" t="s">
        <v>175</v>
      </c>
      <c r="C37" s="273">
        <f>SUM(C26:C33)+C35</f>
        <v>375018953.68570006</v>
      </c>
      <c r="D37" s="141"/>
      <c r="E37" s="7"/>
    </row>
    <row r="38" spans="1:5">
      <c r="A38" s="136">
        <v>23</v>
      </c>
      <c r="B38" s="83" t="s">
        <v>176</v>
      </c>
      <c r="C38" s="270">
        <v>103000000</v>
      </c>
      <c r="D38" s="138" t="s">
        <v>764</v>
      </c>
      <c r="E38" s="8"/>
    </row>
    <row r="39" spans="1:5">
      <c r="A39" s="136">
        <v>24</v>
      </c>
      <c r="B39" s="83" t="s">
        <v>177</v>
      </c>
      <c r="C39" s="270">
        <v>0</v>
      </c>
      <c r="D39" s="138"/>
      <c r="E39" s="8"/>
    </row>
    <row r="40" spans="1:5">
      <c r="A40" s="136">
        <v>25</v>
      </c>
      <c r="B40" s="83" t="s">
        <v>232</v>
      </c>
      <c r="C40" s="270">
        <v>0</v>
      </c>
      <c r="D40" s="138"/>
      <c r="E40" s="8"/>
    </row>
    <row r="41" spans="1:5">
      <c r="A41" s="136">
        <v>26</v>
      </c>
      <c r="B41" s="83" t="s">
        <v>179</v>
      </c>
      <c r="C41" s="270">
        <v>0</v>
      </c>
      <c r="D41" s="138"/>
      <c r="E41" s="8"/>
    </row>
    <row r="42" spans="1:5">
      <c r="A42" s="136">
        <v>27</v>
      </c>
      <c r="B42" s="83" t="s">
        <v>180</v>
      </c>
      <c r="C42" s="270">
        <v>0</v>
      </c>
      <c r="D42" s="138"/>
      <c r="E42" s="8"/>
    </row>
    <row r="43" spans="1:5">
      <c r="A43" s="136">
        <v>28</v>
      </c>
      <c r="B43" s="83" t="s">
        <v>181</v>
      </c>
      <c r="C43" s="270">
        <v>-29805918.460000001</v>
      </c>
      <c r="D43" s="138" t="s">
        <v>765</v>
      </c>
      <c r="E43" s="8"/>
    </row>
    <row r="44" spans="1:5">
      <c r="A44" s="136">
        <v>29</v>
      </c>
      <c r="B44" s="83" t="s">
        <v>35</v>
      </c>
      <c r="C44" s="270">
        <v>0</v>
      </c>
      <c r="D44" s="138"/>
      <c r="E44" s="8"/>
    </row>
    <row r="45" spans="1:5" ht="15" thickBot="1">
      <c r="A45" s="143">
        <v>30</v>
      </c>
      <c r="B45" s="144" t="s">
        <v>182</v>
      </c>
      <c r="C45" s="275">
        <f>SUM(C38:C44)</f>
        <v>73194081.539999992</v>
      </c>
      <c r="D45" s="145"/>
      <c r="E45" s="7"/>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6"/>
  <sheetViews>
    <sheetView zoomScale="90" zoomScaleNormal="90" workbookViewId="0">
      <pane xSplit="2" ySplit="7" topLeftCell="J8" activePane="bottomRight" state="frozen"/>
      <selection pane="topRight" activeCell="C1" sqref="C1"/>
      <selection pane="bottomLeft" activeCell="A8" sqref="A8"/>
      <selection pane="bottomRight" activeCell="N22" sqref="N22"/>
    </sheetView>
  </sheetViews>
  <sheetFormatPr defaultColWidth="9.08984375" defaultRowHeight="13"/>
  <cols>
    <col min="1" max="1" width="10.54296875" style="2" bestFit="1" customWidth="1"/>
    <col min="2" max="2" width="95" style="2" customWidth="1"/>
    <col min="3" max="3" width="10.36328125" style="2" bestFit="1" customWidth="1"/>
    <col min="4" max="4" width="13.36328125" style="2" bestFit="1" customWidth="1"/>
    <col min="5" max="5" width="10.36328125" style="2" bestFit="1" customWidth="1"/>
    <col min="6" max="6" width="13.36328125" style="2" bestFit="1" customWidth="1"/>
    <col min="7" max="7" width="9.453125" style="2" bestFit="1" customWidth="1"/>
    <col min="8" max="8" width="13.36328125" style="2" bestFit="1" customWidth="1"/>
    <col min="9" max="9" width="10.36328125" style="2" bestFit="1" customWidth="1"/>
    <col min="10" max="10" width="13.36328125" style="2" bestFit="1" customWidth="1"/>
    <col min="11" max="11" width="9.453125" style="2" bestFit="1" customWidth="1"/>
    <col min="12" max="12" width="13.36328125" style="2" bestFit="1" customWidth="1"/>
    <col min="13" max="13" width="11.36328125" style="2" bestFit="1" customWidth="1"/>
    <col min="14" max="14" width="13.36328125" style="2" bestFit="1" customWidth="1"/>
    <col min="15" max="15" width="9.453125" style="2" bestFit="1" customWidth="1"/>
    <col min="16" max="16" width="13.36328125" style="2" bestFit="1" customWidth="1"/>
    <col min="17" max="17" width="9.453125" style="2" bestFit="1" customWidth="1"/>
    <col min="18" max="18" width="13.36328125" style="2" bestFit="1" customWidth="1"/>
    <col min="19" max="19" width="31.54296875" style="2" bestFit="1" customWidth="1"/>
    <col min="20" max="16384" width="9.08984375" style="13"/>
  </cols>
  <sheetData>
    <row r="1" spans="1:19">
      <c r="A1" s="2" t="s">
        <v>188</v>
      </c>
      <c r="B1" s="331" t="str">
        <f>Info!C2</f>
        <v>სს " პაშა ბანკი საქართველო"</v>
      </c>
    </row>
    <row r="2" spans="1:19">
      <c r="A2" s="2" t="s">
        <v>189</v>
      </c>
      <c r="B2" s="611">
        <f>'1. key ratios'!B2</f>
        <v>44469</v>
      </c>
    </row>
    <row r="4" spans="1:19" ht="26.5" thickBot="1">
      <c r="A4" s="62" t="s">
        <v>337</v>
      </c>
      <c r="B4" s="304" t="s">
        <v>359</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346</v>
      </c>
      <c r="P5" s="111" t="s">
        <v>347</v>
      </c>
      <c r="Q5" s="111" t="s">
        <v>348</v>
      </c>
      <c r="R5" s="295" t="s">
        <v>349</v>
      </c>
      <c r="S5" s="112" t="s">
        <v>350</v>
      </c>
    </row>
    <row r="6" spans="1:19" ht="46.5" customHeight="1">
      <c r="A6" s="150"/>
      <c r="B6" s="736" t="s">
        <v>351</v>
      </c>
      <c r="C6" s="734">
        <v>0</v>
      </c>
      <c r="D6" s="735"/>
      <c r="E6" s="734">
        <v>0.2</v>
      </c>
      <c r="F6" s="735"/>
      <c r="G6" s="734">
        <v>0.35</v>
      </c>
      <c r="H6" s="735"/>
      <c r="I6" s="734">
        <v>0.5</v>
      </c>
      <c r="J6" s="735"/>
      <c r="K6" s="734">
        <v>0.75</v>
      </c>
      <c r="L6" s="735"/>
      <c r="M6" s="734">
        <v>1</v>
      </c>
      <c r="N6" s="735"/>
      <c r="O6" s="734">
        <v>1.5</v>
      </c>
      <c r="P6" s="735"/>
      <c r="Q6" s="734">
        <v>2.5</v>
      </c>
      <c r="R6" s="735"/>
      <c r="S6" s="732" t="s">
        <v>250</v>
      </c>
    </row>
    <row r="7" spans="1:19">
      <c r="A7" s="150"/>
      <c r="B7" s="737"/>
      <c r="C7" s="303" t="s">
        <v>344</v>
      </c>
      <c r="D7" s="303" t="s">
        <v>345</v>
      </c>
      <c r="E7" s="303" t="s">
        <v>344</v>
      </c>
      <c r="F7" s="303" t="s">
        <v>345</v>
      </c>
      <c r="G7" s="303" t="s">
        <v>344</v>
      </c>
      <c r="H7" s="303" t="s">
        <v>345</v>
      </c>
      <c r="I7" s="303" t="s">
        <v>344</v>
      </c>
      <c r="J7" s="303" t="s">
        <v>345</v>
      </c>
      <c r="K7" s="303" t="s">
        <v>344</v>
      </c>
      <c r="L7" s="303" t="s">
        <v>345</v>
      </c>
      <c r="M7" s="303" t="s">
        <v>344</v>
      </c>
      <c r="N7" s="303" t="s">
        <v>345</v>
      </c>
      <c r="O7" s="303" t="s">
        <v>344</v>
      </c>
      <c r="P7" s="303" t="s">
        <v>345</v>
      </c>
      <c r="Q7" s="303" t="s">
        <v>344</v>
      </c>
      <c r="R7" s="303" t="s">
        <v>345</v>
      </c>
      <c r="S7" s="733"/>
    </row>
    <row r="8" spans="1:19" s="154" customFormat="1">
      <c r="A8" s="115">
        <v>1</v>
      </c>
      <c r="B8" s="172" t="s">
        <v>216</v>
      </c>
      <c r="C8" s="277">
        <v>8054409</v>
      </c>
      <c r="D8" s="277"/>
      <c r="E8" s="277">
        <v>0</v>
      </c>
      <c r="F8" s="296"/>
      <c r="G8" s="277">
        <v>0</v>
      </c>
      <c r="H8" s="277"/>
      <c r="I8" s="277">
        <v>0</v>
      </c>
      <c r="J8" s="277"/>
      <c r="K8" s="277">
        <v>0</v>
      </c>
      <c r="L8" s="277"/>
      <c r="M8" s="277">
        <v>44416886.113899998</v>
      </c>
      <c r="N8" s="277"/>
      <c r="O8" s="277">
        <v>0</v>
      </c>
      <c r="P8" s="277"/>
      <c r="Q8" s="277">
        <v>0</v>
      </c>
      <c r="R8" s="296"/>
      <c r="S8" s="309">
        <f>$C$6*SUM(C8:D8)+$E$6*SUM(E8:F8)+$G$6*SUM(G8:H8)+$I$6*SUM(I8:J8)+$K$6*SUM(K8:L8)+$M$6*SUM(M8:N8)+$O$6*SUM(O8:P8)+$Q$6*SUM(Q8:R8)</f>
        <v>44416886.113899998</v>
      </c>
    </row>
    <row r="9" spans="1:19" s="154" customFormat="1">
      <c r="A9" s="115">
        <v>2</v>
      </c>
      <c r="B9" s="172" t="s">
        <v>217</v>
      </c>
      <c r="C9" s="277">
        <v>0</v>
      </c>
      <c r="D9" s="277"/>
      <c r="E9" s="277">
        <v>0</v>
      </c>
      <c r="F9" s="277"/>
      <c r="G9" s="277">
        <v>0</v>
      </c>
      <c r="H9" s="277"/>
      <c r="I9" s="277">
        <v>0</v>
      </c>
      <c r="J9" s="277"/>
      <c r="K9" s="277">
        <v>0</v>
      </c>
      <c r="L9" s="277"/>
      <c r="M9" s="277">
        <v>0</v>
      </c>
      <c r="N9" s="277"/>
      <c r="O9" s="277">
        <v>0</v>
      </c>
      <c r="P9" s="277"/>
      <c r="Q9" s="277">
        <v>0</v>
      </c>
      <c r="R9" s="296"/>
      <c r="S9" s="309">
        <f t="shared" ref="S9:S21" si="0">$C$6*SUM(C9:D9)+$E$6*SUM(E9:F9)+$G$6*SUM(G9:H9)+$I$6*SUM(I9:J9)+$K$6*SUM(K9:L9)+$M$6*SUM(M9:N9)+$O$6*SUM(O9:P9)+$Q$6*SUM(Q9:R9)</f>
        <v>0</v>
      </c>
    </row>
    <row r="10" spans="1:19" s="154" customFormat="1">
      <c r="A10" s="115">
        <v>3</v>
      </c>
      <c r="B10" s="172" t="s">
        <v>218</v>
      </c>
      <c r="C10" s="277">
        <v>0</v>
      </c>
      <c r="D10" s="277"/>
      <c r="E10" s="277">
        <v>0</v>
      </c>
      <c r="F10" s="277"/>
      <c r="G10" s="277">
        <v>0</v>
      </c>
      <c r="H10" s="277"/>
      <c r="I10" s="277">
        <v>0</v>
      </c>
      <c r="J10" s="277"/>
      <c r="K10" s="277">
        <v>0</v>
      </c>
      <c r="L10" s="277"/>
      <c r="M10" s="277">
        <v>0</v>
      </c>
      <c r="N10" s="277"/>
      <c r="O10" s="277">
        <v>0</v>
      </c>
      <c r="P10" s="277"/>
      <c r="Q10" s="277">
        <v>0</v>
      </c>
      <c r="R10" s="296"/>
      <c r="S10" s="309">
        <f t="shared" si="0"/>
        <v>0</v>
      </c>
    </row>
    <row r="11" spans="1:19" s="154" customFormat="1">
      <c r="A11" s="115">
        <v>4</v>
      </c>
      <c r="B11" s="172" t="s">
        <v>219</v>
      </c>
      <c r="C11" s="277">
        <v>0</v>
      </c>
      <c r="D11" s="277"/>
      <c r="E11" s="277">
        <v>0</v>
      </c>
      <c r="F11" s="277"/>
      <c r="G11" s="277">
        <v>0</v>
      </c>
      <c r="H11" s="277"/>
      <c r="I11" s="277">
        <v>0</v>
      </c>
      <c r="J11" s="277"/>
      <c r="K11" s="277">
        <v>0</v>
      </c>
      <c r="L11" s="277"/>
      <c r="M11" s="277">
        <v>0</v>
      </c>
      <c r="N11" s="277"/>
      <c r="O11" s="277">
        <v>0</v>
      </c>
      <c r="P11" s="277"/>
      <c r="Q11" s="277">
        <v>0</v>
      </c>
      <c r="R11" s="296"/>
      <c r="S11" s="309">
        <f t="shared" si="0"/>
        <v>0</v>
      </c>
    </row>
    <row r="12" spans="1:19" s="154" customFormat="1">
      <c r="A12" s="115">
        <v>5</v>
      </c>
      <c r="B12" s="172" t="s">
        <v>220</v>
      </c>
      <c r="C12" s="277">
        <v>0</v>
      </c>
      <c r="D12" s="277"/>
      <c r="E12" s="277">
        <v>0</v>
      </c>
      <c r="F12" s="277"/>
      <c r="G12" s="277">
        <v>0</v>
      </c>
      <c r="H12" s="277"/>
      <c r="I12" s="277">
        <v>0</v>
      </c>
      <c r="J12" s="277"/>
      <c r="K12" s="277">
        <v>0</v>
      </c>
      <c r="L12" s="277"/>
      <c r="M12" s="277">
        <v>0</v>
      </c>
      <c r="N12" s="277"/>
      <c r="O12" s="277">
        <v>0</v>
      </c>
      <c r="P12" s="277"/>
      <c r="Q12" s="277">
        <v>0</v>
      </c>
      <c r="R12" s="296"/>
      <c r="S12" s="309">
        <f t="shared" si="0"/>
        <v>0</v>
      </c>
    </row>
    <row r="13" spans="1:19" s="154" customFormat="1">
      <c r="A13" s="115">
        <v>6</v>
      </c>
      <c r="B13" s="172" t="s">
        <v>221</v>
      </c>
      <c r="C13" s="277">
        <v>0</v>
      </c>
      <c r="D13" s="277"/>
      <c r="E13" s="277">
        <v>36219570.504299998</v>
      </c>
      <c r="F13" s="277"/>
      <c r="G13" s="277">
        <v>0</v>
      </c>
      <c r="H13" s="277"/>
      <c r="I13" s="277">
        <v>35160852.848700002</v>
      </c>
      <c r="J13" s="277"/>
      <c r="K13" s="277">
        <v>0</v>
      </c>
      <c r="L13" s="277"/>
      <c r="M13" s="277">
        <v>0</v>
      </c>
      <c r="N13" s="277">
        <v>147000</v>
      </c>
      <c r="O13" s="277">
        <v>0</v>
      </c>
      <c r="P13" s="277"/>
      <c r="Q13" s="277">
        <v>0</v>
      </c>
      <c r="R13" s="296"/>
      <c r="S13" s="309">
        <f t="shared" si="0"/>
        <v>24971340.525210001</v>
      </c>
    </row>
    <row r="14" spans="1:19" s="154" customFormat="1">
      <c r="A14" s="115">
        <v>7</v>
      </c>
      <c r="B14" s="172" t="s">
        <v>73</v>
      </c>
      <c r="C14" s="277">
        <v>0</v>
      </c>
      <c r="D14" s="277"/>
      <c r="E14" s="277">
        <v>0</v>
      </c>
      <c r="F14" s="277"/>
      <c r="G14" s="277">
        <v>0</v>
      </c>
      <c r="H14" s="277"/>
      <c r="I14" s="277">
        <v>0</v>
      </c>
      <c r="J14" s="277"/>
      <c r="K14" s="277">
        <v>0</v>
      </c>
      <c r="L14" s="277"/>
      <c r="M14" s="277">
        <v>244605634.52340001</v>
      </c>
      <c r="N14" s="277">
        <v>15556344.279999999</v>
      </c>
      <c r="O14" s="277">
        <v>0</v>
      </c>
      <c r="P14" s="277"/>
      <c r="Q14" s="277">
        <v>0</v>
      </c>
      <c r="R14" s="296"/>
      <c r="S14" s="309">
        <f t="shared" si="0"/>
        <v>260161978.80340001</v>
      </c>
    </row>
    <row r="15" spans="1:19" s="154" customFormat="1">
      <c r="A15" s="115">
        <v>8</v>
      </c>
      <c r="B15" s="172" t="s">
        <v>74</v>
      </c>
      <c r="C15" s="277">
        <v>0</v>
      </c>
      <c r="D15" s="277"/>
      <c r="E15" s="277">
        <v>0</v>
      </c>
      <c r="F15" s="277"/>
      <c r="G15" s="277">
        <v>0</v>
      </c>
      <c r="H15" s="277"/>
      <c r="I15" s="277">
        <v>0</v>
      </c>
      <c r="J15" s="277"/>
      <c r="K15" s="277">
        <v>0</v>
      </c>
      <c r="L15" s="277"/>
      <c r="M15" s="277">
        <v>18418385.469999999</v>
      </c>
      <c r="N15" s="277">
        <v>2152308.1535999998</v>
      </c>
      <c r="O15" s="277">
        <v>0</v>
      </c>
      <c r="P15" s="277"/>
      <c r="Q15" s="277">
        <v>0</v>
      </c>
      <c r="R15" s="296"/>
      <c r="S15" s="309">
        <f t="shared" si="0"/>
        <v>20570693.623599999</v>
      </c>
    </row>
    <row r="16" spans="1:19" s="154" customFormat="1">
      <c r="A16" s="115">
        <v>9</v>
      </c>
      <c r="B16" s="172" t="s">
        <v>75</v>
      </c>
      <c r="C16" s="277">
        <v>0</v>
      </c>
      <c r="D16" s="277"/>
      <c r="E16" s="277">
        <v>0</v>
      </c>
      <c r="F16" s="277"/>
      <c r="G16" s="277">
        <v>0</v>
      </c>
      <c r="H16" s="277"/>
      <c r="I16" s="277">
        <v>0</v>
      </c>
      <c r="J16" s="277"/>
      <c r="K16" s="277">
        <v>0</v>
      </c>
      <c r="L16" s="277"/>
      <c r="M16" s="277">
        <v>0</v>
      </c>
      <c r="N16" s="277"/>
      <c r="O16" s="277">
        <v>0</v>
      </c>
      <c r="P16" s="277"/>
      <c r="Q16" s="277">
        <v>0</v>
      </c>
      <c r="R16" s="296"/>
      <c r="S16" s="309">
        <f t="shared" si="0"/>
        <v>0</v>
      </c>
    </row>
    <row r="17" spans="1:19" s="154" customFormat="1">
      <c r="A17" s="115">
        <v>10</v>
      </c>
      <c r="B17" s="172" t="s">
        <v>69</v>
      </c>
      <c r="C17" s="277">
        <v>0</v>
      </c>
      <c r="D17" s="277"/>
      <c r="E17" s="277">
        <v>0</v>
      </c>
      <c r="F17" s="277"/>
      <c r="G17" s="277">
        <v>0</v>
      </c>
      <c r="H17" s="277"/>
      <c r="I17" s="277">
        <v>0</v>
      </c>
      <c r="J17" s="277"/>
      <c r="K17" s="277">
        <v>0</v>
      </c>
      <c r="L17" s="277"/>
      <c r="M17" s="277">
        <v>42529168.318499997</v>
      </c>
      <c r="N17" s="277"/>
      <c r="O17" s="277">
        <v>0</v>
      </c>
      <c r="P17" s="277"/>
      <c r="Q17" s="277">
        <v>0</v>
      </c>
      <c r="R17" s="296"/>
      <c r="S17" s="309">
        <f t="shared" si="0"/>
        <v>42529168.318499997</v>
      </c>
    </row>
    <row r="18" spans="1:19" s="154" customFormat="1">
      <c r="A18" s="115">
        <v>11</v>
      </c>
      <c r="B18" s="172" t="s">
        <v>70</v>
      </c>
      <c r="C18" s="277">
        <v>0</v>
      </c>
      <c r="D18" s="277"/>
      <c r="E18" s="277">
        <v>0</v>
      </c>
      <c r="F18" s="277"/>
      <c r="G18" s="277">
        <v>0</v>
      </c>
      <c r="H18" s="277"/>
      <c r="I18" s="277">
        <v>0</v>
      </c>
      <c r="J18" s="277"/>
      <c r="K18" s="277">
        <v>0</v>
      </c>
      <c r="L18" s="277"/>
      <c r="M18" s="277">
        <v>0</v>
      </c>
      <c r="N18" s="277"/>
      <c r="O18" s="277">
        <v>0</v>
      </c>
      <c r="P18" s="277"/>
      <c r="Q18" s="277">
        <v>0</v>
      </c>
      <c r="R18" s="296"/>
      <c r="S18" s="309">
        <f t="shared" si="0"/>
        <v>0</v>
      </c>
    </row>
    <row r="19" spans="1:19" s="154" customFormat="1">
      <c r="A19" s="115">
        <v>12</v>
      </c>
      <c r="B19" s="172" t="s">
        <v>71</v>
      </c>
      <c r="C19" s="277">
        <v>0</v>
      </c>
      <c r="D19" s="277"/>
      <c r="E19" s="277">
        <v>0</v>
      </c>
      <c r="F19" s="277"/>
      <c r="G19" s="277">
        <v>0</v>
      </c>
      <c r="H19" s="277"/>
      <c r="I19" s="277">
        <v>0</v>
      </c>
      <c r="J19" s="277"/>
      <c r="K19" s="277">
        <v>0</v>
      </c>
      <c r="L19" s="277"/>
      <c r="M19" s="277">
        <v>0</v>
      </c>
      <c r="N19" s="277"/>
      <c r="O19" s="277">
        <v>0</v>
      </c>
      <c r="P19" s="277"/>
      <c r="Q19" s="277">
        <v>0</v>
      </c>
      <c r="R19" s="296"/>
      <c r="S19" s="309">
        <f t="shared" si="0"/>
        <v>0</v>
      </c>
    </row>
    <row r="20" spans="1:19" s="154" customFormat="1">
      <c r="A20" s="115">
        <v>13</v>
      </c>
      <c r="B20" s="172" t="s">
        <v>72</v>
      </c>
      <c r="C20" s="277">
        <v>0</v>
      </c>
      <c r="D20" s="277"/>
      <c r="E20" s="277">
        <v>0</v>
      </c>
      <c r="F20" s="277"/>
      <c r="G20" s="277">
        <v>0</v>
      </c>
      <c r="H20" s="277"/>
      <c r="I20" s="277">
        <v>0</v>
      </c>
      <c r="J20" s="277"/>
      <c r="K20" s="277">
        <v>0</v>
      </c>
      <c r="L20" s="277"/>
      <c r="M20" s="277">
        <v>0</v>
      </c>
      <c r="N20" s="277"/>
      <c r="O20" s="277">
        <v>0</v>
      </c>
      <c r="P20" s="277"/>
      <c r="Q20" s="277">
        <v>0</v>
      </c>
      <c r="R20" s="296"/>
      <c r="S20" s="309">
        <f t="shared" si="0"/>
        <v>0</v>
      </c>
    </row>
    <row r="21" spans="1:19" s="154" customFormat="1">
      <c r="A21" s="115">
        <v>14</v>
      </c>
      <c r="B21" s="172" t="s">
        <v>248</v>
      </c>
      <c r="C21" s="277">
        <v>5651974.6952999998</v>
      </c>
      <c r="D21" s="277"/>
      <c r="E21" s="277">
        <v>0</v>
      </c>
      <c r="F21" s="277"/>
      <c r="G21" s="277">
        <v>0</v>
      </c>
      <c r="H21" s="277"/>
      <c r="I21" s="277">
        <v>0</v>
      </c>
      <c r="J21" s="277"/>
      <c r="K21" s="277">
        <v>0</v>
      </c>
      <c r="L21" s="277"/>
      <c r="M21" s="277">
        <v>14107464.9483</v>
      </c>
      <c r="N21" s="277"/>
      <c r="O21" s="277">
        <v>0</v>
      </c>
      <c r="P21" s="277"/>
      <c r="Q21" s="277">
        <v>0</v>
      </c>
      <c r="R21" s="296"/>
      <c r="S21" s="309">
        <f t="shared" si="0"/>
        <v>14107464.9483</v>
      </c>
    </row>
    <row r="22" spans="1:19" ht="13.5" thickBot="1">
      <c r="A22" s="97"/>
      <c r="B22" s="156" t="s">
        <v>68</v>
      </c>
      <c r="C22" s="278">
        <f>SUM(C8:C21)</f>
        <v>13706383.6953</v>
      </c>
      <c r="D22" s="278">
        <f t="shared" ref="D22:S22" si="1">SUM(D8:D21)</f>
        <v>0</v>
      </c>
      <c r="E22" s="278">
        <f t="shared" si="1"/>
        <v>36219570.504299998</v>
      </c>
      <c r="F22" s="278">
        <f t="shared" si="1"/>
        <v>0</v>
      </c>
      <c r="G22" s="278">
        <f t="shared" si="1"/>
        <v>0</v>
      </c>
      <c r="H22" s="278">
        <f t="shared" si="1"/>
        <v>0</v>
      </c>
      <c r="I22" s="278">
        <f t="shared" si="1"/>
        <v>35160852.848700002</v>
      </c>
      <c r="J22" s="278">
        <f t="shared" si="1"/>
        <v>0</v>
      </c>
      <c r="K22" s="278">
        <f t="shared" si="1"/>
        <v>0</v>
      </c>
      <c r="L22" s="278">
        <f t="shared" si="1"/>
        <v>0</v>
      </c>
      <c r="M22" s="278">
        <f t="shared" si="1"/>
        <v>364077539.37410003</v>
      </c>
      <c r="N22" s="278">
        <f t="shared" si="1"/>
        <v>17855652.433600001</v>
      </c>
      <c r="O22" s="278">
        <f t="shared" si="1"/>
        <v>0</v>
      </c>
      <c r="P22" s="278">
        <f t="shared" si="1"/>
        <v>0</v>
      </c>
      <c r="Q22" s="278">
        <f t="shared" si="1"/>
        <v>0</v>
      </c>
      <c r="R22" s="278">
        <f t="shared" si="1"/>
        <v>0</v>
      </c>
      <c r="S22" s="585">
        <f t="shared" si="1"/>
        <v>406757532.33291</v>
      </c>
    </row>
    <row r="26" spans="1:19">
      <c r="C26" s="58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90" zoomScaleNormal="90" workbookViewId="0">
      <pane xSplit="2" ySplit="6" topLeftCell="Q7" activePane="bottomRight" state="frozen"/>
      <selection pane="topRight" activeCell="C1" sqref="C1"/>
      <selection pane="bottomLeft" activeCell="A6" sqref="A6"/>
      <selection pane="bottomRight" activeCell="B2" sqref="B2"/>
    </sheetView>
  </sheetViews>
  <sheetFormatPr defaultColWidth="9.08984375" defaultRowHeight="13"/>
  <cols>
    <col min="1" max="1" width="10.54296875" style="2" bestFit="1" customWidth="1"/>
    <col min="2" max="2" width="74.54296875" style="2" customWidth="1"/>
    <col min="3" max="3" width="19" style="2" customWidth="1"/>
    <col min="4" max="4" width="19.54296875" style="2" customWidth="1"/>
    <col min="5" max="5" width="31.08984375" style="2" customWidth="1"/>
    <col min="6" max="6" width="29.08984375" style="2" customWidth="1"/>
    <col min="7" max="7" width="28.54296875" style="2" customWidth="1"/>
    <col min="8" max="8" width="26.453125" style="2" customWidth="1"/>
    <col min="9" max="9" width="23.6328125" style="2" customWidth="1"/>
    <col min="10" max="10" width="21.54296875" style="2" customWidth="1"/>
    <col min="11" max="11" width="15.6328125" style="2" customWidth="1"/>
    <col min="12" max="12" width="13.36328125" style="2" customWidth="1"/>
    <col min="13" max="13" width="20.90625" style="2" customWidth="1"/>
    <col min="14" max="14" width="19.36328125" style="2" customWidth="1"/>
    <col min="15" max="15" width="18.453125" style="2" customWidth="1"/>
    <col min="16" max="16" width="19" style="2" customWidth="1"/>
    <col min="17" max="17" width="20.36328125" style="2" customWidth="1"/>
    <col min="18" max="18" width="18" style="2" customWidth="1"/>
    <col min="19" max="19" width="36" style="2" customWidth="1"/>
    <col min="20" max="20" width="19.453125" style="2" customWidth="1"/>
    <col min="21" max="21" width="19.08984375" style="2" customWidth="1"/>
    <col min="22" max="22" width="20" style="2" customWidth="1"/>
    <col min="23" max="16384" width="9.08984375" style="13"/>
  </cols>
  <sheetData>
    <row r="1" spans="1:22">
      <c r="A1" s="2" t="s">
        <v>188</v>
      </c>
      <c r="B1" s="331" t="str">
        <f>Info!C2</f>
        <v>სს " პაშა ბანკი საქართველო"</v>
      </c>
    </row>
    <row r="2" spans="1:22">
      <c r="A2" s="2" t="s">
        <v>189</v>
      </c>
      <c r="B2" s="611">
        <f>'1. key ratios'!B2</f>
        <v>44469</v>
      </c>
    </row>
    <row r="4" spans="1:22" ht="27" thickBot="1">
      <c r="A4" s="2" t="s">
        <v>338</v>
      </c>
      <c r="B4" s="305" t="s">
        <v>360</v>
      </c>
      <c r="V4" s="199" t="s">
        <v>93</v>
      </c>
    </row>
    <row r="5" spans="1:22">
      <c r="A5" s="95"/>
      <c r="B5" s="96"/>
      <c r="C5" s="738" t="s">
        <v>198</v>
      </c>
      <c r="D5" s="739"/>
      <c r="E5" s="739"/>
      <c r="F5" s="739"/>
      <c r="G5" s="739"/>
      <c r="H5" s="739"/>
      <c r="I5" s="739"/>
      <c r="J5" s="739"/>
      <c r="K5" s="739"/>
      <c r="L5" s="740"/>
      <c r="M5" s="738" t="s">
        <v>199</v>
      </c>
      <c r="N5" s="739"/>
      <c r="O5" s="739"/>
      <c r="P5" s="739"/>
      <c r="Q5" s="739"/>
      <c r="R5" s="739"/>
      <c r="S5" s="740"/>
      <c r="T5" s="743" t="s">
        <v>358</v>
      </c>
      <c r="U5" s="743" t="s">
        <v>357</v>
      </c>
      <c r="V5" s="741" t="s">
        <v>200</v>
      </c>
    </row>
    <row r="6" spans="1:22" s="62" customFormat="1" ht="130">
      <c r="A6" s="113"/>
      <c r="B6" s="174"/>
      <c r="C6" s="93" t="s">
        <v>201</v>
      </c>
      <c r="D6" s="92" t="s">
        <v>202</v>
      </c>
      <c r="E6" s="89" t="s">
        <v>203</v>
      </c>
      <c r="F6" s="306" t="s">
        <v>352</v>
      </c>
      <c r="G6" s="92" t="s">
        <v>204</v>
      </c>
      <c r="H6" s="92" t="s">
        <v>205</v>
      </c>
      <c r="I6" s="92" t="s">
        <v>206</v>
      </c>
      <c r="J6" s="92" t="s">
        <v>247</v>
      </c>
      <c r="K6" s="92" t="s">
        <v>207</v>
      </c>
      <c r="L6" s="94" t="s">
        <v>208</v>
      </c>
      <c r="M6" s="93" t="s">
        <v>209</v>
      </c>
      <c r="N6" s="92" t="s">
        <v>210</v>
      </c>
      <c r="O6" s="92" t="s">
        <v>211</v>
      </c>
      <c r="P6" s="92" t="s">
        <v>212</v>
      </c>
      <c r="Q6" s="92" t="s">
        <v>213</v>
      </c>
      <c r="R6" s="92" t="s">
        <v>214</v>
      </c>
      <c r="S6" s="94" t="s">
        <v>215</v>
      </c>
      <c r="T6" s="744"/>
      <c r="U6" s="744"/>
      <c r="V6" s="742"/>
    </row>
    <row r="7" spans="1:22" s="154" customFormat="1">
      <c r="A7" s="155">
        <v>1</v>
      </c>
      <c r="B7" s="153" t="s">
        <v>216</v>
      </c>
      <c r="C7" s="279"/>
      <c r="D7" s="277"/>
      <c r="E7" s="277"/>
      <c r="F7" s="277"/>
      <c r="G7" s="277"/>
      <c r="H7" s="277"/>
      <c r="I7" s="277"/>
      <c r="J7" s="277"/>
      <c r="K7" s="277"/>
      <c r="L7" s="280"/>
      <c r="M7" s="279"/>
      <c r="N7" s="277"/>
      <c r="O7" s="277"/>
      <c r="P7" s="277"/>
      <c r="Q7" s="277"/>
      <c r="R7" s="277"/>
      <c r="S7" s="280"/>
      <c r="T7" s="300"/>
      <c r="U7" s="299"/>
      <c r="V7" s="281">
        <f>SUM(C7:S7)</f>
        <v>0</v>
      </c>
    </row>
    <row r="8" spans="1:22" s="154" customFormat="1">
      <c r="A8" s="155">
        <v>2</v>
      </c>
      <c r="B8" s="153" t="s">
        <v>217</v>
      </c>
      <c r="C8" s="279"/>
      <c r="D8" s="277"/>
      <c r="E8" s="277"/>
      <c r="F8" s="277"/>
      <c r="G8" s="277"/>
      <c r="H8" s="277"/>
      <c r="I8" s="277"/>
      <c r="J8" s="277"/>
      <c r="K8" s="277"/>
      <c r="L8" s="280"/>
      <c r="M8" s="279"/>
      <c r="N8" s="277"/>
      <c r="O8" s="277"/>
      <c r="P8" s="277"/>
      <c r="Q8" s="277"/>
      <c r="R8" s="277"/>
      <c r="S8" s="280"/>
      <c r="T8" s="299"/>
      <c r="U8" s="299"/>
      <c r="V8" s="281">
        <f t="shared" ref="V8:V20" si="0">SUM(C8:S8)</f>
        <v>0</v>
      </c>
    </row>
    <row r="9" spans="1:22" s="154" customFormat="1">
      <c r="A9" s="155">
        <v>3</v>
      </c>
      <c r="B9" s="153" t="s">
        <v>218</v>
      </c>
      <c r="C9" s="279"/>
      <c r="D9" s="277"/>
      <c r="E9" s="277"/>
      <c r="F9" s="277"/>
      <c r="G9" s="277"/>
      <c r="H9" s="277"/>
      <c r="I9" s="277"/>
      <c r="J9" s="277"/>
      <c r="K9" s="277"/>
      <c r="L9" s="280"/>
      <c r="M9" s="279"/>
      <c r="N9" s="277"/>
      <c r="O9" s="277"/>
      <c r="P9" s="277"/>
      <c r="Q9" s="277"/>
      <c r="R9" s="277"/>
      <c r="S9" s="280"/>
      <c r="T9" s="299"/>
      <c r="U9" s="299"/>
      <c r="V9" s="281">
        <f>SUM(C9:S9)</f>
        <v>0</v>
      </c>
    </row>
    <row r="10" spans="1:22" s="154" customFormat="1">
      <c r="A10" s="155">
        <v>4</v>
      </c>
      <c r="B10" s="153" t="s">
        <v>219</v>
      </c>
      <c r="C10" s="279"/>
      <c r="D10" s="277"/>
      <c r="E10" s="277"/>
      <c r="F10" s="277"/>
      <c r="G10" s="277"/>
      <c r="H10" s="277"/>
      <c r="I10" s="277"/>
      <c r="J10" s="277"/>
      <c r="K10" s="277"/>
      <c r="L10" s="280"/>
      <c r="M10" s="279"/>
      <c r="N10" s="277"/>
      <c r="O10" s="277"/>
      <c r="P10" s="277"/>
      <c r="Q10" s="277"/>
      <c r="R10" s="277"/>
      <c r="S10" s="280"/>
      <c r="T10" s="299"/>
      <c r="U10" s="299"/>
      <c r="V10" s="281">
        <f t="shared" si="0"/>
        <v>0</v>
      </c>
    </row>
    <row r="11" spans="1:22" s="154" customFormat="1">
      <c r="A11" s="155">
        <v>5</v>
      </c>
      <c r="B11" s="153" t="s">
        <v>220</v>
      </c>
      <c r="C11" s="279"/>
      <c r="D11" s="277"/>
      <c r="E11" s="277"/>
      <c r="F11" s="277"/>
      <c r="G11" s="277"/>
      <c r="H11" s="277"/>
      <c r="I11" s="277"/>
      <c r="J11" s="277"/>
      <c r="K11" s="277"/>
      <c r="L11" s="280"/>
      <c r="M11" s="279"/>
      <c r="N11" s="277"/>
      <c r="O11" s="277"/>
      <c r="P11" s="277"/>
      <c r="Q11" s="277"/>
      <c r="R11" s="277"/>
      <c r="S11" s="280"/>
      <c r="T11" s="299"/>
      <c r="U11" s="299"/>
      <c r="V11" s="281">
        <f t="shared" si="0"/>
        <v>0</v>
      </c>
    </row>
    <row r="12" spans="1:22" s="154" customFormat="1">
      <c r="A12" s="155">
        <v>6</v>
      </c>
      <c r="B12" s="153" t="s">
        <v>221</v>
      </c>
      <c r="C12" s="279"/>
      <c r="D12" s="277"/>
      <c r="E12" s="277"/>
      <c r="F12" s="277"/>
      <c r="G12" s="277"/>
      <c r="H12" s="277"/>
      <c r="I12" s="277"/>
      <c r="J12" s="277"/>
      <c r="K12" s="277"/>
      <c r="L12" s="280"/>
      <c r="M12" s="279"/>
      <c r="N12" s="277"/>
      <c r="O12" s="277"/>
      <c r="P12" s="277"/>
      <c r="Q12" s="277"/>
      <c r="R12" s="277"/>
      <c r="S12" s="280"/>
      <c r="T12" s="299"/>
      <c r="U12" s="299"/>
      <c r="V12" s="281">
        <f t="shared" si="0"/>
        <v>0</v>
      </c>
    </row>
    <row r="13" spans="1:22" s="154" customFormat="1">
      <c r="A13" s="155">
        <v>7</v>
      </c>
      <c r="B13" s="153" t="s">
        <v>73</v>
      </c>
      <c r="C13" s="279"/>
      <c r="D13" s="277"/>
      <c r="E13" s="277"/>
      <c r="F13" s="277"/>
      <c r="G13" s="277"/>
      <c r="H13" s="277"/>
      <c r="I13" s="277"/>
      <c r="J13" s="277"/>
      <c r="K13" s="277"/>
      <c r="L13" s="280"/>
      <c r="M13" s="279"/>
      <c r="N13" s="277"/>
      <c r="O13" s="277"/>
      <c r="P13" s="277"/>
      <c r="Q13" s="277"/>
      <c r="R13" s="277"/>
      <c r="S13" s="280"/>
      <c r="T13" s="299"/>
      <c r="U13" s="299"/>
      <c r="V13" s="281">
        <f t="shared" si="0"/>
        <v>0</v>
      </c>
    </row>
    <row r="14" spans="1:22" s="154" customFormat="1">
      <c r="A14" s="155">
        <v>8</v>
      </c>
      <c r="B14" s="153" t="s">
        <v>74</v>
      </c>
      <c r="C14" s="279"/>
      <c r="D14" s="277"/>
      <c r="E14" s="277"/>
      <c r="F14" s="277"/>
      <c r="G14" s="277"/>
      <c r="H14" s="277"/>
      <c r="I14" s="277"/>
      <c r="J14" s="277"/>
      <c r="K14" s="277"/>
      <c r="L14" s="280"/>
      <c r="M14" s="279"/>
      <c r="N14" s="277"/>
      <c r="O14" s="277"/>
      <c r="P14" s="277"/>
      <c r="Q14" s="277"/>
      <c r="R14" s="277"/>
      <c r="S14" s="280"/>
      <c r="T14" s="299"/>
      <c r="U14" s="299"/>
      <c r="V14" s="281">
        <f t="shared" si="0"/>
        <v>0</v>
      </c>
    </row>
    <row r="15" spans="1:22" s="154" customFormat="1">
      <c r="A15" s="155">
        <v>9</v>
      </c>
      <c r="B15" s="153" t="s">
        <v>75</v>
      </c>
      <c r="C15" s="279"/>
      <c r="D15" s="277"/>
      <c r="E15" s="277"/>
      <c r="F15" s="277"/>
      <c r="G15" s="277"/>
      <c r="H15" s="277"/>
      <c r="I15" s="277"/>
      <c r="J15" s="277"/>
      <c r="K15" s="277"/>
      <c r="L15" s="280"/>
      <c r="M15" s="279"/>
      <c r="N15" s="277"/>
      <c r="O15" s="277"/>
      <c r="P15" s="277"/>
      <c r="Q15" s="277"/>
      <c r="R15" s="277"/>
      <c r="S15" s="280"/>
      <c r="T15" s="299"/>
      <c r="U15" s="299"/>
      <c r="V15" s="281">
        <f t="shared" si="0"/>
        <v>0</v>
      </c>
    </row>
    <row r="16" spans="1:22" s="154" customFormat="1">
      <c r="A16" s="155">
        <v>10</v>
      </c>
      <c r="B16" s="153" t="s">
        <v>69</v>
      </c>
      <c r="C16" s="279"/>
      <c r="D16" s="277"/>
      <c r="E16" s="277"/>
      <c r="F16" s="277"/>
      <c r="G16" s="277"/>
      <c r="H16" s="277"/>
      <c r="I16" s="277"/>
      <c r="J16" s="277"/>
      <c r="K16" s="277"/>
      <c r="L16" s="280"/>
      <c r="M16" s="279"/>
      <c r="N16" s="277"/>
      <c r="O16" s="277"/>
      <c r="P16" s="277"/>
      <c r="Q16" s="277"/>
      <c r="R16" s="277"/>
      <c r="S16" s="280"/>
      <c r="T16" s="299"/>
      <c r="U16" s="299"/>
      <c r="V16" s="281">
        <f t="shared" si="0"/>
        <v>0</v>
      </c>
    </row>
    <row r="17" spans="1:22" s="154" customFormat="1">
      <c r="A17" s="155">
        <v>11</v>
      </c>
      <c r="B17" s="153" t="s">
        <v>70</v>
      </c>
      <c r="C17" s="279"/>
      <c r="D17" s="277"/>
      <c r="E17" s="277"/>
      <c r="F17" s="277"/>
      <c r="G17" s="277"/>
      <c r="H17" s="277"/>
      <c r="I17" s="277"/>
      <c r="J17" s="277"/>
      <c r="K17" s="277"/>
      <c r="L17" s="280"/>
      <c r="M17" s="279"/>
      <c r="N17" s="277"/>
      <c r="O17" s="277"/>
      <c r="P17" s="277"/>
      <c r="Q17" s="277"/>
      <c r="R17" s="277"/>
      <c r="S17" s="280"/>
      <c r="T17" s="299"/>
      <c r="U17" s="299"/>
      <c r="V17" s="281">
        <f t="shared" si="0"/>
        <v>0</v>
      </c>
    </row>
    <row r="18" spans="1:22" s="154" customFormat="1">
      <c r="A18" s="155">
        <v>12</v>
      </c>
      <c r="B18" s="153" t="s">
        <v>71</v>
      </c>
      <c r="C18" s="279"/>
      <c r="D18" s="277"/>
      <c r="E18" s="277"/>
      <c r="F18" s="277"/>
      <c r="G18" s="277"/>
      <c r="H18" s="277"/>
      <c r="I18" s="277"/>
      <c r="J18" s="277"/>
      <c r="K18" s="277"/>
      <c r="L18" s="280"/>
      <c r="M18" s="279"/>
      <c r="N18" s="277"/>
      <c r="O18" s="277"/>
      <c r="P18" s="277"/>
      <c r="Q18" s="277"/>
      <c r="R18" s="277"/>
      <c r="S18" s="280"/>
      <c r="T18" s="299"/>
      <c r="U18" s="299"/>
      <c r="V18" s="281">
        <f t="shared" si="0"/>
        <v>0</v>
      </c>
    </row>
    <row r="19" spans="1:22" s="154" customFormat="1">
      <c r="A19" s="155">
        <v>13</v>
      </c>
      <c r="B19" s="153" t="s">
        <v>72</v>
      </c>
      <c r="C19" s="279"/>
      <c r="D19" s="277"/>
      <c r="E19" s="277"/>
      <c r="F19" s="277"/>
      <c r="G19" s="277"/>
      <c r="H19" s="277"/>
      <c r="I19" s="277"/>
      <c r="J19" s="277"/>
      <c r="K19" s="277"/>
      <c r="L19" s="280"/>
      <c r="M19" s="279"/>
      <c r="N19" s="277"/>
      <c r="O19" s="277"/>
      <c r="P19" s="277"/>
      <c r="Q19" s="277"/>
      <c r="R19" s="277"/>
      <c r="S19" s="280"/>
      <c r="T19" s="299"/>
      <c r="U19" s="299"/>
      <c r="V19" s="281">
        <f t="shared" si="0"/>
        <v>0</v>
      </c>
    </row>
    <row r="20" spans="1:22" s="154" customFormat="1">
      <c r="A20" s="155">
        <v>14</v>
      </c>
      <c r="B20" s="153" t="s">
        <v>248</v>
      </c>
      <c r="C20" s="279"/>
      <c r="D20" s="277"/>
      <c r="E20" s="277"/>
      <c r="F20" s="277"/>
      <c r="G20" s="277"/>
      <c r="H20" s="277"/>
      <c r="I20" s="277"/>
      <c r="J20" s="277"/>
      <c r="K20" s="277"/>
      <c r="L20" s="280"/>
      <c r="M20" s="279"/>
      <c r="N20" s="277"/>
      <c r="O20" s="277"/>
      <c r="P20" s="277"/>
      <c r="Q20" s="277"/>
      <c r="R20" s="277"/>
      <c r="S20" s="280"/>
      <c r="T20" s="299"/>
      <c r="U20" s="299"/>
      <c r="V20" s="281">
        <f t="shared" si="0"/>
        <v>0</v>
      </c>
    </row>
    <row r="21" spans="1:22" ht="13.5" thickBot="1">
      <c r="A21" s="97"/>
      <c r="B21" s="98" t="s">
        <v>68</v>
      </c>
      <c r="C21" s="282">
        <f>SUM(C7:C20)</f>
        <v>0</v>
      </c>
      <c r="D21" s="278">
        <f t="shared" ref="D21:V21" si="1">SUM(D7:D20)</f>
        <v>0</v>
      </c>
      <c r="E21" s="278">
        <f t="shared" si="1"/>
        <v>0</v>
      </c>
      <c r="F21" s="278">
        <f t="shared" si="1"/>
        <v>0</v>
      </c>
      <c r="G21" s="278">
        <f t="shared" si="1"/>
        <v>0</v>
      </c>
      <c r="H21" s="278">
        <f t="shared" si="1"/>
        <v>0</v>
      </c>
      <c r="I21" s="278">
        <f t="shared" si="1"/>
        <v>0</v>
      </c>
      <c r="J21" s="278">
        <f t="shared" si="1"/>
        <v>0</v>
      </c>
      <c r="K21" s="278">
        <f t="shared" si="1"/>
        <v>0</v>
      </c>
      <c r="L21" s="283">
        <f t="shared" si="1"/>
        <v>0</v>
      </c>
      <c r="M21" s="282">
        <f t="shared" si="1"/>
        <v>0</v>
      </c>
      <c r="N21" s="278">
        <f t="shared" si="1"/>
        <v>0</v>
      </c>
      <c r="O21" s="278">
        <f t="shared" si="1"/>
        <v>0</v>
      </c>
      <c r="P21" s="278">
        <f t="shared" si="1"/>
        <v>0</v>
      </c>
      <c r="Q21" s="278">
        <f t="shared" si="1"/>
        <v>0</v>
      </c>
      <c r="R21" s="278">
        <f t="shared" si="1"/>
        <v>0</v>
      </c>
      <c r="S21" s="283">
        <f t="shared" si="1"/>
        <v>0</v>
      </c>
      <c r="T21" s="283">
        <f>SUM(T7:T20)</f>
        <v>0</v>
      </c>
      <c r="U21" s="283">
        <f t="shared" si="1"/>
        <v>0</v>
      </c>
      <c r="V21" s="284">
        <f t="shared" si="1"/>
        <v>0</v>
      </c>
    </row>
    <row r="24" spans="1:22">
      <c r="A24" s="17"/>
      <c r="B24" s="17"/>
      <c r="C24" s="66"/>
      <c r="D24" s="66"/>
      <c r="E24" s="66"/>
    </row>
    <row r="25" spans="1:22">
      <c r="A25" s="90"/>
      <c r="B25" s="90"/>
      <c r="C25" s="17"/>
      <c r="D25" s="66"/>
      <c r="E25" s="66"/>
    </row>
    <row r="26" spans="1:22">
      <c r="A26" s="90"/>
      <c r="B26" s="91"/>
      <c r="C26" s="17"/>
      <c r="D26" s="66"/>
      <c r="E26" s="66"/>
    </row>
    <row r="27" spans="1:22">
      <c r="A27" s="90"/>
      <c r="B27" s="90"/>
      <c r="C27" s="17"/>
      <c r="D27" s="66"/>
      <c r="E27" s="66"/>
    </row>
    <row r="28" spans="1:22">
      <c r="A28" s="90"/>
      <c r="B28" s="91"/>
      <c r="C28" s="17"/>
      <c r="D28" s="66"/>
      <c r="E28" s="66"/>
    </row>
  </sheetData>
  <mergeCells count="5">
    <mergeCell ref="C5:L5"/>
    <mergeCell ref="M5:S5"/>
    <mergeCell ref="V5:V6"/>
    <mergeCell ref="T5:T6"/>
    <mergeCell ref="U5:U6"/>
  </mergeCells>
  <pageMargins left="0.7" right="0.7" top="0.75" bottom="0.75" header="0.3" footer="0.3"/>
  <pageSetup paperSize="9"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B27" sqref="B27"/>
    </sheetView>
  </sheetViews>
  <sheetFormatPr defaultColWidth="9.08984375" defaultRowHeight="13"/>
  <cols>
    <col min="1" max="1" width="10.54296875" style="2" bestFit="1" customWidth="1"/>
    <col min="2" max="2" width="101.90625" style="2" customWidth="1"/>
    <col min="3" max="3" width="13.6328125" style="2" customWidth="1"/>
    <col min="4" max="4" width="14.90625" style="2" bestFit="1" customWidth="1"/>
    <col min="5" max="5" width="17.6328125" style="2" customWidth="1"/>
    <col min="6" max="6" width="15.90625" style="2" customWidth="1"/>
    <col min="7" max="7" width="22.36328125" style="2" customWidth="1"/>
    <col min="8" max="8" width="15.36328125" style="2" customWidth="1"/>
    <col min="9" max="16384" width="9.08984375" style="13"/>
  </cols>
  <sheetData>
    <row r="1" spans="1:9">
      <c r="A1" s="2" t="s">
        <v>188</v>
      </c>
      <c r="B1" s="331" t="str">
        <f>Info!C2</f>
        <v>სს " პაშა ბანკი საქართველო"</v>
      </c>
    </row>
    <row r="2" spans="1:9">
      <c r="A2" s="2" t="s">
        <v>189</v>
      </c>
      <c r="B2" s="611">
        <f>'1. key ratios'!B2</f>
        <v>44469</v>
      </c>
    </row>
    <row r="4" spans="1:9" ht="13.5" thickBot="1">
      <c r="A4" s="2" t="s">
        <v>339</v>
      </c>
      <c r="B4" s="302" t="s">
        <v>361</v>
      </c>
    </row>
    <row r="5" spans="1:9">
      <c r="A5" s="95"/>
      <c r="B5" s="151"/>
      <c r="C5" s="157" t="s">
        <v>0</v>
      </c>
      <c r="D5" s="157" t="s">
        <v>1</v>
      </c>
      <c r="E5" s="157" t="s">
        <v>2</v>
      </c>
      <c r="F5" s="157" t="s">
        <v>3</v>
      </c>
      <c r="G5" s="297" t="s">
        <v>4</v>
      </c>
      <c r="H5" s="158" t="s">
        <v>5</v>
      </c>
      <c r="I5" s="23"/>
    </row>
    <row r="6" spans="1:9" ht="15" customHeight="1">
      <c r="A6" s="150"/>
      <c r="B6" s="21"/>
      <c r="C6" s="745" t="s">
        <v>353</v>
      </c>
      <c r="D6" s="749" t="s">
        <v>363</v>
      </c>
      <c r="E6" s="750"/>
      <c r="F6" s="745" t="s">
        <v>364</v>
      </c>
      <c r="G6" s="745" t="s">
        <v>365</v>
      </c>
      <c r="H6" s="747" t="s">
        <v>355</v>
      </c>
      <c r="I6" s="23"/>
    </row>
    <row r="7" spans="1:9" ht="65">
      <c r="A7" s="150"/>
      <c r="B7" s="21"/>
      <c r="C7" s="746"/>
      <c r="D7" s="301" t="s">
        <v>356</v>
      </c>
      <c r="E7" s="301" t="s">
        <v>354</v>
      </c>
      <c r="F7" s="746"/>
      <c r="G7" s="746"/>
      <c r="H7" s="748"/>
      <c r="I7" s="23"/>
    </row>
    <row r="8" spans="1:9">
      <c r="A8" s="86">
        <v>1</v>
      </c>
      <c r="B8" s="68" t="s">
        <v>216</v>
      </c>
      <c r="C8" s="285">
        <v>52471295.113899998</v>
      </c>
      <c r="D8" s="286"/>
      <c r="E8" s="285"/>
      <c r="F8" s="285">
        <v>44416886.113899998</v>
      </c>
      <c r="G8" s="298">
        <f>F8</f>
        <v>44416886.113899998</v>
      </c>
      <c r="H8" s="307">
        <f>G8/(C8+E8)</f>
        <v>0.84649875741553149</v>
      </c>
    </row>
    <row r="9" spans="1:9" ht="15" customHeight="1">
      <c r="A9" s="86">
        <v>2</v>
      </c>
      <c r="B9" s="68" t="s">
        <v>217</v>
      </c>
      <c r="C9" s="285">
        <v>0</v>
      </c>
      <c r="D9" s="286"/>
      <c r="E9" s="285"/>
      <c r="F9" s="285"/>
      <c r="G9" s="298">
        <f t="shared" ref="G9:G21" si="0">F9</f>
        <v>0</v>
      </c>
      <c r="H9" s="307" t="e">
        <f t="shared" ref="H9:H21" si="1">G9/(C9+E9)</f>
        <v>#DIV/0!</v>
      </c>
    </row>
    <row r="10" spans="1:9">
      <c r="A10" s="86">
        <v>3</v>
      </c>
      <c r="B10" s="68" t="s">
        <v>218</v>
      </c>
      <c r="C10" s="285">
        <v>0</v>
      </c>
      <c r="D10" s="286"/>
      <c r="E10" s="285"/>
      <c r="F10" s="285"/>
      <c r="G10" s="298">
        <f t="shared" si="0"/>
        <v>0</v>
      </c>
      <c r="H10" s="307" t="e">
        <f t="shared" si="1"/>
        <v>#DIV/0!</v>
      </c>
    </row>
    <row r="11" spans="1:9">
      <c r="A11" s="86">
        <v>4</v>
      </c>
      <c r="B11" s="68" t="s">
        <v>219</v>
      </c>
      <c r="C11" s="285">
        <v>0</v>
      </c>
      <c r="D11" s="286"/>
      <c r="E11" s="285"/>
      <c r="F11" s="285"/>
      <c r="G11" s="298">
        <f t="shared" si="0"/>
        <v>0</v>
      </c>
      <c r="H11" s="307" t="e">
        <f t="shared" si="1"/>
        <v>#DIV/0!</v>
      </c>
    </row>
    <row r="12" spans="1:9">
      <c r="A12" s="86">
        <v>5</v>
      </c>
      <c r="B12" s="68" t="s">
        <v>220</v>
      </c>
      <c r="C12" s="285">
        <v>0</v>
      </c>
      <c r="D12" s="286"/>
      <c r="E12" s="285"/>
      <c r="F12" s="285"/>
      <c r="G12" s="298">
        <f t="shared" si="0"/>
        <v>0</v>
      </c>
      <c r="H12" s="307" t="e">
        <f t="shared" si="1"/>
        <v>#DIV/0!</v>
      </c>
    </row>
    <row r="13" spans="1:9">
      <c r="A13" s="86">
        <v>6</v>
      </c>
      <c r="B13" s="68" t="s">
        <v>221</v>
      </c>
      <c r="C13" s="285">
        <v>71380423.353</v>
      </c>
      <c r="D13" s="286">
        <v>294000</v>
      </c>
      <c r="E13" s="285">
        <v>147000</v>
      </c>
      <c r="F13" s="285">
        <v>24971340.525210001</v>
      </c>
      <c r="G13" s="298">
        <f t="shared" si="0"/>
        <v>24971340.525210001</v>
      </c>
      <c r="H13" s="307">
        <f t="shared" si="1"/>
        <v>0.34911561684491538</v>
      </c>
    </row>
    <row r="14" spans="1:9">
      <c r="A14" s="86">
        <v>7</v>
      </c>
      <c r="B14" s="68" t="s">
        <v>73</v>
      </c>
      <c r="C14" s="285">
        <v>244605634.52340001</v>
      </c>
      <c r="D14" s="286">
        <v>35484140.395900004</v>
      </c>
      <c r="E14" s="285">
        <v>15556344.279999999</v>
      </c>
      <c r="F14" s="286">
        <v>260161978.80340001</v>
      </c>
      <c r="G14" s="298">
        <f t="shared" si="0"/>
        <v>260161978.80340001</v>
      </c>
      <c r="H14" s="307">
        <f>G14/(C14+E14)</f>
        <v>1</v>
      </c>
    </row>
    <row r="15" spans="1:9">
      <c r="A15" s="86">
        <v>8</v>
      </c>
      <c r="B15" s="68" t="s">
        <v>74</v>
      </c>
      <c r="C15" s="285">
        <v>18418385.469999999</v>
      </c>
      <c r="D15" s="286">
        <v>19116535.008000001</v>
      </c>
      <c r="E15" s="285">
        <v>2152308.1535999998</v>
      </c>
      <c r="F15" s="286">
        <v>20570693.623599999</v>
      </c>
      <c r="G15" s="298">
        <f t="shared" si="0"/>
        <v>20570693.623599999</v>
      </c>
      <c r="H15" s="307">
        <f t="shared" si="1"/>
        <v>1</v>
      </c>
    </row>
    <row r="16" spans="1:9">
      <c r="A16" s="86">
        <v>9</v>
      </c>
      <c r="B16" s="68" t="s">
        <v>75</v>
      </c>
      <c r="C16" s="285">
        <v>0</v>
      </c>
      <c r="D16" s="286"/>
      <c r="E16" s="285"/>
      <c r="F16" s="286"/>
      <c r="G16" s="298">
        <f t="shared" si="0"/>
        <v>0</v>
      </c>
      <c r="H16" s="307" t="e">
        <f t="shared" si="1"/>
        <v>#DIV/0!</v>
      </c>
    </row>
    <row r="17" spans="1:8">
      <c r="A17" s="86">
        <v>10</v>
      </c>
      <c r="B17" s="68" t="s">
        <v>69</v>
      </c>
      <c r="C17" s="285">
        <v>42529168.318499997</v>
      </c>
      <c r="D17" s="286"/>
      <c r="E17" s="285"/>
      <c r="F17" s="286">
        <v>42529168.318499997</v>
      </c>
      <c r="G17" s="298">
        <f t="shared" si="0"/>
        <v>42529168.318499997</v>
      </c>
      <c r="H17" s="307">
        <f t="shared" si="1"/>
        <v>1</v>
      </c>
    </row>
    <row r="18" spans="1:8">
      <c r="A18" s="86">
        <v>11</v>
      </c>
      <c r="B18" s="68" t="s">
        <v>70</v>
      </c>
      <c r="C18" s="285">
        <v>0</v>
      </c>
      <c r="D18" s="286"/>
      <c r="E18" s="285"/>
      <c r="F18" s="286"/>
      <c r="G18" s="298">
        <f t="shared" si="0"/>
        <v>0</v>
      </c>
      <c r="H18" s="307" t="e">
        <f t="shared" si="1"/>
        <v>#DIV/0!</v>
      </c>
    </row>
    <row r="19" spans="1:8">
      <c r="A19" s="86">
        <v>12</v>
      </c>
      <c r="B19" s="68" t="s">
        <v>71</v>
      </c>
      <c r="C19" s="285">
        <v>0</v>
      </c>
      <c r="D19" s="286"/>
      <c r="E19" s="285"/>
      <c r="F19" s="286"/>
      <c r="G19" s="298">
        <f t="shared" si="0"/>
        <v>0</v>
      </c>
      <c r="H19" s="307" t="e">
        <f t="shared" si="1"/>
        <v>#DIV/0!</v>
      </c>
    </row>
    <row r="20" spans="1:8">
      <c r="A20" s="86">
        <v>13</v>
      </c>
      <c r="B20" s="68" t="s">
        <v>72</v>
      </c>
      <c r="C20" s="285">
        <v>0</v>
      </c>
      <c r="D20" s="286"/>
      <c r="E20" s="285"/>
      <c r="F20" s="286"/>
      <c r="G20" s="298">
        <f t="shared" si="0"/>
        <v>0</v>
      </c>
      <c r="H20" s="307" t="e">
        <f t="shared" si="1"/>
        <v>#DIV/0!</v>
      </c>
    </row>
    <row r="21" spans="1:8">
      <c r="A21" s="86">
        <v>14</v>
      </c>
      <c r="B21" s="68" t="s">
        <v>248</v>
      </c>
      <c r="C21" s="285">
        <v>19759439.643599998</v>
      </c>
      <c r="D21" s="286"/>
      <c r="E21" s="285"/>
      <c r="F21" s="286">
        <v>14107464.9483</v>
      </c>
      <c r="G21" s="298">
        <f t="shared" si="0"/>
        <v>14107464.9483</v>
      </c>
      <c r="H21" s="307">
        <f t="shared" si="1"/>
        <v>0.71396078040448629</v>
      </c>
    </row>
    <row r="22" spans="1:8" ht="13.5" thickBot="1">
      <c r="A22" s="152"/>
      <c r="B22" s="159" t="s">
        <v>68</v>
      </c>
      <c r="C22" s="278">
        <f>SUM(C8:C21)</f>
        <v>449164346.42239994</v>
      </c>
      <c r="D22" s="278">
        <f t="shared" ref="D22:G22" si="2">SUM(D8:D21)</f>
        <v>54894675.403900005</v>
      </c>
      <c r="E22" s="278">
        <f t="shared" si="2"/>
        <v>17855652.433600001</v>
      </c>
      <c r="F22" s="278">
        <f t="shared" si="2"/>
        <v>406757532.33291</v>
      </c>
      <c r="G22" s="278">
        <f t="shared" si="2"/>
        <v>406757532.33291</v>
      </c>
      <c r="H22" s="308">
        <f>G22/(C22+E22)</f>
        <v>0.87096384165408913</v>
      </c>
    </row>
    <row r="25" spans="1:8">
      <c r="E25" s="13"/>
      <c r="F25" s="13"/>
      <c r="G25" s="13"/>
      <c r="H25" s="13"/>
    </row>
    <row r="28" spans="1:8" ht="10.5" customHeight="1"/>
  </sheetData>
  <mergeCells count="5">
    <mergeCell ref="C6:C7"/>
    <mergeCell ref="F6:F7"/>
    <mergeCell ref="G6:G7"/>
    <mergeCell ref="H6:H7"/>
    <mergeCell ref="D6:E6"/>
  </mergeCells>
  <pageMargins left="0.7" right="0.7" top="0.75" bottom="0.75" header="0.3" footer="0.3"/>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28" sqref="B28"/>
    </sheetView>
  </sheetViews>
  <sheetFormatPr defaultColWidth="9.08984375" defaultRowHeight="13"/>
  <cols>
    <col min="1" max="1" width="10.54296875" style="331" bestFit="1" customWidth="1"/>
    <col min="2" max="2" width="62.36328125" style="331" customWidth="1"/>
    <col min="3" max="11" width="12.6328125" style="331" customWidth="1"/>
    <col min="12" max="16384" width="9.08984375" style="331"/>
  </cols>
  <sheetData>
    <row r="1" spans="1:11">
      <c r="A1" s="331" t="s">
        <v>188</v>
      </c>
      <c r="B1" s="331" t="str">
        <f>Info!C2</f>
        <v>სს " პაშა ბანკი საქართველო"</v>
      </c>
    </row>
    <row r="2" spans="1:11">
      <c r="A2" s="331" t="s">
        <v>189</v>
      </c>
      <c r="B2" s="611">
        <f>'1. key ratios'!B2</f>
        <v>44469</v>
      </c>
      <c r="C2" s="332"/>
      <c r="D2" s="332"/>
    </row>
    <row r="3" spans="1:11">
      <c r="B3" s="332"/>
      <c r="C3" s="332"/>
      <c r="D3" s="332"/>
    </row>
    <row r="4" spans="1:11" ht="13.5" thickBot="1">
      <c r="A4" s="331" t="s">
        <v>392</v>
      </c>
      <c r="B4" s="302" t="s">
        <v>391</v>
      </c>
      <c r="C4" s="332"/>
      <c r="D4" s="332"/>
    </row>
    <row r="5" spans="1:11" ht="30" customHeight="1">
      <c r="A5" s="751"/>
      <c r="B5" s="752"/>
      <c r="C5" s="753" t="s">
        <v>423</v>
      </c>
      <c r="D5" s="753"/>
      <c r="E5" s="753"/>
      <c r="F5" s="753" t="s">
        <v>424</v>
      </c>
      <c r="G5" s="753"/>
      <c r="H5" s="753"/>
      <c r="I5" s="753" t="s">
        <v>425</v>
      </c>
      <c r="J5" s="753"/>
      <c r="K5" s="754"/>
    </row>
    <row r="6" spans="1:11">
      <c r="A6" s="329"/>
      <c r="B6" s="330"/>
      <c r="C6" s="333" t="s">
        <v>27</v>
      </c>
      <c r="D6" s="333" t="s">
        <v>96</v>
      </c>
      <c r="E6" s="333" t="s">
        <v>68</v>
      </c>
      <c r="F6" s="333" t="s">
        <v>27</v>
      </c>
      <c r="G6" s="333" t="s">
        <v>96</v>
      </c>
      <c r="H6" s="333" t="s">
        <v>68</v>
      </c>
      <c r="I6" s="333" t="s">
        <v>27</v>
      </c>
      <c r="J6" s="333" t="s">
        <v>96</v>
      </c>
      <c r="K6" s="334" t="s">
        <v>68</v>
      </c>
    </row>
    <row r="7" spans="1:11">
      <c r="A7" s="335" t="s">
        <v>372</v>
      </c>
      <c r="B7" s="328"/>
      <c r="C7" s="328"/>
      <c r="D7" s="328"/>
      <c r="E7" s="328"/>
      <c r="F7" s="328"/>
      <c r="G7" s="328"/>
      <c r="H7" s="328"/>
      <c r="I7" s="328"/>
      <c r="J7" s="328"/>
      <c r="K7" s="336"/>
    </row>
    <row r="8" spans="1:11">
      <c r="A8" s="327">
        <v>1</v>
      </c>
      <c r="B8" s="315" t="s">
        <v>372</v>
      </c>
      <c r="C8" s="640"/>
      <c r="D8" s="640"/>
      <c r="E8" s="640"/>
      <c r="F8" s="641">
        <v>13004689.118369568</v>
      </c>
      <c r="G8" s="641">
        <v>95139059.836086899</v>
      </c>
      <c r="H8" s="642">
        <v>108143748.95445655</v>
      </c>
      <c r="I8" s="673">
        <v>5701178.1408695644</v>
      </c>
      <c r="J8" s="673">
        <v>45769317.845434792</v>
      </c>
      <c r="K8" s="673">
        <v>51470495.986304328</v>
      </c>
    </row>
    <row r="9" spans="1:11">
      <c r="A9" s="335" t="s">
        <v>373</v>
      </c>
      <c r="B9" s="328"/>
      <c r="C9" s="638"/>
      <c r="D9" s="638"/>
      <c r="E9" s="638"/>
      <c r="F9" s="643"/>
      <c r="G9" s="661"/>
      <c r="H9" s="662"/>
      <c r="I9" s="674"/>
      <c r="J9" s="674"/>
      <c r="K9" s="675"/>
    </row>
    <row r="10" spans="1:11">
      <c r="A10" s="337">
        <v>2</v>
      </c>
      <c r="B10" s="316" t="s">
        <v>374</v>
      </c>
      <c r="C10" s="644">
        <v>6457578.4183695652</v>
      </c>
      <c r="D10" s="644">
        <v>29636277.07923913</v>
      </c>
      <c r="E10" s="644">
        <v>36093855.497608691</v>
      </c>
      <c r="F10" s="645">
        <v>457253.0966217395</v>
      </c>
      <c r="G10" s="645">
        <v>5677270.5808201078</v>
      </c>
      <c r="H10" s="646">
        <v>6134523.6774418484</v>
      </c>
      <c r="I10" s="677">
        <v>123251.59514673908</v>
      </c>
      <c r="J10" s="677">
        <v>1170195.9963369563</v>
      </c>
      <c r="K10" s="678">
        <v>1293447.5914836959</v>
      </c>
    </row>
    <row r="11" spans="1:11">
      <c r="A11" s="337">
        <v>3</v>
      </c>
      <c r="B11" s="316" t="s">
        <v>375</v>
      </c>
      <c r="C11" s="644">
        <v>40366023.946413033</v>
      </c>
      <c r="D11" s="644">
        <v>228583226.52184781</v>
      </c>
      <c r="E11" s="644">
        <v>268949250.46826106</v>
      </c>
      <c r="F11" s="645">
        <v>12918073.805277174</v>
      </c>
      <c r="G11" s="645">
        <v>18867242.792527176</v>
      </c>
      <c r="H11" s="646">
        <v>31785316.59780436</v>
      </c>
      <c r="I11" s="677">
        <v>12269763.926467391</v>
      </c>
      <c r="J11" s="677">
        <v>15004698.362000002</v>
      </c>
      <c r="K11" s="678">
        <v>27274462.288467385</v>
      </c>
    </row>
    <row r="12" spans="1:11">
      <c r="A12" s="337">
        <v>4</v>
      </c>
      <c r="B12" s="316" t="s">
        <v>376</v>
      </c>
      <c r="C12" s="644">
        <v>19394565.217391305</v>
      </c>
      <c r="D12" s="644">
        <v>0</v>
      </c>
      <c r="E12" s="644">
        <v>19394565.217391305</v>
      </c>
      <c r="F12" s="645">
        <v>0</v>
      </c>
      <c r="G12" s="645">
        <v>0</v>
      </c>
      <c r="H12" s="646">
        <v>0</v>
      </c>
      <c r="I12" s="677">
        <v>0</v>
      </c>
      <c r="J12" s="677">
        <v>0</v>
      </c>
      <c r="K12" s="678">
        <v>0</v>
      </c>
    </row>
    <row r="13" spans="1:11">
      <c r="A13" s="337">
        <v>5</v>
      </c>
      <c r="B13" s="316" t="s">
        <v>377</v>
      </c>
      <c r="C13" s="644">
        <v>31386540.547608685</v>
      </c>
      <c r="D13" s="644">
        <v>23735284.89782609</v>
      </c>
      <c r="E13" s="644">
        <v>55121825.445434809</v>
      </c>
      <c r="F13" s="645">
        <v>5290324.3615815239</v>
      </c>
      <c r="G13" s="645">
        <v>4110629.0026793499</v>
      </c>
      <c r="H13" s="646">
        <v>9400953.3642608691</v>
      </c>
      <c r="I13" s="677">
        <v>1830380.0781576103</v>
      </c>
      <c r="J13" s="677">
        <v>1666291.8894782604</v>
      </c>
      <c r="K13" s="678">
        <v>3496671.9676358718</v>
      </c>
    </row>
    <row r="14" spans="1:11">
      <c r="A14" s="337">
        <v>6</v>
      </c>
      <c r="B14" s="316" t="s">
        <v>390</v>
      </c>
      <c r="C14" s="644">
        <v>0</v>
      </c>
      <c r="D14" s="644">
        <v>0</v>
      </c>
      <c r="E14" s="644">
        <v>0</v>
      </c>
      <c r="F14" s="645">
        <v>0</v>
      </c>
      <c r="G14" s="645">
        <v>0</v>
      </c>
      <c r="H14" s="645">
        <v>0</v>
      </c>
      <c r="I14" s="677">
        <v>0</v>
      </c>
      <c r="J14" s="677">
        <v>0</v>
      </c>
      <c r="K14" s="677">
        <v>0</v>
      </c>
    </row>
    <row r="15" spans="1:11">
      <c r="A15" s="337">
        <v>7</v>
      </c>
      <c r="B15" s="316" t="s">
        <v>378</v>
      </c>
      <c r="C15" s="644">
        <v>2309446.3252173914</v>
      </c>
      <c r="D15" s="644">
        <v>14775607.512282602</v>
      </c>
      <c r="E15" s="644">
        <v>17085053.837500006</v>
      </c>
      <c r="F15" s="645">
        <v>1819013.1894565208</v>
      </c>
      <c r="G15" s="645">
        <v>585435.59532608709</v>
      </c>
      <c r="H15" s="645">
        <v>2404448.7847826085</v>
      </c>
      <c r="I15" s="677">
        <v>1836993.3759782598</v>
      </c>
      <c r="J15" s="677">
        <v>765415.83760869585</v>
      </c>
      <c r="K15" s="677">
        <v>2602409.2135869558</v>
      </c>
    </row>
    <row r="16" spans="1:11">
      <c r="A16" s="337">
        <v>8</v>
      </c>
      <c r="B16" s="317" t="s">
        <v>379</v>
      </c>
      <c r="C16" s="644">
        <v>99914154.454999983</v>
      </c>
      <c r="D16" s="645">
        <v>296730396.01119566</v>
      </c>
      <c r="E16" s="645">
        <v>396644550.46619594</v>
      </c>
      <c r="F16" s="644">
        <v>20484664.452936959</v>
      </c>
      <c r="G16" s="645">
        <v>29240577.971352719</v>
      </c>
      <c r="H16" s="646">
        <v>49725242.424289688</v>
      </c>
      <c r="I16" s="676">
        <v>16060388.975750001</v>
      </c>
      <c r="J16" s="677">
        <v>18606602.085423913</v>
      </c>
      <c r="K16" s="678">
        <v>34666991.061173908</v>
      </c>
    </row>
    <row r="17" spans="1:11">
      <c r="A17" s="335" t="s">
        <v>380</v>
      </c>
      <c r="B17" s="328"/>
      <c r="C17" s="643"/>
      <c r="D17" s="643"/>
      <c r="E17" s="643"/>
      <c r="F17" s="638"/>
      <c r="G17" s="638"/>
      <c r="H17" s="639"/>
      <c r="I17" s="671"/>
      <c r="J17" s="671"/>
      <c r="K17" s="672"/>
    </row>
    <row r="18" spans="1:11">
      <c r="A18" s="337">
        <v>9</v>
      </c>
      <c r="B18" s="316" t="s">
        <v>381</v>
      </c>
      <c r="C18" s="644">
        <v>0</v>
      </c>
      <c r="D18" s="644">
        <v>0</v>
      </c>
      <c r="E18" s="644">
        <v>0</v>
      </c>
      <c r="F18" s="645">
        <v>0</v>
      </c>
      <c r="G18" s="645">
        <v>0</v>
      </c>
      <c r="H18" s="646">
        <v>0</v>
      </c>
      <c r="I18" s="677">
        <v>0</v>
      </c>
      <c r="J18" s="677">
        <v>0</v>
      </c>
      <c r="K18" s="678">
        <v>0</v>
      </c>
    </row>
    <row r="19" spans="1:11">
      <c r="A19" s="337">
        <v>10</v>
      </c>
      <c r="B19" s="316" t="s">
        <v>382</v>
      </c>
      <c r="C19" s="644">
        <v>81396199.330217376</v>
      </c>
      <c r="D19" s="644">
        <v>197813400.40413043</v>
      </c>
      <c r="E19" s="644">
        <v>279209599.7343477</v>
      </c>
      <c r="F19" s="645">
        <v>8028224.3646739153</v>
      </c>
      <c r="G19" s="645">
        <v>2047439.6290760867</v>
      </c>
      <c r="H19" s="646">
        <v>10075663.993749999</v>
      </c>
      <c r="I19" s="677">
        <v>15475733.379021736</v>
      </c>
      <c r="J19" s="677">
        <v>55518009.807608709</v>
      </c>
      <c r="K19" s="678">
        <v>70993743.186630428</v>
      </c>
    </row>
    <row r="20" spans="1:11">
      <c r="A20" s="337">
        <v>11</v>
      </c>
      <c r="B20" s="316" t="s">
        <v>383</v>
      </c>
      <c r="C20" s="644">
        <v>5154003.5220652204</v>
      </c>
      <c r="D20" s="644">
        <v>13605872.777065219</v>
      </c>
      <c r="E20" s="644">
        <v>18759876.299130436</v>
      </c>
      <c r="F20" s="645">
        <v>741773.43663043482</v>
      </c>
      <c r="G20" s="645">
        <v>201079.50869565207</v>
      </c>
      <c r="H20" s="646">
        <v>942852.94532608695</v>
      </c>
      <c r="I20" s="677">
        <v>742810.05032608693</v>
      </c>
      <c r="J20" s="677">
        <v>202387.17217391296</v>
      </c>
      <c r="K20" s="678">
        <v>945197.2224999998</v>
      </c>
    </row>
    <row r="21" spans="1:11" ht="13.5" thickBot="1">
      <c r="A21" s="218">
        <v>12</v>
      </c>
      <c r="B21" s="338" t="s">
        <v>384</v>
      </c>
      <c r="C21" s="647">
        <v>86550202.852282599</v>
      </c>
      <c r="D21" s="659">
        <v>211419273.18119565</v>
      </c>
      <c r="E21" s="647">
        <v>297969476.03347814</v>
      </c>
      <c r="F21" s="647">
        <v>8769997.8013043497</v>
      </c>
      <c r="G21" s="659">
        <v>2248519.1377717387</v>
      </c>
      <c r="H21" s="648">
        <v>11018516.939076085</v>
      </c>
      <c r="I21" s="679">
        <v>16218543.429347822</v>
      </c>
      <c r="J21" s="685">
        <v>55720396.979782619</v>
      </c>
      <c r="K21" s="680">
        <v>71938940.409130424</v>
      </c>
    </row>
    <row r="22" spans="1:11" ht="38.25" customHeight="1" thickBot="1">
      <c r="A22" s="325"/>
      <c r="B22" s="326"/>
      <c r="C22" s="649"/>
      <c r="D22" s="649"/>
      <c r="E22" s="649"/>
      <c r="F22" s="755" t="s">
        <v>385</v>
      </c>
      <c r="G22" s="756"/>
      <c r="H22" s="757"/>
      <c r="I22" s="758" t="s">
        <v>385</v>
      </c>
      <c r="J22" s="753"/>
      <c r="K22" s="754"/>
    </row>
    <row r="23" spans="1:11">
      <c r="A23" s="321">
        <v>13</v>
      </c>
      <c r="B23" s="318" t="s">
        <v>372</v>
      </c>
      <c r="C23" s="650"/>
      <c r="D23" s="650"/>
      <c r="E23" s="650"/>
      <c r="F23" s="651">
        <v>13004689.118369568</v>
      </c>
      <c r="G23" s="651">
        <v>95139059.836086899</v>
      </c>
      <c r="H23" s="652">
        <v>108143748.95445655</v>
      </c>
      <c r="I23" s="681">
        <v>5701178.1408695644</v>
      </c>
      <c r="J23" s="681">
        <v>45769317.845434792</v>
      </c>
      <c r="K23" s="682">
        <v>51470495.986304328</v>
      </c>
    </row>
    <row r="24" spans="1:11" ht="15" thickBot="1">
      <c r="A24" s="322">
        <v>14</v>
      </c>
      <c r="B24" s="319" t="s">
        <v>386</v>
      </c>
      <c r="C24" s="653"/>
      <c r="D24" s="654"/>
      <c r="E24" s="655"/>
      <c r="F24" s="660">
        <v>11714666.651632609</v>
      </c>
      <c r="G24" s="660">
        <v>26992058.833580978</v>
      </c>
      <c r="H24" s="660">
        <v>38706725.485213608</v>
      </c>
      <c r="I24" s="686">
        <v>4015097.2439375003</v>
      </c>
      <c r="J24" s="686">
        <v>4651650.5213559782</v>
      </c>
      <c r="K24" s="686">
        <v>8666747.7652934771</v>
      </c>
    </row>
    <row r="25" spans="1:11" ht="13.5" thickBot="1">
      <c r="A25" s="323">
        <v>15</v>
      </c>
      <c r="B25" s="320" t="s">
        <v>387</v>
      </c>
      <c r="C25" s="656"/>
      <c r="D25" s="656"/>
      <c r="E25" s="656"/>
      <c r="F25" s="657">
        <v>1.1325853250153559</v>
      </c>
      <c r="G25" s="657">
        <v>3.5335461362659086</v>
      </c>
      <c r="H25" s="658">
        <v>2.8047511231368363</v>
      </c>
      <c r="I25" s="683">
        <v>1.4523476142605707</v>
      </c>
      <c r="J25" s="683">
        <v>9.7048935164879637</v>
      </c>
      <c r="K25" s="684">
        <v>5.8659072432119244</v>
      </c>
    </row>
    <row r="28" spans="1:11" ht="52">
      <c r="B28" s="22" t="s">
        <v>422</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90" zoomScaleNormal="90" workbookViewId="0">
      <pane xSplit="1" ySplit="5" topLeftCell="B6" activePane="bottomRight" state="frozen"/>
      <selection pane="topRight" activeCell="B1" sqref="B1"/>
      <selection pane="bottomLeft" activeCell="A5" sqref="A5"/>
      <selection pane="bottomRight" activeCell="D29" sqref="D29"/>
    </sheetView>
  </sheetViews>
  <sheetFormatPr defaultColWidth="9.08984375" defaultRowHeight="13.5"/>
  <cols>
    <col min="1" max="1" width="10.54296875" style="63" bestFit="1" customWidth="1"/>
    <col min="2" max="2" width="62" style="63" customWidth="1"/>
    <col min="3" max="3" width="15.54296875" style="63" customWidth="1"/>
    <col min="4" max="4" width="10" style="63" bestFit="1" customWidth="1"/>
    <col min="5" max="5" width="18.36328125" style="63" bestFit="1" customWidth="1"/>
    <col min="6" max="13" width="10.6328125" style="63" customWidth="1"/>
    <col min="14" max="14" width="31" style="63" bestFit="1" customWidth="1"/>
    <col min="15" max="16384" width="9.08984375" style="13"/>
  </cols>
  <sheetData>
    <row r="1" spans="1:14">
      <c r="A1" s="5" t="s">
        <v>188</v>
      </c>
      <c r="B1" s="63" t="str">
        <f>Info!C2</f>
        <v>სს " პაშა ბანკი საქართველო"</v>
      </c>
    </row>
    <row r="2" spans="1:14" ht="14.25" customHeight="1">
      <c r="A2" s="63" t="s">
        <v>189</v>
      </c>
      <c r="B2" s="611">
        <f>'1. key ratios'!B2</f>
        <v>44469</v>
      </c>
    </row>
    <row r="3" spans="1:14" ht="14.25" customHeight="1"/>
    <row r="4" spans="1:14" ht="14" thickBot="1">
      <c r="A4" s="2" t="s">
        <v>340</v>
      </c>
      <c r="B4" s="88" t="s">
        <v>77</v>
      </c>
    </row>
    <row r="5" spans="1:14" s="24" customFormat="1" ht="13">
      <c r="A5" s="168"/>
      <c r="B5" s="169"/>
      <c r="C5" s="170" t="s">
        <v>0</v>
      </c>
      <c r="D5" s="170" t="s">
        <v>1</v>
      </c>
      <c r="E5" s="170" t="s">
        <v>2</v>
      </c>
      <c r="F5" s="170" t="s">
        <v>3</v>
      </c>
      <c r="G5" s="170" t="s">
        <v>4</v>
      </c>
      <c r="H5" s="170" t="s">
        <v>5</v>
      </c>
      <c r="I5" s="170" t="s">
        <v>237</v>
      </c>
      <c r="J5" s="170" t="s">
        <v>238</v>
      </c>
      <c r="K5" s="170" t="s">
        <v>239</v>
      </c>
      <c r="L5" s="170" t="s">
        <v>240</v>
      </c>
      <c r="M5" s="170" t="s">
        <v>241</v>
      </c>
      <c r="N5" s="171" t="s">
        <v>242</v>
      </c>
    </row>
    <row r="6" spans="1:14" ht="40.5">
      <c r="A6" s="160"/>
      <c r="B6" s="100"/>
      <c r="C6" s="101" t="s">
        <v>87</v>
      </c>
      <c r="D6" s="102" t="s">
        <v>76</v>
      </c>
      <c r="E6" s="103" t="s">
        <v>86</v>
      </c>
      <c r="F6" s="104">
        <v>0</v>
      </c>
      <c r="G6" s="104">
        <v>0.2</v>
      </c>
      <c r="H6" s="104">
        <v>0.35</v>
      </c>
      <c r="I6" s="104">
        <v>0.5</v>
      </c>
      <c r="J6" s="104">
        <v>0.75</v>
      </c>
      <c r="K6" s="104">
        <v>1</v>
      </c>
      <c r="L6" s="104">
        <v>1.5</v>
      </c>
      <c r="M6" s="104">
        <v>2.5</v>
      </c>
      <c r="N6" s="161" t="s">
        <v>77</v>
      </c>
    </row>
    <row r="7" spans="1:14">
      <c r="A7" s="162">
        <v>1</v>
      </c>
      <c r="B7" s="105" t="s">
        <v>78</v>
      </c>
      <c r="C7" s="287">
        <f>SUM(C8:C13)</f>
        <v>106937166.38259999</v>
      </c>
      <c r="D7" s="100"/>
      <c r="E7" s="290">
        <f t="shared" ref="E7:M7" si="0">SUM(E8:E13)</f>
        <v>2138743.3276519999</v>
      </c>
      <c r="F7" s="287">
        <f>SUM(F8:F13)</f>
        <v>0</v>
      </c>
      <c r="G7" s="287">
        <f t="shared" si="0"/>
        <v>0</v>
      </c>
      <c r="H7" s="287">
        <f t="shared" si="0"/>
        <v>0</v>
      </c>
      <c r="I7" s="287">
        <f t="shared" si="0"/>
        <v>0</v>
      </c>
      <c r="J7" s="287">
        <f t="shared" si="0"/>
        <v>0</v>
      </c>
      <c r="K7" s="287">
        <f t="shared" si="0"/>
        <v>2138743.3276999998</v>
      </c>
      <c r="L7" s="287">
        <f t="shared" si="0"/>
        <v>0</v>
      </c>
      <c r="M7" s="287">
        <f t="shared" si="0"/>
        <v>0</v>
      </c>
      <c r="N7" s="163">
        <f>SUM(N8:N13)</f>
        <v>2138743.3276999998</v>
      </c>
    </row>
    <row r="8" spans="1:14">
      <c r="A8" s="162">
        <v>1.1000000000000001</v>
      </c>
      <c r="B8" s="106" t="s">
        <v>79</v>
      </c>
      <c r="C8" s="288">
        <v>106937166.38259999</v>
      </c>
      <c r="D8" s="107">
        <v>0.02</v>
      </c>
      <c r="E8" s="290">
        <f>C8*D8</f>
        <v>2138743.3276519999</v>
      </c>
      <c r="F8" s="288"/>
      <c r="G8" s="288"/>
      <c r="H8" s="288"/>
      <c r="I8" s="288"/>
      <c r="J8" s="288"/>
      <c r="K8" s="288">
        <v>2138743.3276999998</v>
      </c>
      <c r="L8" s="288"/>
      <c r="M8" s="288"/>
      <c r="N8" s="163">
        <f>SUMPRODUCT($F$6:$M$6,F8:M8)</f>
        <v>2138743.3276999998</v>
      </c>
    </row>
    <row r="9" spans="1:14">
      <c r="A9" s="162">
        <v>1.2</v>
      </c>
      <c r="B9" s="106" t="s">
        <v>80</v>
      </c>
      <c r="C9" s="288"/>
      <c r="D9" s="107">
        <v>0.05</v>
      </c>
      <c r="E9" s="290">
        <f>C9*D9</f>
        <v>0</v>
      </c>
      <c r="F9" s="288"/>
      <c r="G9" s="288"/>
      <c r="H9" s="288"/>
      <c r="I9" s="288"/>
      <c r="J9" s="288"/>
      <c r="K9" s="288"/>
      <c r="L9" s="288"/>
      <c r="M9" s="288"/>
      <c r="N9" s="163">
        <f t="shared" ref="N9:N12" si="1">SUMPRODUCT($F$6:$M$6,F9:M9)</f>
        <v>0</v>
      </c>
    </row>
    <row r="10" spans="1:14">
      <c r="A10" s="162">
        <v>1.3</v>
      </c>
      <c r="B10" s="106" t="s">
        <v>81</v>
      </c>
      <c r="C10" s="288"/>
      <c r="D10" s="107">
        <v>0.08</v>
      </c>
      <c r="E10" s="290">
        <f>C10*D10</f>
        <v>0</v>
      </c>
      <c r="F10" s="288"/>
      <c r="G10" s="288"/>
      <c r="H10" s="288"/>
      <c r="I10" s="288"/>
      <c r="J10" s="288"/>
      <c r="K10" s="288"/>
      <c r="L10" s="288"/>
      <c r="M10" s="288"/>
      <c r="N10" s="163">
        <f>SUMPRODUCT($F$6:$M$6,F10:M10)</f>
        <v>0</v>
      </c>
    </row>
    <row r="11" spans="1:14">
      <c r="A11" s="162">
        <v>1.4</v>
      </c>
      <c r="B11" s="106" t="s">
        <v>82</v>
      </c>
      <c r="C11" s="288"/>
      <c r="D11" s="107">
        <v>0.11</v>
      </c>
      <c r="E11" s="290">
        <f>C11*D11</f>
        <v>0</v>
      </c>
      <c r="F11" s="288"/>
      <c r="G11" s="288"/>
      <c r="H11" s="288"/>
      <c r="I11" s="288"/>
      <c r="J11" s="288"/>
      <c r="K11" s="288"/>
      <c r="L11" s="288"/>
      <c r="M11" s="288"/>
      <c r="N11" s="163">
        <f t="shared" si="1"/>
        <v>0</v>
      </c>
    </row>
    <row r="12" spans="1:14">
      <c r="A12" s="162">
        <v>1.5</v>
      </c>
      <c r="B12" s="106" t="s">
        <v>83</v>
      </c>
      <c r="C12" s="288"/>
      <c r="D12" s="107">
        <v>0.14000000000000001</v>
      </c>
      <c r="E12" s="290">
        <f>C12*D12</f>
        <v>0</v>
      </c>
      <c r="F12" s="288"/>
      <c r="G12" s="288"/>
      <c r="H12" s="288"/>
      <c r="I12" s="288"/>
      <c r="J12" s="288"/>
      <c r="K12" s="288"/>
      <c r="L12" s="288"/>
      <c r="M12" s="288"/>
      <c r="N12" s="163">
        <f t="shared" si="1"/>
        <v>0</v>
      </c>
    </row>
    <row r="13" spans="1:14">
      <c r="A13" s="162">
        <v>1.6</v>
      </c>
      <c r="B13" s="108" t="s">
        <v>84</v>
      </c>
      <c r="C13" s="288"/>
      <c r="D13" s="109"/>
      <c r="E13" s="288"/>
      <c r="F13" s="288"/>
      <c r="G13" s="288"/>
      <c r="H13" s="288"/>
      <c r="I13" s="288"/>
      <c r="J13" s="288"/>
      <c r="K13" s="288"/>
      <c r="L13" s="288"/>
      <c r="M13" s="288"/>
      <c r="N13" s="163">
        <f>SUMPRODUCT($F$6:$M$6,F13:M13)</f>
        <v>0</v>
      </c>
    </row>
    <row r="14" spans="1:14">
      <c r="A14" s="162">
        <v>2</v>
      </c>
      <c r="B14" s="110" t="s">
        <v>85</v>
      </c>
      <c r="C14" s="287">
        <f>SUM(C15:C20)</f>
        <v>0</v>
      </c>
      <c r="D14" s="100"/>
      <c r="E14" s="290">
        <f t="shared" ref="E14:M14" si="2">SUM(E15:E20)</f>
        <v>0</v>
      </c>
      <c r="F14" s="288">
        <f t="shared" si="2"/>
        <v>0</v>
      </c>
      <c r="G14" s="288">
        <f t="shared" si="2"/>
        <v>0</v>
      </c>
      <c r="H14" s="288">
        <f t="shared" si="2"/>
        <v>0</v>
      </c>
      <c r="I14" s="288">
        <f t="shared" si="2"/>
        <v>0</v>
      </c>
      <c r="J14" s="288">
        <f t="shared" si="2"/>
        <v>0</v>
      </c>
      <c r="K14" s="288">
        <f t="shared" si="2"/>
        <v>0</v>
      </c>
      <c r="L14" s="288">
        <f t="shared" si="2"/>
        <v>0</v>
      </c>
      <c r="M14" s="288">
        <f t="shared" si="2"/>
        <v>0</v>
      </c>
      <c r="N14" s="163">
        <f>SUM(N15:N20)</f>
        <v>0</v>
      </c>
    </row>
    <row r="15" spans="1:14">
      <c r="A15" s="162">
        <v>2.1</v>
      </c>
      <c r="B15" s="108" t="s">
        <v>79</v>
      </c>
      <c r="C15" s="288"/>
      <c r="D15" s="107">
        <v>5.0000000000000001E-3</v>
      </c>
      <c r="E15" s="290">
        <f>C15*D15</f>
        <v>0</v>
      </c>
      <c r="F15" s="288"/>
      <c r="G15" s="288"/>
      <c r="H15" s="288"/>
      <c r="I15" s="288"/>
      <c r="J15" s="288"/>
      <c r="K15" s="288"/>
      <c r="L15" s="288"/>
      <c r="M15" s="288"/>
      <c r="N15" s="163">
        <f>SUMPRODUCT($F$6:$M$6,F15:M15)</f>
        <v>0</v>
      </c>
    </row>
    <row r="16" spans="1:14">
      <c r="A16" s="162">
        <v>2.2000000000000002</v>
      </c>
      <c r="B16" s="108" t="s">
        <v>80</v>
      </c>
      <c r="C16" s="288"/>
      <c r="D16" s="107">
        <v>0.01</v>
      </c>
      <c r="E16" s="290">
        <f>C16*D16</f>
        <v>0</v>
      </c>
      <c r="F16" s="288"/>
      <c r="G16" s="288"/>
      <c r="H16" s="288"/>
      <c r="I16" s="288"/>
      <c r="J16" s="288"/>
      <c r="K16" s="288"/>
      <c r="L16" s="288"/>
      <c r="M16" s="288"/>
      <c r="N16" s="163">
        <f t="shared" ref="N16:N20" si="3">SUMPRODUCT($F$6:$M$6,F16:M16)</f>
        <v>0</v>
      </c>
    </row>
    <row r="17" spans="1:14">
      <c r="A17" s="162">
        <v>2.2999999999999998</v>
      </c>
      <c r="B17" s="108" t="s">
        <v>81</v>
      </c>
      <c r="C17" s="288"/>
      <c r="D17" s="107">
        <v>0.02</v>
      </c>
      <c r="E17" s="290">
        <f>C17*D17</f>
        <v>0</v>
      </c>
      <c r="F17" s="288"/>
      <c r="G17" s="288"/>
      <c r="H17" s="288"/>
      <c r="I17" s="288"/>
      <c r="J17" s="288"/>
      <c r="K17" s="288"/>
      <c r="L17" s="288"/>
      <c r="M17" s="288"/>
      <c r="N17" s="163">
        <f t="shared" si="3"/>
        <v>0</v>
      </c>
    </row>
    <row r="18" spans="1:14">
      <c r="A18" s="162">
        <v>2.4</v>
      </c>
      <c r="B18" s="108" t="s">
        <v>82</v>
      </c>
      <c r="C18" s="288"/>
      <c r="D18" s="107">
        <v>0.03</v>
      </c>
      <c r="E18" s="290">
        <f>C18*D18</f>
        <v>0</v>
      </c>
      <c r="F18" s="288"/>
      <c r="G18" s="288"/>
      <c r="H18" s="288"/>
      <c r="I18" s="288"/>
      <c r="J18" s="288"/>
      <c r="K18" s="288"/>
      <c r="L18" s="288"/>
      <c r="M18" s="288"/>
      <c r="N18" s="163">
        <f t="shared" si="3"/>
        <v>0</v>
      </c>
    </row>
    <row r="19" spans="1:14">
      <c r="A19" s="162">
        <v>2.5</v>
      </c>
      <c r="B19" s="108" t="s">
        <v>83</v>
      </c>
      <c r="C19" s="288"/>
      <c r="D19" s="107">
        <v>0.04</v>
      </c>
      <c r="E19" s="290">
        <f>C19*D19</f>
        <v>0</v>
      </c>
      <c r="F19" s="288"/>
      <c r="G19" s="288"/>
      <c r="H19" s="288"/>
      <c r="I19" s="288"/>
      <c r="J19" s="288"/>
      <c r="K19" s="288"/>
      <c r="L19" s="288"/>
      <c r="M19" s="288"/>
      <c r="N19" s="163">
        <f t="shared" si="3"/>
        <v>0</v>
      </c>
    </row>
    <row r="20" spans="1:14">
      <c r="A20" s="162">
        <v>2.6</v>
      </c>
      <c r="B20" s="108" t="s">
        <v>84</v>
      </c>
      <c r="C20" s="288"/>
      <c r="D20" s="109"/>
      <c r="E20" s="291"/>
      <c r="F20" s="288"/>
      <c r="G20" s="288"/>
      <c r="H20" s="288"/>
      <c r="I20" s="288"/>
      <c r="J20" s="288"/>
      <c r="K20" s="288"/>
      <c r="L20" s="288"/>
      <c r="M20" s="288"/>
      <c r="N20" s="163">
        <f t="shared" si="3"/>
        <v>0</v>
      </c>
    </row>
    <row r="21" spans="1:14" ht="14" thickBot="1">
      <c r="A21" s="164">
        <v>3</v>
      </c>
      <c r="B21" s="165" t="s">
        <v>68</v>
      </c>
      <c r="C21" s="289">
        <f>C14+C7</f>
        <v>106937166.38259999</v>
      </c>
      <c r="D21" s="166"/>
      <c r="E21" s="292">
        <f>E14+E7</f>
        <v>2138743.3276519999</v>
      </c>
      <c r="F21" s="293">
        <f>F7+F14</f>
        <v>0</v>
      </c>
      <c r="G21" s="293">
        <f t="shared" ref="G21:L21" si="4">G7+G14</f>
        <v>0</v>
      </c>
      <c r="H21" s="293">
        <f t="shared" si="4"/>
        <v>0</v>
      </c>
      <c r="I21" s="293">
        <f t="shared" si="4"/>
        <v>0</v>
      </c>
      <c r="J21" s="293">
        <f t="shared" si="4"/>
        <v>0</v>
      </c>
      <c r="K21" s="293">
        <f t="shared" si="4"/>
        <v>2138743.3276999998</v>
      </c>
      <c r="L21" s="293">
        <f t="shared" si="4"/>
        <v>0</v>
      </c>
      <c r="M21" s="293">
        <f>M7+M14</f>
        <v>0</v>
      </c>
      <c r="N21" s="167">
        <f>N14+N7</f>
        <v>2138743.3276999998</v>
      </c>
    </row>
    <row r="22" spans="1:14">
      <c r="E22" s="294"/>
      <c r="F22" s="294"/>
      <c r="G22" s="294"/>
      <c r="H22" s="294"/>
      <c r="I22" s="294"/>
      <c r="J22" s="294"/>
      <c r="K22" s="294"/>
      <c r="L22" s="294"/>
      <c r="M22" s="29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zoomScale="90" zoomScaleNormal="90" workbookViewId="0">
      <selection activeCell="J19" sqref="J19"/>
    </sheetView>
  </sheetViews>
  <sheetFormatPr defaultRowHeight="14.5"/>
  <cols>
    <col min="1" max="1" width="11.453125" customWidth="1"/>
    <col min="2" max="2" width="76.90625" style="4" customWidth="1"/>
    <col min="3" max="3" width="22.90625" customWidth="1"/>
  </cols>
  <sheetData>
    <row r="1" spans="1:3">
      <c r="A1" s="331" t="s">
        <v>188</v>
      </c>
      <c r="B1" t="str">
        <f>Info!C2</f>
        <v>სს " პაშა ბანკი საქართველო"</v>
      </c>
    </row>
    <row r="2" spans="1:3">
      <c r="A2" s="331" t="s">
        <v>189</v>
      </c>
      <c r="B2" s="611">
        <f>'1. key ratios'!B2</f>
        <v>44469</v>
      </c>
    </row>
    <row r="3" spans="1:3">
      <c r="A3" s="331"/>
      <c r="B3"/>
    </row>
    <row r="4" spans="1:3">
      <c r="A4" s="331" t="s">
        <v>467</v>
      </c>
      <c r="B4" t="s">
        <v>426</v>
      </c>
    </row>
    <row r="5" spans="1:3">
      <c r="A5" s="391"/>
      <c r="B5" s="391" t="s">
        <v>427</v>
      </c>
      <c r="C5" s="403"/>
    </row>
    <row r="6" spans="1:3">
      <c r="A6" s="392">
        <v>1</v>
      </c>
      <c r="B6" s="404" t="s">
        <v>479</v>
      </c>
      <c r="C6" s="405">
        <v>453351432.16239995</v>
      </c>
    </row>
    <row r="7" spans="1:3">
      <c r="A7" s="392">
        <v>2</v>
      </c>
      <c r="B7" s="404" t="s">
        <v>428</v>
      </c>
      <c r="C7" s="405">
        <v>-4187085.74</v>
      </c>
    </row>
    <row r="8" spans="1:3">
      <c r="A8" s="393">
        <v>3</v>
      </c>
      <c r="B8" s="406" t="s">
        <v>429</v>
      </c>
      <c r="C8" s="407">
        <f>C6+C7</f>
        <v>449164346.42239994</v>
      </c>
    </row>
    <row r="9" spans="1:3">
      <c r="A9" s="394"/>
      <c r="B9" s="394" t="s">
        <v>430</v>
      </c>
      <c r="C9" s="408"/>
    </row>
    <row r="10" spans="1:3">
      <c r="A10" s="395">
        <v>4</v>
      </c>
      <c r="B10" s="409" t="s">
        <v>431</v>
      </c>
      <c r="C10" s="405"/>
    </row>
    <row r="11" spans="1:3">
      <c r="A11" s="395">
        <v>5</v>
      </c>
      <c r="B11" s="410" t="s">
        <v>432</v>
      </c>
      <c r="C11" s="405"/>
    </row>
    <row r="12" spans="1:3">
      <c r="A12" s="395" t="s">
        <v>433</v>
      </c>
      <c r="B12" s="404" t="s">
        <v>434</v>
      </c>
      <c r="C12" s="407">
        <f>'15. CCR'!E21</f>
        <v>2138743.3276519999</v>
      </c>
    </row>
    <row r="13" spans="1:3">
      <c r="A13" s="396">
        <v>6</v>
      </c>
      <c r="B13" s="411" t="s">
        <v>435</v>
      </c>
      <c r="C13" s="405"/>
    </row>
    <row r="14" spans="1:3">
      <c r="A14" s="396">
        <v>7</v>
      </c>
      <c r="B14" s="412" t="s">
        <v>436</v>
      </c>
      <c r="C14" s="405"/>
    </row>
    <row r="15" spans="1:3">
      <c r="A15" s="397">
        <v>8</v>
      </c>
      <c r="B15" s="404" t="s">
        <v>437</v>
      </c>
      <c r="C15" s="405"/>
    </row>
    <row r="16" spans="1:3" ht="23">
      <c r="A16" s="396">
        <v>9</v>
      </c>
      <c r="B16" s="412" t="s">
        <v>438</v>
      </c>
      <c r="C16" s="405"/>
    </row>
    <row r="17" spans="1:3">
      <c r="A17" s="396">
        <v>10</v>
      </c>
      <c r="B17" s="412" t="s">
        <v>439</v>
      </c>
      <c r="C17" s="405"/>
    </row>
    <row r="18" spans="1:3">
      <c r="A18" s="398">
        <v>11</v>
      </c>
      <c r="B18" s="413" t="s">
        <v>440</v>
      </c>
      <c r="C18" s="407">
        <f>SUM(C10:C17)</f>
        <v>2138743.3276519999</v>
      </c>
    </row>
    <row r="19" spans="1:3">
      <c r="A19" s="394"/>
      <c r="B19" s="394" t="s">
        <v>441</v>
      </c>
      <c r="C19" s="414"/>
    </row>
    <row r="20" spans="1:3">
      <c r="A20" s="396">
        <v>12</v>
      </c>
      <c r="B20" s="409" t="s">
        <v>442</v>
      </c>
      <c r="C20" s="405"/>
    </row>
    <row r="21" spans="1:3">
      <c r="A21" s="396">
        <v>13</v>
      </c>
      <c r="B21" s="409" t="s">
        <v>443</v>
      </c>
      <c r="C21" s="405"/>
    </row>
    <row r="22" spans="1:3">
      <c r="A22" s="396">
        <v>14</v>
      </c>
      <c r="B22" s="409" t="s">
        <v>444</v>
      </c>
      <c r="C22" s="405"/>
    </row>
    <row r="23" spans="1:3" ht="23">
      <c r="A23" s="396" t="s">
        <v>445</v>
      </c>
      <c r="B23" s="409" t="s">
        <v>446</v>
      </c>
      <c r="C23" s="405"/>
    </row>
    <row r="24" spans="1:3">
      <c r="A24" s="396">
        <v>15</v>
      </c>
      <c r="B24" s="409" t="s">
        <v>447</v>
      </c>
      <c r="C24" s="405"/>
    </row>
    <row r="25" spans="1:3">
      <c r="A25" s="396" t="s">
        <v>448</v>
      </c>
      <c r="B25" s="404" t="s">
        <v>449</v>
      </c>
      <c r="C25" s="405"/>
    </row>
    <row r="26" spans="1:3">
      <c r="A26" s="398">
        <v>16</v>
      </c>
      <c r="B26" s="413" t="s">
        <v>450</v>
      </c>
      <c r="C26" s="407">
        <f>SUM(C20:C25)</f>
        <v>0</v>
      </c>
    </row>
    <row r="27" spans="1:3">
      <c r="A27" s="394"/>
      <c r="B27" s="394" t="s">
        <v>451</v>
      </c>
      <c r="C27" s="408"/>
    </row>
    <row r="28" spans="1:3">
      <c r="A28" s="395">
        <v>17</v>
      </c>
      <c r="B28" s="404" t="s">
        <v>452</v>
      </c>
      <c r="C28" s="405">
        <v>54894675.403899997</v>
      </c>
    </row>
    <row r="29" spans="1:3">
      <c r="A29" s="395">
        <v>18</v>
      </c>
      <c r="B29" s="404" t="s">
        <v>453</v>
      </c>
      <c r="C29" s="405">
        <v>-35453929.411299996</v>
      </c>
    </row>
    <row r="30" spans="1:3">
      <c r="A30" s="398">
        <v>19</v>
      </c>
      <c r="B30" s="413" t="s">
        <v>454</v>
      </c>
      <c r="C30" s="407">
        <f>C28+C29</f>
        <v>19440745.992600001</v>
      </c>
    </row>
    <row r="31" spans="1:3">
      <c r="A31" s="399"/>
      <c r="B31" s="394" t="s">
        <v>455</v>
      </c>
      <c r="C31" s="408"/>
    </row>
    <row r="32" spans="1:3">
      <c r="A32" s="395" t="s">
        <v>456</v>
      </c>
      <c r="B32" s="409" t="s">
        <v>457</v>
      </c>
      <c r="C32" s="415"/>
    </row>
    <row r="33" spans="1:3">
      <c r="A33" s="395" t="s">
        <v>458</v>
      </c>
      <c r="B33" s="410" t="s">
        <v>459</v>
      </c>
      <c r="C33" s="415"/>
    </row>
    <row r="34" spans="1:3">
      <c r="A34" s="394"/>
      <c r="B34" s="394" t="s">
        <v>460</v>
      </c>
      <c r="C34" s="408"/>
    </row>
    <row r="35" spans="1:3">
      <c r="A35" s="398">
        <v>20</v>
      </c>
      <c r="B35" s="413" t="s">
        <v>89</v>
      </c>
      <c r="C35" s="407">
        <f>'1. key ratios'!C9</f>
        <v>69006995.799999997</v>
      </c>
    </row>
    <row r="36" spans="1:3">
      <c r="A36" s="398">
        <v>21</v>
      </c>
      <c r="B36" s="413" t="s">
        <v>461</v>
      </c>
      <c r="C36" s="407">
        <f>C8+C18+C26+C30</f>
        <v>470743835.74265194</v>
      </c>
    </row>
    <row r="37" spans="1:3">
      <c r="A37" s="400"/>
      <c r="B37" s="400" t="s">
        <v>426</v>
      </c>
      <c r="C37" s="408"/>
    </row>
    <row r="38" spans="1:3">
      <c r="A38" s="398">
        <v>22</v>
      </c>
      <c r="B38" s="413" t="s">
        <v>426</v>
      </c>
      <c r="C38" s="584">
        <f>IFERROR(C35/C36,0)</f>
        <v>0.14659139549035965</v>
      </c>
    </row>
    <row r="39" spans="1:3">
      <c r="A39" s="400"/>
      <c r="B39" s="400" t="s">
        <v>462</v>
      </c>
      <c r="C39" s="408"/>
    </row>
    <row r="40" spans="1:3">
      <c r="A40" s="401" t="s">
        <v>463</v>
      </c>
      <c r="B40" s="409" t="s">
        <v>464</v>
      </c>
      <c r="C40" s="415"/>
    </row>
    <row r="41" spans="1:3">
      <c r="A41" s="402" t="s">
        <v>465</v>
      </c>
      <c r="B41" s="410" t="s">
        <v>466</v>
      </c>
      <c r="C41" s="415"/>
    </row>
    <row r="43" spans="1:3">
      <c r="B43" s="426" t="s">
        <v>480</v>
      </c>
    </row>
  </sheetData>
  <pageMargins left="0.7" right="0.7" top="0.75" bottom="0.75" header="0.3" footer="0.3"/>
  <pageSetup paperSize="9"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6"/>
  <sheetViews>
    <sheetView zoomScale="90" zoomScaleNormal="90" workbookViewId="0">
      <pane xSplit="2" ySplit="6" topLeftCell="C7" activePane="bottomRight" state="frozen"/>
      <selection pane="topRight" activeCell="C1" sqref="C1"/>
      <selection pane="bottomLeft" activeCell="A7" sqref="A7"/>
      <selection pane="bottomRight" activeCell="K25" sqref="K25"/>
    </sheetView>
  </sheetViews>
  <sheetFormatPr defaultRowHeight="14.5"/>
  <cols>
    <col min="1" max="1" width="9.90625" style="331" bestFit="1" customWidth="1"/>
    <col min="2" max="2" width="43.453125" style="22" customWidth="1"/>
    <col min="3" max="7" width="17.54296875" style="331" customWidth="1"/>
  </cols>
  <sheetData>
    <row r="1" spans="1:7">
      <c r="A1" s="331" t="s">
        <v>188</v>
      </c>
      <c r="B1" t="str">
        <f>Info!C2</f>
        <v>სს " პაშა ბანკი საქართველო"</v>
      </c>
    </row>
    <row r="2" spans="1:7">
      <c r="A2" s="331" t="s">
        <v>189</v>
      </c>
      <c r="B2" s="611">
        <f>'1. key ratios'!B2</f>
        <v>44469</v>
      </c>
    </row>
    <row r="3" spans="1:7">
      <c r="B3" s="460"/>
    </row>
    <row r="4" spans="1:7" ht="27" thickBot="1">
      <c r="A4" s="331" t="s">
        <v>529</v>
      </c>
      <c r="B4" s="464" t="s">
        <v>494</v>
      </c>
    </row>
    <row r="5" spans="1:7">
      <c r="A5" s="465"/>
      <c r="B5" s="466"/>
      <c r="C5" s="759" t="s">
        <v>495</v>
      </c>
      <c r="D5" s="759"/>
      <c r="E5" s="759"/>
      <c r="F5" s="759"/>
      <c r="G5" s="760" t="s">
        <v>496</v>
      </c>
    </row>
    <row r="6" spans="1:7">
      <c r="A6" s="467"/>
      <c r="B6" s="468"/>
      <c r="C6" s="618" t="s">
        <v>497</v>
      </c>
      <c r="D6" s="618" t="s">
        <v>498</v>
      </c>
      <c r="E6" s="618" t="s">
        <v>499</v>
      </c>
      <c r="F6" s="618" t="s">
        <v>500</v>
      </c>
      <c r="G6" s="761"/>
    </row>
    <row r="7" spans="1:7">
      <c r="A7" s="469"/>
      <c r="B7" s="619" t="s">
        <v>501</v>
      </c>
      <c r="C7" s="620"/>
      <c r="D7" s="620"/>
      <c r="E7" s="620"/>
      <c r="F7" s="620"/>
      <c r="G7" s="470"/>
    </row>
    <row r="8" spans="1:7">
      <c r="A8" s="471">
        <v>1</v>
      </c>
      <c r="B8" s="621" t="s">
        <v>502</v>
      </c>
      <c r="C8" s="622">
        <f>SUM(C9:C10)</f>
        <v>95360965.131899998</v>
      </c>
      <c r="D8" s="622">
        <f>SUM(D9:D10)</f>
        <v>0</v>
      </c>
      <c r="E8" s="622">
        <f>SUM(E9:E10)</f>
        <v>0</v>
      </c>
      <c r="F8" s="622">
        <f>SUM(F9:F10)</f>
        <v>172276087.66812706</v>
      </c>
      <c r="G8" s="623">
        <f>SUM(G9:G10)</f>
        <v>267637052.80002707</v>
      </c>
    </row>
    <row r="9" spans="1:7">
      <c r="A9" s="471">
        <v>2</v>
      </c>
      <c r="B9" s="624" t="s">
        <v>88</v>
      </c>
      <c r="C9" s="622">
        <v>95360965.131899998</v>
      </c>
      <c r="D9" s="622"/>
      <c r="E9" s="622"/>
      <c r="F9" s="622">
        <v>0</v>
      </c>
      <c r="G9" s="623">
        <v>95360965.131899998</v>
      </c>
    </row>
    <row r="10" spans="1:7">
      <c r="A10" s="471">
        <v>3</v>
      </c>
      <c r="B10" s="625" t="s">
        <v>503</v>
      </c>
      <c r="C10" s="626" t="s">
        <v>766</v>
      </c>
      <c r="D10" s="626"/>
      <c r="E10" s="626"/>
      <c r="F10" s="622">
        <v>172276087.66812706</v>
      </c>
      <c r="G10" s="623">
        <v>172276087.66812706</v>
      </c>
    </row>
    <row r="11" spans="1:7">
      <c r="A11" s="471">
        <v>4</v>
      </c>
      <c r="B11" s="627" t="s">
        <v>504</v>
      </c>
      <c r="C11" s="622">
        <f t="shared" ref="C11:F11" si="0">SUM(C12:C13)</f>
        <v>9185319</v>
      </c>
      <c r="D11" s="622">
        <f t="shared" si="0"/>
        <v>7048165.848600002</v>
      </c>
      <c r="E11" s="622">
        <f t="shared" si="0"/>
        <v>9744746.3849999979</v>
      </c>
      <c r="F11" s="622">
        <f t="shared" si="0"/>
        <v>186646.36170000071</v>
      </c>
      <c r="G11" s="623">
        <f>SUM(G12:G13)</f>
        <v>18635310.580815002</v>
      </c>
    </row>
    <row r="12" spans="1:7">
      <c r="A12" s="471">
        <v>5</v>
      </c>
      <c r="B12" s="625" t="s">
        <v>505</v>
      </c>
      <c r="C12" s="622">
        <v>1448605</v>
      </c>
      <c r="D12" s="628">
        <v>5702116.3462000005</v>
      </c>
      <c r="E12" s="622">
        <v>5073991.1702999994</v>
      </c>
      <c r="F12" s="622">
        <v>115002.55720000016</v>
      </c>
      <c r="G12" s="623">
        <v>11722729.320015</v>
      </c>
    </row>
    <row r="13" spans="1:7">
      <c r="A13" s="471">
        <v>6</v>
      </c>
      <c r="B13" s="625" t="s">
        <v>506</v>
      </c>
      <c r="C13" s="622">
        <v>7736714</v>
      </c>
      <c r="D13" s="628">
        <v>1346049.5024000015</v>
      </c>
      <c r="E13" s="622">
        <v>4670755.2146999994</v>
      </c>
      <c r="F13" s="622">
        <v>71643.804500000551</v>
      </c>
      <c r="G13" s="623">
        <v>6912581.2608000012</v>
      </c>
    </row>
    <row r="14" spans="1:7">
      <c r="A14" s="471">
        <v>7</v>
      </c>
      <c r="B14" s="627" t="s">
        <v>507</v>
      </c>
      <c r="C14" s="622">
        <f t="shared" ref="C14:F14" si="1">SUM(C15:C16)</f>
        <v>46206590.25410001</v>
      </c>
      <c r="D14" s="622">
        <f t="shared" si="1"/>
        <v>36834163.281000003</v>
      </c>
      <c r="E14" s="622">
        <f t="shared" si="1"/>
        <v>42097742.689999998</v>
      </c>
      <c r="F14" s="622">
        <f t="shared" si="1"/>
        <v>1249119.8827999979</v>
      </c>
      <c r="G14" s="623">
        <f>SUM(G15:G16)</f>
        <v>43534520.428850003</v>
      </c>
    </row>
    <row r="15" spans="1:7">
      <c r="A15" s="471">
        <v>8</v>
      </c>
      <c r="B15" s="627" t="s">
        <v>508</v>
      </c>
      <c r="C15" s="622">
        <v>38852046.003900006</v>
      </c>
      <c r="D15" s="622">
        <v>6119252.2810000032</v>
      </c>
      <c r="E15" s="622">
        <v>26085054.690000001</v>
      </c>
      <c r="F15" s="622">
        <v>-0.11720000207424164</v>
      </c>
      <c r="G15" s="623">
        <v>35528176.428850003</v>
      </c>
    </row>
    <row r="16" spans="1:7">
      <c r="A16" s="471">
        <v>9</v>
      </c>
      <c r="B16" s="627" t="s">
        <v>509</v>
      </c>
      <c r="C16" s="622">
        <v>7354544.2501999997</v>
      </c>
      <c r="D16" s="622">
        <v>30714911</v>
      </c>
      <c r="E16" s="622">
        <v>16012688</v>
      </c>
      <c r="F16" s="622">
        <v>1249120</v>
      </c>
      <c r="G16" s="623">
        <v>8006344</v>
      </c>
    </row>
    <row r="17" spans="1:7">
      <c r="A17" s="471">
        <v>10</v>
      </c>
      <c r="B17" s="627" t="s">
        <v>510</v>
      </c>
      <c r="C17" s="622" t="s">
        <v>766</v>
      </c>
      <c r="D17" s="628"/>
      <c r="E17" s="622"/>
      <c r="F17" s="622"/>
      <c r="G17" s="623"/>
    </row>
    <row r="18" spans="1:7">
      <c r="A18" s="471">
        <v>11</v>
      </c>
      <c r="B18" s="627" t="s">
        <v>95</v>
      </c>
      <c r="C18" s="622">
        <f>SUM(C19:C20)</f>
        <v>0</v>
      </c>
      <c r="D18" s="628">
        <f t="shared" ref="D18:G18" si="2">SUM(D19:D20)</f>
        <v>27318466.944899991</v>
      </c>
      <c r="E18" s="622">
        <f t="shared" si="2"/>
        <v>0</v>
      </c>
      <c r="F18" s="622">
        <f t="shared" si="2"/>
        <v>0</v>
      </c>
      <c r="G18" s="623">
        <f t="shared" si="2"/>
        <v>0</v>
      </c>
    </row>
    <row r="19" spans="1:7">
      <c r="A19" s="471">
        <v>12</v>
      </c>
      <c r="B19" s="625" t="s">
        <v>511</v>
      </c>
      <c r="C19" s="626" t="s">
        <v>766</v>
      </c>
      <c r="D19" s="628">
        <v>102934.58</v>
      </c>
      <c r="E19" s="622">
        <v>0</v>
      </c>
      <c r="F19" s="622">
        <v>0</v>
      </c>
      <c r="G19" s="623"/>
    </row>
    <row r="20" spans="1:7">
      <c r="A20" s="471">
        <v>13</v>
      </c>
      <c r="B20" s="625" t="s">
        <v>512</v>
      </c>
      <c r="C20" s="622">
        <v>0</v>
      </c>
      <c r="D20" s="622">
        <v>27215532.364899993</v>
      </c>
      <c r="E20" s="622">
        <v>0</v>
      </c>
      <c r="F20" s="622">
        <v>0</v>
      </c>
      <c r="G20" s="623"/>
    </row>
    <row r="21" spans="1:7">
      <c r="A21" s="472">
        <v>14</v>
      </c>
      <c r="B21" s="629" t="s">
        <v>513</v>
      </c>
      <c r="C21" s="626" t="s">
        <v>766</v>
      </c>
      <c r="D21" s="626"/>
      <c r="E21" s="626"/>
      <c r="F21" s="626"/>
      <c r="G21" s="630">
        <f>SUM(G8,G11,G14,G17,G18)</f>
        <v>329806883.80969208</v>
      </c>
    </row>
    <row r="22" spans="1:7">
      <c r="A22" s="473"/>
      <c r="B22" s="631" t="s">
        <v>514</v>
      </c>
      <c r="C22" s="474"/>
      <c r="D22" s="475"/>
      <c r="E22" s="474"/>
      <c r="F22" s="474"/>
      <c r="G22" s="476"/>
    </row>
    <row r="23" spans="1:7">
      <c r="A23" s="471">
        <v>15</v>
      </c>
      <c r="B23" s="627" t="s">
        <v>372</v>
      </c>
      <c r="C23" s="632">
        <v>124351617.39820001</v>
      </c>
      <c r="D23" s="633">
        <v>20127650</v>
      </c>
      <c r="E23" s="632">
        <v>0</v>
      </c>
      <c r="F23" s="632">
        <v>0</v>
      </c>
      <c r="G23" s="623">
        <v>4585285.3609499997</v>
      </c>
    </row>
    <row r="24" spans="1:7">
      <c r="A24" s="471">
        <v>16</v>
      </c>
      <c r="B24" s="627" t="s">
        <v>515</v>
      </c>
      <c r="C24" s="622">
        <f>SUM(C25:C27,C29,C31)</f>
        <v>1474827.68</v>
      </c>
      <c r="D24" s="628">
        <f t="shared" ref="D24:G24" si="3">SUM(D25:D27,D29,D31)</f>
        <v>27058320.444700003</v>
      </c>
      <c r="E24" s="622">
        <f t="shared" si="3"/>
        <v>35955547.424699977</v>
      </c>
      <c r="F24" s="622">
        <f t="shared" si="3"/>
        <v>177366788.7307992</v>
      </c>
      <c r="G24" s="623">
        <f t="shared" si="3"/>
        <v>182494331.43196931</v>
      </c>
    </row>
    <row r="25" spans="1:7">
      <c r="A25" s="471">
        <v>17</v>
      </c>
      <c r="B25" s="625" t="s">
        <v>516</v>
      </c>
      <c r="C25" s="622">
        <v>0</v>
      </c>
      <c r="D25" s="628">
        <v>0</v>
      </c>
      <c r="E25" s="622">
        <v>0</v>
      </c>
      <c r="F25" s="622">
        <v>0</v>
      </c>
      <c r="G25" s="623">
        <v>0</v>
      </c>
    </row>
    <row r="26" spans="1:7">
      <c r="A26" s="471">
        <v>18</v>
      </c>
      <c r="B26" s="625" t="s">
        <v>517</v>
      </c>
      <c r="C26" s="622">
        <v>1474827.68</v>
      </c>
      <c r="D26" s="628">
        <v>10021473.502600001</v>
      </c>
      <c r="E26" s="622">
        <v>2371190</v>
      </c>
      <c r="F26" s="622">
        <v>23412791</v>
      </c>
      <c r="G26" s="623">
        <v>26322831.177390002</v>
      </c>
    </row>
    <row r="27" spans="1:7">
      <c r="A27" s="471">
        <v>19</v>
      </c>
      <c r="B27" s="625" t="s">
        <v>518</v>
      </c>
      <c r="C27" s="622">
        <v>0</v>
      </c>
      <c r="D27" s="628">
        <v>17036846.9421</v>
      </c>
      <c r="E27" s="622">
        <v>32603357.424699973</v>
      </c>
      <c r="F27" s="622">
        <v>139178976.6623992</v>
      </c>
      <c r="G27" s="623">
        <v>143122232.3464393</v>
      </c>
    </row>
    <row r="28" spans="1:7">
      <c r="A28" s="471">
        <v>20</v>
      </c>
      <c r="B28" s="625" t="s">
        <v>519</v>
      </c>
      <c r="C28" s="622" t="s">
        <v>766</v>
      </c>
      <c r="D28" s="628"/>
      <c r="E28" s="622"/>
      <c r="F28" s="622"/>
      <c r="G28" s="623"/>
    </row>
    <row r="29" spans="1:7">
      <c r="A29" s="471">
        <v>21</v>
      </c>
      <c r="B29" s="625" t="s">
        <v>520</v>
      </c>
      <c r="C29" s="622" t="s">
        <v>766</v>
      </c>
      <c r="D29" s="628"/>
      <c r="E29" s="622"/>
      <c r="F29" s="622"/>
      <c r="G29" s="623"/>
    </row>
    <row r="30" spans="1:7">
      <c r="A30" s="471">
        <v>22</v>
      </c>
      <c r="B30" s="625" t="s">
        <v>519</v>
      </c>
      <c r="C30" s="622" t="s">
        <v>766</v>
      </c>
      <c r="D30" s="628"/>
      <c r="E30" s="622"/>
      <c r="F30" s="622"/>
      <c r="G30" s="623"/>
    </row>
    <row r="31" spans="1:7">
      <c r="A31" s="471">
        <v>23</v>
      </c>
      <c r="B31" s="625" t="s">
        <v>521</v>
      </c>
      <c r="C31" s="622">
        <v>0</v>
      </c>
      <c r="D31" s="628">
        <v>0</v>
      </c>
      <c r="E31" s="622">
        <v>981000</v>
      </c>
      <c r="F31" s="622">
        <v>14775021.068399999</v>
      </c>
      <c r="G31" s="623">
        <v>13049267.90814</v>
      </c>
    </row>
    <row r="32" spans="1:7">
      <c r="A32" s="471">
        <v>24</v>
      </c>
      <c r="B32" s="627" t="s">
        <v>522</v>
      </c>
      <c r="C32" s="622" t="s">
        <v>766</v>
      </c>
      <c r="D32" s="628"/>
      <c r="E32" s="622"/>
      <c r="F32" s="622"/>
      <c r="G32" s="623"/>
    </row>
    <row r="33" spans="1:7">
      <c r="A33" s="471">
        <v>25</v>
      </c>
      <c r="B33" s="627" t="s">
        <v>165</v>
      </c>
      <c r="C33" s="622">
        <f>SUM(C34:C35)</f>
        <v>11148724.549999999</v>
      </c>
      <c r="D33" s="622">
        <f>SUM(D34:D35)</f>
        <v>2336496.1529999999</v>
      </c>
      <c r="E33" s="622">
        <f>SUM(E34:E35)</f>
        <v>263685.47919999994</v>
      </c>
      <c r="F33" s="622">
        <f>SUM(F34:F35)</f>
        <v>42949174.751100026</v>
      </c>
      <c r="G33" s="623">
        <f>SUM(G34:G35)</f>
        <v>55719487.99720002</v>
      </c>
    </row>
    <row r="34" spans="1:7">
      <c r="A34" s="471">
        <v>26</v>
      </c>
      <c r="B34" s="625" t="s">
        <v>523</v>
      </c>
      <c r="C34" s="626" t="s">
        <v>766</v>
      </c>
      <c r="D34" s="628">
        <v>642995.76</v>
      </c>
      <c r="E34" s="622">
        <v>0</v>
      </c>
      <c r="F34" s="622">
        <v>0</v>
      </c>
      <c r="G34" s="623">
        <v>642995.76</v>
      </c>
    </row>
    <row r="35" spans="1:7">
      <c r="A35" s="471">
        <v>27</v>
      </c>
      <c r="B35" s="625" t="s">
        <v>524</v>
      </c>
      <c r="C35" s="622">
        <v>11148724.549999999</v>
      </c>
      <c r="D35" s="628">
        <v>1693500.3929999999</v>
      </c>
      <c r="E35" s="622">
        <v>263685.47919999994</v>
      </c>
      <c r="F35" s="622">
        <v>42949174.751100026</v>
      </c>
      <c r="G35" s="623">
        <v>55076492.237200022</v>
      </c>
    </row>
    <row r="36" spans="1:7">
      <c r="A36" s="471">
        <v>28</v>
      </c>
      <c r="B36" s="627" t="s">
        <v>525</v>
      </c>
      <c r="C36" s="622">
        <v>0</v>
      </c>
      <c r="D36" s="628">
        <v>34722049.695300005</v>
      </c>
      <c r="E36" s="622">
        <v>15887444.666399999</v>
      </c>
      <c r="F36" s="622">
        <v>4285181.0867999988</v>
      </c>
      <c r="G36" s="623">
        <v>4417726.5016450007</v>
      </c>
    </row>
    <row r="37" spans="1:7">
      <c r="A37" s="472">
        <v>29</v>
      </c>
      <c r="B37" s="629" t="s">
        <v>526</v>
      </c>
      <c r="C37" s="626" t="s">
        <v>766</v>
      </c>
      <c r="D37" s="626"/>
      <c r="E37" s="626"/>
      <c r="F37" s="626"/>
      <c r="G37" s="630">
        <v>247216831.29176432</v>
      </c>
    </row>
    <row r="38" spans="1:7">
      <c r="A38" s="469"/>
      <c r="B38" s="634"/>
      <c r="C38" s="634"/>
      <c r="D38" s="634"/>
      <c r="E38" s="634"/>
      <c r="F38" s="634"/>
      <c r="G38" s="477"/>
    </row>
    <row r="39" spans="1:7" ht="15" thickBot="1">
      <c r="A39" s="478">
        <v>30</v>
      </c>
      <c r="B39" s="159" t="s">
        <v>494</v>
      </c>
      <c r="C39" s="339"/>
      <c r="D39" s="324"/>
      <c r="E39" s="324"/>
      <c r="F39" s="479"/>
      <c r="G39" s="480">
        <f>IFERROR(G21/G37,0)</f>
        <v>1.3340794074836082</v>
      </c>
    </row>
    <row r="40" spans="1:7">
      <c r="B40" s="331"/>
    </row>
    <row r="41" spans="1:7">
      <c r="B41" s="331"/>
    </row>
    <row r="42" spans="1:7">
      <c r="B42" s="331" t="s">
        <v>527</v>
      </c>
    </row>
    <row r="43" spans="1:7">
      <c r="B43" s="331"/>
    </row>
    <row r="44" spans="1:7">
      <c r="B44" s="331"/>
    </row>
    <row r="45" spans="1:7">
      <c r="B45" s="331"/>
    </row>
    <row r="46" spans="1:7">
      <c r="B46" s="331"/>
    </row>
  </sheetData>
  <mergeCells count="2">
    <mergeCell ref="C5:F5"/>
    <mergeCell ref="G5:G6"/>
  </mergeCells>
  <pageMargins left="0.7" right="0.7" top="0.75" bottom="0.75" header="0.3" footer="0.3"/>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I51"/>
  <sheetViews>
    <sheetView zoomScale="80" zoomScaleNormal="80" workbookViewId="0">
      <pane xSplit="1" ySplit="5" topLeftCell="B6" activePane="bottomRight" state="frozen"/>
      <selection pane="topRight" activeCell="B1" sqref="B1"/>
      <selection pane="bottomLeft" activeCell="A6" sqref="A6"/>
      <selection pane="bottomRight" activeCell="C21" sqref="C21:C23"/>
    </sheetView>
  </sheetViews>
  <sheetFormatPr defaultRowHeight="14.5"/>
  <cols>
    <col min="1" max="1" width="9.54296875" style="18" bestFit="1" customWidth="1"/>
    <col min="2" max="2" width="88.453125" style="15" customWidth="1"/>
    <col min="3" max="3" width="12.6328125" style="15" customWidth="1"/>
    <col min="4" max="7" width="12.6328125" style="2" customWidth="1"/>
    <col min="8" max="13" width="6.6328125" customWidth="1"/>
  </cols>
  <sheetData>
    <row r="1" spans="1:8">
      <c r="A1" s="16" t="s">
        <v>188</v>
      </c>
      <c r="B1" s="425" t="str">
        <f>Info!C2</f>
        <v>სს " პაშა ბანკი საქართველო"</v>
      </c>
    </row>
    <row r="2" spans="1:8">
      <c r="A2" s="16" t="s">
        <v>189</v>
      </c>
      <c r="B2" s="595">
        <v>44469</v>
      </c>
      <c r="C2" s="26"/>
      <c r="D2" s="17"/>
      <c r="E2" s="17"/>
      <c r="F2" s="17"/>
      <c r="G2" s="17"/>
      <c r="H2" s="1"/>
    </row>
    <row r="3" spans="1:8">
      <c r="A3" s="16"/>
      <c r="C3" s="26"/>
      <c r="D3" s="17"/>
      <c r="E3" s="17"/>
      <c r="F3" s="17"/>
      <c r="G3" s="17"/>
      <c r="H3" s="1"/>
    </row>
    <row r="4" spans="1:8" ht="15" thickBot="1">
      <c r="A4" s="64" t="s">
        <v>327</v>
      </c>
      <c r="B4" s="202" t="s">
        <v>223</v>
      </c>
      <c r="C4" s="203"/>
      <c r="D4" s="204"/>
      <c r="E4" s="204"/>
      <c r="F4" s="204"/>
      <c r="G4" s="204"/>
      <c r="H4" s="1"/>
    </row>
    <row r="5" spans="1:8">
      <c r="A5" s="311" t="s">
        <v>26</v>
      </c>
      <c r="B5" s="312"/>
      <c r="C5" s="443" t="str">
        <f>INT((MONTH($B$2))/3)&amp;"Q"&amp;"-"&amp;YEAR($B$2)</f>
        <v>3Q-2021</v>
      </c>
      <c r="D5" s="443" t="str">
        <f>IF(INT(MONTH($B$2))=3, "4"&amp;"Q"&amp;"-"&amp;YEAR($B$2)-1, IF(INT(MONTH($B$2))=6, "1"&amp;"Q"&amp;"-"&amp;YEAR($B$2), IF(INT(MONTH($B$2))=9, "2"&amp;"Q"&amp;"-"&amp;YEAR($B$2),IF(INT(MONTH($B$2))=12, "3"&amp;"Q"&amp;"-"&amp;YEAR($B$2), 0))))</f>
        <v>2Q-2021</v>
      </c>
      <c r="E5" s="443" t="str">
        <f>IF(INT(MONTH($B$2))=3, "3"&amp;"Q"&amp;"-"&amp;YEAR($B$2)-1, IF(INT(MONTH($B$2))=6, "4"&amp;"Q"&amp;"-"&amp;YEAR($B$2)-1, IF(INT(MONTH($B$2))=9, "1"&amp;"Q"&amp;"-"&amp;YEAR($B$2),IF(INT(MONTH($B$2))=12, "2"&amp;"Q"&amp;"-"&amp;YEAR($B$2), 0))))</f>
        <v>1Q-2021</v>
      </c>
      <c r="F5" s="443" t="str">
        <f>IF(INT(MONTH($B$2))=3, "2"&amp;"Q"&amp;"-"&amp;YEAR($B$2)-1, IF(INT(MONTH($B$2))=6, "3"&amp;"Q"&amp;"-"&amp;YEAR($B$2)-1, IF(INT(MONTH($B$2))=9, "4"&amp;"Q"&amp;"-"&amp;YEAR($B$2)-1,IF(INT(MONTH($B$2))=12, "1"&amp;"Q"&amp;"-"&amp;YEAR($B$2), 0))))</f>
        <v>4Q-2020</v>
      </c>
      <c r="G5" s="444" t="str">
        <f>IF(INT(MONTH($B$2))=3, "1"&amp;"Q"&amp;"-"&amp;YEAR($B$2)-1, IF(INT(MONTH($B$2))=6, "2"&amp;"Q"&amp;"-"&amp;YEAR($B$2)-1, IF(INT(MONTH($B$2))=9, "3"&amp;"Q"&amp;"-"&amp;YEAR($B$2)-1,IF(INT(MONTH($B$2))=12, "4"&amp;"Q"&amp;"-"&amp;YEAR($B$2)-1, 0))))</f>
        <v>3Q-2020</v>
      </c>
    </row>
    <row r="6" spans="1:8">
      <c r="A6" s="445"/>
      <c r="B6" s="446" t="s">
        <v>186</v>
      </c>
      <c r="C6" s="313"/>
      <c r="D6" s="313"/>
      <c r="E6" s="313"/>
      <c r="F6" s="313"/>
      <c r="G6" s="314"/>
    </row>
    <row r="7" spans="1:8">
      <c r="A7" s="445"/>
      <c r="B7" s="447" t="s">
        <v>190</v>
      </c>
      <c r="C7" s="313"/>
      <c r="D7" s="313"/>
      <c r="E7" s="313"/>
      <c r="F7" s="313"/>
      <c r="G7" s="314"/>
    </row>
    <row r="8" spans="1:8">
      <c r="A8" s="429">
        <v>1</v>
      </c>
      <c r="B8" s="430" t="s">
        <v>23</v>
      </c>
      <c r="C8" s="448">
        <v>69006995.799999997</v>
      </c>
      <c r="D8" s="449">
        <v>70133158.109999999</v>
      </c>
      <c r="E8" s="449">
        <v>70050248.719999999</v>
      </c>
      <c r="F8" s="449">
        <v>71776387.769999996</v>
      </c>
      <c r="G8" s="450">
        <v>74981971.310000002</v>
      </c>
    </row>
    <row r="9" spans="1:8">
      <c r="A9" s="429">
        <v>2</v>
      </c>
      <c r="B9" s="430" t="s">
        <v>89</v>
      </c>
      <c r="C9" s="448">
        <v>69006995.799999997</v>
      </c>
      <c r="D9" s="449">
        <v>70133158.109999999</v>
      </c>
      <c r="E9" s="449">
        <v>70050248.719999999</v>
      </c>
      <c r="F9" s="449">
        <v>71776387.769999996</v>
      </c>
      <c r="G9" s="450">
        <v>74981971.310000002</v>
      </c>
    </row>
    <row r="10" spans="1:8">
      <c r="A10" s="429">
        <v>3</v>
      </c>
      <c r="B10" s="430" t="s">
        <v>88</v>
      </c>
      <c r="C10" s="448">
        <v>100472168.55339999</v>
      </c>
      <c r="D10" s="449">
        <v>103406697.0952</v>
      </c>
      <c r="E10" s="449">
        <v>107992024.3404</v>
      </c>
      <c r="F10" s="449">
        <v>110184247.3864</v>
      </c>
      <c r="G10" s="450">
        <v>113511209.59299999</v>
      </c>
    </row>
    <row r="11" spans="1:8">
      <c r="A11" s="429">
        <v>4</v>
      </c>
      <c r="B11" s="430" t="s">
        <v>485</v>
      </c>
      <c r="C11" s="448">
        <v>29710917.55532746</v>
      </c>
      <c r="D11" s="449">
        <v>29071307.524754953</v>
      </c>
      <c r="E11" s="449">
        <v>33015425.859989595</v>
      </c>
      <c r="F11" s="449">
        <v>29749757.063438006</v>
      </c>
      <c r="G11" s="450">
        <v>28768537.796632674</v>
      </c>
    </row>
    <row r="12" spans="1:8">
      <c r="A12" s="429">
        <v>5</v>
      </c>
      <c r="B12" s="430" t="s">
        <v>486</v>
      </c>
      <c r="C12" s="448">
        <v>39626758.438158147</v>
      </c>
      <c r="D12" s="449">
        <v>38774991.406018883</v>
      </c>
      <c r="E12" s="449">
        <v>44035897.076855518</v>
      </c>
      <c r="F12" s="449">
        <v>39681870.429069415</v>
      </c>
      <c r="G12" s="450">
        <v>38373163.820588268</v>
      </c>
    </row>
    <row r="13" spans="1:8">
      <c r="A13" s="429">
        <v>6</v>
      </c>
      <c r="B13" s="430" t="s">
        <v>487</v>
      </c>
      <c r="C13" s="448">
        <v>64245591.418398589</v>
      </c>
      <c r="D13" s="449">
        <v>62321136.913955279</v>
      </c>
      <c r="E13" s="449">
        <v>70845212.931051716</v>
      </c>
      <c r="F13" s="449">
        <v>72977891.601066157</v>
      </c>
      <c r="G13" s="450">
        <v>70844628.464073747</v>
      </c>
    </row>
    <row r="14" spans="1:8">
      <c r="A14" s="445"/>
      <c r="B14" s="446" t="s">
        <v>489</v>
      </c>
      <c r="C14" s="313"/>
      <c r="D14" s="313"/>
      <c r="E14" s="313"/>
      <c r="F14" s="313"/>
      <c r="G14" s="314"/>
    </row>
    <row r="15" spans="1:8" ht="15" customHeight="1">
      <c r="A15" s="429">
        <v>7</v>
      </c>
      <c r="B15" s="430" t="s">
        <v>488</v>
      </c>
      <c r="C15" s="451">
        <v>451690843.21563256</v>
      </c>
      <c r="D15" s="449">
        <v>444839016.93383491</v>
      </c>
      <c r="E15" s="449">
        <v>503151401.18387604</v>
      </c>
      <c r="F15" s="449">
        <v>511914210.65998864</v>
      </c>
      <c r="G15" s="450">
        <v>493420977.04311895</v>
      </c>
    </row>
    <row r="16" spans="1:8">
      <c r="A16" s="445"/>
      <c r="B16" s="446" t="s">
        <v>493</v>
      </c>
      <c r="C16" s="313"/>
      <c r="D16" s="313"/>
      <c r="E16" s="313"/>
      <c r="F16" s="313"/>
      <c r="G16" s="314"/>
    </row>
    <row r="17" spans="1:7" s="3" customFormat="1">
      <c r="A17" s="429"/>
      <c r="B17" s="447" t="s">
        <v>474</v>
      </c>
      <c r="C17" s="313"/>
      <c r="D17" s="313"/>
      <c r="E17" s="313"/>
      <c r="F17" s="313"/>
      <c r="G17" s="314"/>
    </row>
    <row r="18" spans="1:7">
      <c r="A18" s="428">
        <v>8</v>
      </c>
      <c r="B18" s="452" t="s">
        <v>483</v>
      </c>
      <c r="C18" s="461">
        <v>0.1527748388892107</v>
      </c>
      <c r="D18" s="462">
        <v>0.15765963739739036</v>
      </c>
      <c r="E18" s="462">
        <v>0.13922300237101043</v>
      </c>
      <c r="F18" s="462">
        <v>0.14021175086634508</v>
      </c>
      <c r="G18" s="463">
        <v>0.1519634851346166</v>
      </c>
    </row>
    <row r="19" spans="1:7" ht="15" customHeight="1">
      <c r="A19" s="428">
        <v>9</v>
      </c>
      <c r="B19" s="452" t="s">
        <v>482</v>
      </c>
      <c r="C19" s="461">
        <v>0.1527748388892107</v>
      </c>
      <c r="D19" s="462">
        <v>0.15765963739739036</v>
      </c>
      <c r="E19" s="462">
        <v>0.13922300237101043</v>
      </c>
      <c r="F19" s="462">
        <v>0.14021175086634508</v>
      </c>
      <c r="G19" s="463">
        <v>0.1519634851346166</v>
      </c>
    </row>
    <row r="20" spans="1:7">
      <c r="A20" s="428">
        <v>10</v>
      </c>
      <c r="B20" s="452" t="s">
        <v>484</v>
      </c>
      <c r="C20" s="461">
        <v>0.22243569924536996</v>
      </c>
      <c r="D20" s="462">
        <v>0.23245869440130665</v>
      </c>
      <c r="E20" s="462">
        <v>0.21463127020277231</v>
      </c>
      <c r="F20" s="462">
        <v>0.21523967315606315</v>
      </c>
      <c r="G20" s="463">
        <v>0.23004942001701825</v>
      </c>
    </row>
    <row r="21" spans="1:7">
      <c r="A21" s="428">
        <v>11</v>
      </c>
      <c r="B21" s="430" t="s">
        <v>485</v>
      </c>
      <c r="C21" s="461">
        <v>6.8777108395229908E-2</v>
      </c>
      <c r="D21" s="462">
        <v>6.5352422827332612E-2</v>
      </c>
      <c r="E21" s="462">
        <v>6.5617278978666996E-2</v>
      </c>
      <c r="F21" s="462">
        <v>5.8114731813063134E-2</v>
      </c>
      <c r="G21" s="463">
        <v>5.8304245532952735E-2</v>
      </c>
    </row>
    <row r="22" spans="1:7">
      <c r="A22" s="428">
        <v>12</v>
      </c>
      <c r="B22" s="430" t="s">
        <v>486</v>
      </c>
      <c r="C22" s="461">
        <v>9.1729824576587085E-2</v>
      </c>
      <c r="D22" s="462">
        <v>8.716634541926041E-2</v>
      </c>
      <c r="E22" s="462">
        <v>8.7520171807615926E-2</v>
      </c>
      <c r="F22" s="462">
        <v>7.751664166226932E-2</v>
      </c>
      <c r="G22" s="463">
        <v>7.7769623923454073E-2</v>
      </c>
    </row>
    <row r="23" spans="1:7">
      <c r="A23" s="428">
        <v>13</v>
      </c>
      <c r="B23" s="430" t="s">
        <v>487</v>
      </c>
      <c r="C23" s="461">
        <v>0.15223354841782438</v>
      </c>
      <c r="D23" s="462">
        <v>0.1400981805587096</v>
      </c>
      <c r="E23" s="462">
        <v>0.14080297255330793</v>
      </c>
      <c r="F23" s="462">
        <v>0.1425588313086088</v>
      </c>
      <c r="G23" s="463">
        <v>0.14357846901567739</v>
      </c>
    </row>
    <row r="24" spans="1:7">
      <c r="A24" s="445"/>
      <c r="B24" s="446" t="s">
        <v>6</v>
      </c>
      <c r="C24" s="313"/>
      <c r="D24" s="313"/>
      <c r="E24" s="313"/>
      <c r="F24" s="313"/>
      <c r="G24" s="314"/>
    </row>
    <row r="25" spans="1:7" ht="15" customHeight="1">
      <c r="A25" s="453">
        <v>14</v>
      </c>
      <c r="B25" s="454" t="s">
        <v>7</v>
      </c>
      <c r="C25" s="574">
        <v>6.9500000000000006E-2</v>
      </c>
      <c r="D25" s="572">
        <v>6.7799999999999999E-2</v>
      </c>
      <c r="E25" s="572">
        <v>6.6799999999999998E-2</v>
      </c>
      <c r="F25" s="572">
        <v>6.6000000000000003E-2</v>
      </c>
      <c r="G25" s="573">
        <v>6.7100000000000007E-2</v>
      </c>
    </row>
    <row r="26" spans="1:7">
      <c r="A26" s="453">
        <v>15</v>
      </c>
      <c r="B26" s="454" t="s">
        <v>8</v>
      </c>
      <c r="C26" s="574">
        <v>3.2500000000000001E-2</v>
      </c>
      <c r="D26" s="572">
        <v>3.09E-2</v>
      </c>
      <c r="E26" s="572">
        <v>2.9700000000000001E-2</v>
      </c>
      <c r="F26" s="572">
        <v>3.1399999999999997E-2</v>
      </c>
      <c r="G26" s="573">
        <v>3.2000000000000001E-2</v>
      </c>
    </row>
    <row r="27" spans="1:7">
      <c r="A27" s="453">
        <v>16</v>
      </c>
      <c r="B27" s="454" t="s">
        <v>9</v>
      </c>
      <c r="C27" s="588">
        <v>-1.5E-3</v>
      </c>
      <c r="D27" s="572">
        <v>2.9999999999999997E-4</v>
      </c>
      <c r="E27" s="572">
        <v>2.1100000000000001E-2</v>
      </c>
      <c r="F27" s="572">
        <v>-4.82E-2</v>
      </c>
      <c r="G27" s="573">
        <v>-3.9199999999999999E-2</v>
      </c>
    </row>
    <row r="28" spans="1:7">
      <c r="A28" s="453">
        <v>17</v>
      </c>
      <c r="B28" s="454" t="s">
        <v>224</v>
      </c>
      <c r="C28" s="574">
        <v>3.6999999999999998E-2</v>
      </c>
      <c r="D28" s="572">
        <v>3.6900000000000002E-2</v>
      </c>
      <c r="E28" s="572">
        <v>3.7100000000000001E-2</v>
      </c>
      <c r="F28" s="572">
        <v>3.4599999999999999E-2</v>
      </c>
      <c r="G28" s="573">
        <v>3.5000000000000003E-2</v>
      </c>
    </row>
    <row r="29" spans="1:7">
      <c r="A29" s="453">
        <v>18</v>
      </c>
      <c r="B29" s="454" t="s">
        <v>10</v>
      </c>
      <c r="C29" s="574">
        <v>-8.3999999999999995E-3</v>
      </c>
      <c r="D29" s="572">
        <v>-6.3E-3</v>
      </c>
      <c r="E29" s="572">
        <v>-1.09E-2</v>
      </c>
      <c r="F29" s="572">
        <v>-4.8300000000000003E-2</v>
      </c>
      <c r="G29" s="573">
        <v>-5.4899999999999997E-2</v>
      </c>
    </row>
    <row r="30" spans="1:7">
      <c r="A30" s="453">
        <v>19</v>
      </c>
      <c r="B30" s="454" t="s">
        <v>11</v>
      </c>
      <c r="C30" s="574">
        <v>-5.0500000000000003E-2</v>
      </c>
      <c r="D30" s="572">
        <v>-3.7999999999999999E-2</v>
      </c>
      <c r="E30" s="572">
        <v>-6.8099999999999994E-2</v>
      </c>
      <c r="F30" s="572">
        <v>-0.27210000000000001</v>
      </c>
      <c r="G30" s="573">
        <v>-0.30109999999999998</v>
      </c>
    </row>
    <row r="31" spans="1:7">
      <c r="A31" s="445"/>
      <c r="B31" s="446" t="s">
        <v>12</v>
      </c>
      <c r="C31" s="587"/>
      <c r="D31" s="313"/>
      <c r="E31" s="313"/>
      <c r="F31" s="313"/>
      <c r="G31" s="314"/>
    </row>
    <row r="32" spans="1:7">
      <c r="A32" s="453">
        <v>20</v>
      </c>
      <c r="B32" s="454" t="s">
        <v>13</v>
      </c>
      <c r="C32" s="574">
        <v>0.11169999999999999</v>
      </c>
      <c r="D32" s="572">
        <v>8.2400000000000001E-2</v>
      </c>
      <c r="E32" s="572">
        <v>7.51E-2</v>
      </c>
      <c r="F32" s="572">
        <v>7.3899999999999993E-2</v>
      </c>
      <c r="G32" s="573">
        <v>8.0600000000000005E-2</v>
      </c>
    </row>
    <row r="33" spans="1:9" ht="15" customHeight="1">
      <c r="A33" s="453">
        <v>21</v>
      </c>
      <c r="B33" s="454" t="s">
        <v>14</v>
      </c>
      <c r="C33" s="574">
        <v>6.3299999999999995E-2</v>
      </c>
      <c r="D33" s="572">
        <v>6.5100000000000005E-2</v>
      </c>
      <c r="E33" s="572">
        <v>6.2600000000000003E-2</v>
      </c>
      <c r="F33" s="572">
        <v>6.0999999999999999E-2</v>
      </c>
      <c r="G33" s="573">
        <v>6.1600000000000002E-2</v>
      </c>
    </row>
    <row r="34" spans="1:9">
      <c r="A34" s="453">
        <v>22</v>
      </c>
      <c r="B34" s="454" t="s">
        <v>15</v>
      </c>
      <c r="C34" s="574">
        <v>0.67500000000000004</v>
      </c>
      <c r="D34" s="572">
        <v>0.71030000000000004</v>
      </c>
      <c r="E34" s="572">
        <v>0.71819999999999995</v>
      </c>
      <c r="F34" s="572">
        <v>0.71360000000000001</v>
      </c>
      <c r="G34" s="573">
        <v>0.74270000000000003</v>
      </c>
    </row>
    <row r="35" spans="1:9" ht="15" customHeight="1">
      <c r="A35" s="453">
        <v>23</v>
      </c>
      <c r="B35" s="454" t="s">
        <v>16</v>
      </c>
      <c r="C35" s="574">
        <v>0.67889999999999995</v>
      </c>
      <c r="D35" s="572">
        <v>0.68140000000000001</v>
      </c>
      <c r="E35" s="572">
        <v>0.69389999999999996</v>
      </c>
      <c r="F35" s="572">
        <v>0.67710000000000004</v>
      </c>
      <c r="G35" s="573">
        <v>0.69179999999999997</v>
      </c>
    </row>
    <row r="36" spans="1:9">
      <c r="A36" s="453">
        <v>24</v>
      </c>
      <c r="B36" s="454" t="s">
        <v>17</v>
      </c>
      <c r="C36" s="574">
        <v>-0.14549999999999999</v>
      </c>
      <c r="D36" s="572">
        <v>-0.1331</v>
      </c>
      <c r="E36" s="572">
        <v>-1.6199999999999999E-2</v>
      </c>
      <c r="F36" s="572">
        <v>9.8699999999999996E-2</v>
      </c>
      <c r="G36" s="573">
        <v>4.7899999999999998E-2</v>
      </c>
    </row>
    <row r="37" spans="1:9" ht="15" customHeight="1">
      <c r="A37" s="445"/>
      <c r="B37" s="446" t="s">
        <v>18</v>
      </c>
      <c r="C37" s="587"/>
      <c r="D37" s="313"/>
      <c r="E37" s="313"/>
      <c r="F37" s="313"/>
      <c r="G37" s="314"/>
    </row>
    <row r="38" spans="1:9" ht="15" customHeight="1">
      <c r="A38" s="453">
        <v>25</v>
      </c>
      <c r="B38" s="454" t="s">
        <v>19</v>
      </c>
      <c r="C38" s="574">
        <v>0.18559999999999999</v>
      </c>
      <c r="D38" s="574">
        <v>8.3099999999999993E-2</v>
      </c>
      <c r="E38" s="574">
        <v>0.12230000000000001</v>
      </c>
      <c r="F38" s="574">
        <v>0.10489999999999999</v>
      </c>
      <c r="G38" s="575">
        <v>0.1104</v>
      </c>
    </row>
    <row r="39" spans="1:9" ht="15" customHeight="1">
      <c r="A39" s="453">
        <v>26</v>
      </c>
      <c r="B39" s="454" t="s">
        <v>20</v>
      </c>
      <c r="C39" s="574">
        <v>0.78039999999999998</v>
      </c>
      <c r="D39" s="574">
        <v>0.81520000000000004</v>
      </c>
      <c r="E39" s="574">
        <v>0.83220000000000005</v>
      </c>
      <c r="F39" s="574">
        <v>0.83140000000000003</v>
      </c>
      <c r="G39" s="575">
        <v>0.78790000000000004</v>
      </c>
    </row>
    <row r="40" spans="1:9" ht="15" customHeight="1">
      <c r="A40" s="453">
        <v>27</v>
      </c>
      <c r="B40" s="455" t="s">
        <v>21</v>
      </c>
      <c r="C40" s="574">
        <v>0.1235</v>
      </c>
      <c r="D40" s="574">
        <v>0.1082</v>
      </c>
      <c r="E40" s="574">
        <v>0.1767</v>
      </c>
      <c r="F40" s="574">
        <v>0.15110000000000001</v>
      </c>
      <c r="G40" s="575">
        <v>0.1321</v>
      </c>
    </row>
    <row r="41" spans="1:9" ht="15" customHeight="1">
      <c r="A41" s="459"/>
      <c r="B41" s="446" t="s">
        <v>395</v>
      </c>
      <c r="C41" s="313"/>
      <c r="D41" s="313"/>
      <c r="E41" s="313"/>
      <c r="F41" s="313"/>
      <c r="G41" s="314"/>
    </row>
    <row r="42" spans="1:9" ht="15" customHeight="1">
      <c r="A42" s="453">
        <v>28</v>
      </c>
      <c r="B42" s="486" t="s">
        <v>388</v>
      </c>
      <c r="C42" s="455">
        <v>108143748.95445655</v>
      </c>
      <c r="D42" s="455">
        <v>86056497.10717909</v>
      </c>
      <c r="E42" s="455">
        <v>90498030.780444443</v>
      </c>
      <c r="F42" s="455">
        <v>104948297.94815201</v>
      </c>
      <c r="G42" s="458">
        <v>112139400.54614125</v>
      </c>
      <c r="I42" s="670"/>
    </row>
    <row r="43" spans="1:9">
      <c r="A43" s="453">
        <v>29</v>
      </c>
      <c r="B43" s="454" t="s">
        <v>389</v>
      </c>
      <c r="C43" s="455">
        <v>38706725.485213608</v>
      </c>
      <c r="D43" s="456">
        <v>47485888.505843952</v>
      </c>
      <c r="E43" s="456">
        <v>57194378.128213882</v>
      </c>
      <c r="F43" s="456">
        <v>61827539.946882613</v>
      </c>
      <c r="G43" s="457">
        <v>70054626.776927143</v>
      </c>
    </row>
    <row r="44" spans="1:9">
      <c r="A44" s="481">
        <v>30</v>
      </c>
      <c r="B44" s="482" t="s">
        <v>387</v>
      </c>
      <c r="C44" s="574">
        <v>2.8047511231368363</v>
      </c>
      <c r="D44" s="574">
        <v>1.8720579206581356</v>
      </c>
      <c r="E44" s="574">
        <v>1.6130233120780111</v>
      </c>
      <c r="F44" s="574">
        <v>1.6957186682660275</v>
      </c>
      <c r="G44" s="575">
        <v>1.3321222110679072</v>
      </c>
    </row>
    <row r="45" spans="1:9">
      <c r="A45" s="481"/>
      <c r="B45" s="446" t="s">
        <v>494</v>
      </c>
      <c r="C45" s="313"/>
      <c r="D45" s="313"/>
      <c r="E45" s="313"/>
      <c r="F45" s="313"/>
      <c r="G45" s="314"/>
    </row>
    <row r="46" spans="1:9">
      <c r="A46" s="481">
        <v>31</v>
      </c>
      <c r="B46" s="482" t="s">
        <v>501</v>
      </c>
      <c r="C46" s="483">
        <v>329806883.80969208</v>
      </c>
      <c r="D46" s="484">
        <v>329580679.91412783</v>
      </c>
      <c r="E46" s="484">
        <v>363627190.50999999</v>
      </c>
      <c r="F46" s="484">
        <v>362799005.89417994</v>
      </c>
      <c r="G46" s="485">
        <v>348765810.60377008</v>
      </c>
    </row>
    <row r="47" spans="1:9">
      <c r="A47" s="481">
        <v>32</v>
      </c>
      <c r="B47" s="482" t="s">
        <v>514</v>
      </c>
      <c r="C47" s="483">
        <v>247216831.29176432</v>
      </c>
      <c r="D47" s="484">
        <v>252802494.06529006</v>
      </c>
      <c r="E47" s="484">
        <v>276701836.27999997</v>
      </c>
      <c r="F47" s="484">
        <v>285625099.69057679</v>
      </c>
      <c r="G47" s="485">
        <v>280520487.79400003</v>
      </c>
    </row>
    <row r="48" spans="1:9" ht="15" thickBot="1">
      <c r="A48" s="116">
        <v>33</v>
      </c>
      <c r="B48" s="226" t="s">
        <v>528</v>
      </c>
      <c r="C48" s="667">
        <v>1.3340794074836082</v>
      </c>
      <c r="D48" s="576">
        <v>1.3037081818860878</v>
      </c>
      <c r="E48" s="576">
        <v>1.3141</v>
      </c>
      <c r="F48" s="576">
        <v>1.2701930127541561</v>
      </c>
      <c r="G48" s="577">
        <v>1.2432810642333045</v>
      </c>
    </row>
    <row r="49" spans="1:7">
      <c r="A49" s="19"/>
    </row>
    <row r="50" spans="1:7" ht="39.5">
      <c r="B50" s="22" t="s">
        <v>473</v>
      </c>
    </row>
    <row r="51" spans="1:7" ht="65.5">
      <c r="B51" s="356" t="s">
        <v>394</v>
      </c>
      <c r="D51" s="331"/>
      <c r="E51" s="331"/>
      <c r="F51" s="331"/>
      <c r="G51" s="331"/>
    </row>
  </sheetData>
  <pageMargins left="0.7" right="0.7" top="0.75" bottom="0.75" header="0.3" footer="0.3"/>
  <pageSetup paperSize="9"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0"/>
  <sheetViews>
    <sheetView showGridLines="0" zoomScale="90" zoomScaleNormal="90" workbookViewId="0">
      <selection activeCell="D26" sqref="D26"/>
    </sheetView>
  </sheetViews>
  <sheetFormatPr defaultColWidth="9.08984375" defaultRowHeight="12"/>
  <cols>
    <col min="1" max="1" width="11.90625" style="488" bestFit="1" customWidth="1"/>
    <col min="2" max="2" width="105.08984375" style="488" customWidth="1"/>
    <col min="3" max="6" width="14.90625" style="488" customWidth="1"/>
    <col min="7" max="7" width="17.36328125" style="488" customWidth="1"/>
    <col min="8" max="8" width="13.453125" style="488" customWidth="1"/>
    <col min="9" max="9" width="9.08984375" style="488"/>
    <col min="10" max="10" width="14.453125" style="488" bestFit="1" customWidth="1"/>
    <col min="11" max="11" width="10.6328125" style="488" bestFit="1" customWidth="1"/>
    <col min="12" max="16384" width="9.08984375" style="488"/>
  </cols>
  <sheetData>
    <row r="1" spans="1:11" ht="13">
      <c r="A1" s="487" t="s">
        <v>188</v>
      </c>
      <c r="B1" s="425" t="str">
        <f>Info!C2</f>
        <v>სს " პაშა ბანკი საქართველო"</v>
      </c>
    </row>
    <row r="2" spans="1:11">
      <c r="A2" s="489" t="s">
        <v>189</v>
      </c>
      <c r="B2" s="614">
        <f>'1. key ratios'!B2</f>
        <v>44469</v>
      </c>
    </row>
    <row r="3" spans="1:11">
      <c r="A3" s="490" t="s">
        <v>530</v>
      </c>
    </row>
    <row r="5" spans="1:11">
      <c r="A5" s="762" t="s">
        <v>531</v>
      </c>
      <c r="B5" s="763"/>
      <c r="C5" s="768" t="s">
        <v>532</v>
      </c>
      <c r="D5" s="769"/>
      <c r="E5" s="769"/>
      <c r="F5" s="769"/>
      <c r="G5" s="769"/>
      <c r="H5" s="770"/>
    </row>
    <row r="6" spans="1:11">
      <c r="A6" s="764"/>
      <c r="B6" s="765"/>
      <c r="C6" s="771"/>
      <c r="D6" s="772"/>
      <c r="E6" s="772"/>
      <c r="F6" s="772"/>
      <c r="G6" s="772"/>
      <c r="H6" s="773"/>
    </row>
    <row r="7" spans="1:11" ht="36" customHeight="1">
      <c r="A7" s="766"/>
      <c r="B7" s="767"/>
      <c r="C7" s="492" t="s">
        <v>533</v>
      </c>
      <c r="D7" s="492" t="s">
        <v>534</v>
      </c>
      <c r="E7" s="492" t="s">
        <v>535</v>
      </c>
      <c r="F7" s="492" t="s">
        <v>536</v>
      </c>
      <c r="G7" s="554" t="s">
        <v>708</v>
      </c>
      <c r="H7" s="492" t="s">
        <v>68</v>
      </c>
    </row>
    <row r="8" spans="1:11">
      <c r="A8" s="493">
        <v>1</v>
      </c>
      <c r="B8" s="494" t="s">
        <v>216</v>
      </c>
      <c r="C8" s="612">
        <v>47124895.113900006</v>
      </c>
      <c r="D8" s="612"/>
      <c r="E8" s="612"/>
      <c r="F8" s="612">
        <v>5346400</v>
      </c>
      <c r="G8" s="612"/>
      <c r="H8" s="613">
        <f>SUM(C8:G8)</f>
        <v>52471295.113900006</v>
      </c>
    </row>
    <row r="9" spans="1:11">
      <c r="A9" s="493">
        <v>2</v>
      </c>
      <c r="B9" s="494" t="s">
        <v>217</v>
      </c>
      <c r="C9" s="612"/>
      <c r="D9" s="612"/>
      <c r="E9" s="612"/>
      <c r="F9" s="612"/>
      <c r="G9" s="612"/>
      <c r="H9" s="613">
        <f t="shared" ref="H9:H21" si="0">SUM(C9:G9)</f>
        <v>0</v>
      </c>
    </row>
    <row r="10" spans="1:11">
      <c r="A10" s="493">
        <v>3</v>
      </c>
      <c r="B10" s="494" t="s">
        <v>218</v>
      </c>
      <c r="C10" s="612"/>
      <c r="D10" s="612"/>
      <c r="E10" s="612"/>
      <c r="F10" s="612"/>
      <c r="G10" s="612"/>
      <c r="H10" s="613">
        <f t="shared" si="0"/>
        <v>0</v>
      </c>
    </row>
    <row r="11" spans="1:11">
      <c r="A11" s="493">
        <v>4</v>
      </c>
      <c r="B11" s="494" t="s">
        <v>219</v>
      </c>
      <c r="C11" s="612"/>
      <c r="D11" s="612"/>
      <c r="E11" s="612"/>
      <c r="F11" s="612"/>
      <c r="G11" s="612"/>
      <c r="H11" s="613">
        <f t="shared" si="0"/>
        <v>0</v>
      </c>
    </row>
    <row r="12" spans="1:11">
      <c r="A12" s="493">
        <v>5</v>
      </c>
      <c r="B12" s="494" t="s">
        <v>220</v>
      </c>
      <c r="C12" s="612"/>
      <c r="D12" s="612"/>
      <c r="E12" s="612"/>
      <c r="F12" s="612"/>
      <c r="G12" s="612"/>
      <c r="H12" s="613">
        <f t="shared" si="0"/>
        <v>0</v>
      </c>
    </row>
    <row r="13" spans="1:11">
      <c r="A13" s="493">
        <v>6</v>
      </c>
      <c r="B13" s="494" t="s">
        <v>221</v>
      </c>
      <c r="C13" s="612">
        <v>68699977.14289999</v>
      </c>
      <c r="D13" s="612">
        <v>2680446.21</v>
      </c>
      <c r="E13" s="612"/>
      <c r="F13" s="612"/>
      <c r="G13" s="612"/>
      <c r="H13" s="613">
        <f t="shared" si="0"/>
        <v>71380423.352899984</v>
      </c>
    </row>
    <row r="14" spans="1:11">
      <c r="A14" s="493">
        <v>7</v>
      </c>
      <c r="B14" s="494" t="s">
        <v>73</v>
      </c>
      <c r="C14" s="612"/>
      <c r="D14" s="612">
        <v>70482884.847799957</v>
      </c>
      <c r="E14" s="612">
        <v>152492277.26539999</v>
      </c>
      <c r="F14" s="612">
        <v>63389267.201600008</v>
      </c>
      <c r="G14" s="612"/>
      <c r="H14" s="613">
        <f t="shared" si="0"/>
        <v>286364429.31479996</v>
      </c>
      <c r="J14" s="590"/>
      <c r="K14" s="589"/>
    </row>
    <row r="15" spans="1:11">
      <c r="A15" s="493">
        <v>8</v>
      </c>
      <c r="B15" s="496" t="s">
        <v>74</v>
      </c>
      <c r="C15" s="612"/>
      <c r="D15" s="612">
        <v>563251.79799992905</v>
      </c>
      <c r="E15" s="612">
        <v>18625507.210000128</v>
      </c>
      <c r="F15" s="612"/>
      <c r="G15" s="612"/>
      <c r="H15" s="613">
        <f t="shared" si="0"/>
        <v>19188759.008000057</v>
      </c>
    </row>
    <row r="16" spans="1:11">
      <c r="A16" s="493">
        <v>9</v>
      </c>
      <c r="B16" s="494" t="s">
        <v>75</v>
      </c>
      <c r="C16" s="612"/>
      <c r="D16" s="612"/>
      <c r="E16" s="612"/>
      <c r="F16" s="612"/>
      <c r="G16" s="612"/>
      <c r="H16" s="613">
        <f t="shared" si="0"/>
        <v>0</v>
      </c>
    </row>
    <row r="17" spans="1:11">
      <c r="A17" s="493">
        <v>10</v>
      </c>
      <c r="B17" s="557" t="s">
        <v>558</v>
      </c>
      <c r="C17" s="612"/>
      <c r="D17" s="612">
        <v>7058811.9380000001</v>
      </c>
      <c r="E17" s="612">
        <v>23913942.1402</v>
      </c>
      <c r="F17" s="612">
        <v>11556414.2403</v>
      </c>
      <c r="G17" s="612"/>
      <c r="H17" s="613">
        <f t="shared" si="0"/>
        <v>42529168.318499997</v>
      </c>
    </row>
    <row r="18" spans="1:11">
      <c r="A18" s="493">
        <v>11</v>
      </c>
      <c r="B18" s="494" t="s">
        <v>70</v>
      </c>
      <c r="C18" s="612"/>
      <c r="D18" s="612"/>
      <c r="E18" s="612"/>
      <c r="F18" s="612"/>
      <c r="G18" s="612"/>
      <c r="H18" s="613">
        <f t="shared" si="0"/>
        <v>0</v>
      </c>
    </row>
    <row r="19" spans="1:11">
      <c r="A19" s="493">
        <v>12</v>
      </c>
      <c r="B19" s="494" t="s">
        <v>71</v>
      </c>
      <c r="C19" s="612"/>
      <c r="D19" s="612"/>
      <c r="E19" s="612"/>
      <c r="F19" s="612"/>
      <c r="G19" s="612"/>
      <c r="H19" s="613">
        <f t="shared" si="0"/>
        <v>0</v>
      </c>
    </row>
    <row r="20" spans="1:11">
      <c r="A20" s="497">
        <v>13</v>
      </c>
      <c r="B20" s="496" t="s">
        <v>72</v>
      </c>
      <c r="C20" s="612"/>
      <c r="D20" s="612"/>
      <c r="E20" s="612"/>
      <c r="F20" s="612"/>
      <c r="G20" s="612"/>
      <c r="H20" s="613">
        <f t="shared" si="0"/>
        <v>0</v>
      </c>
    </row>
    <row r="21" spans="1:11">
      <c r="A21" s="493">
        <v>14</v>
      </c>
      <c r="B21" s="494" t="s">
        <v>537</v>
      </c>
      <c r="C21" s="612">
        <v>5651974.6952999998</v>
      </c>
      <c r="D21" s="612">
        <v>2958740.3983</v>
      </c>
      <c r="E21" s="612"/>
      <c r="F21" s="612"/>
      <c r="G21" s="612">
        <v>11148724.549999997</v>
      </c>
      <c r="H21" s="613">
        <f t="shared" si="0"/>
        <v>19759439.643599994</v>
      </c>
      <c r="J21" s="590"/>
      <c r="K21" s="589"/>
    </row>
    <row r="22" spans="1:11">
      <c r="A22" s="498">
        <v>15</v>
      </c>
      <c r="B22" s="495" t="s">
        <v>68</v>
      </c>
      <c r="C22" s="613">
        <f>SUM(C18:C21)+SUM(C8:C16)</f>
        <v>121476846.95209999</v>
      </c>
      <c r="D22" s="613">
        <f t="shared" ref="D22:G22" si="1">SUM(D18:D21)+SUM(D8:D16)</f>
        <v>76685323.254099891</v>
      </c>
      <c r="E22" s="613">
        <f t="shared" si="1"/>
        <v>171117784.47540012</v>
      </c>
      <c r="F22" s="613">
        <f t="shared" si="1"/>
        <v>68735667.201600015</v>
      </c>
      <c r="G22" s="613">
        <f t="shared" si="1"/>
        <v>11148724.549999997</v>
      </c>
      <c r="H22" s="613">
        <f>SUM(H18:H21)+SUM(H8:H16)</f>
        <v>449164346.4332</v>
      </c>
      <c r="K22" s="589"/>
    </row>
    <row r="26" spans="1:11" ht="36">
      <c r="B26" s="556" t="s">
        <v>707</v>
      </c>
      <c r="D26" s="590"/>
      <c r="E26" s="590"/>
      <c r="H26" s="590"/>
    </row>
    <row r="27" spans="1:11">
      <c r="D27" s="590"/>
      <c r="H27" s="589"/>
    </row>
    <row r="28" spans="1:11">
      <c r="D28" s="590"/>
    </row>
    <row r="29" spans="1:11">
      <c r="D29" s="590"/>
    </row>
    <row r="30" spans="1:11">
      <c r="D30" s="589"/>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7"/>
  <sheetViews>
    <sheetView showGridLines="0" zoomScale="90" zoomScaleNormal="90" workbookViewId="0">
      <selection activeCell="F26" sqref="F26"/>
    </sheetView>
  </sheetViews>
  <sheetFormatPr defaultColWidth="9.08984375" defaultRowHeight="12"/>
  <cols>
    <col min="1" max="1" width="11.90625" style="499" bestFit="1" customWidth="1"/>
    <col min="2" max="2" width="96.90625" style="488" customWidth="1"/>
    <col min="3" max="3" width="15.453125" style="488" customWidth="1"/>
    <col min="4" max="4" width="17.36328125" style="488" customWidth="1"/>
    <col min="5" max="5" width="13.36328125" style="510" customWidth="1"/>
    <col min="6" max="6" width="14.08984375" style="510" customWidth="1"/>
    <col min="7" max="7" width="11" style="510" customWidth="1"/>
    <col min="8" max="8" width="11.6328125" style="488" customWidth="1"/>
    <col min="9" max="9" width="14.54296875" style="488" customWidth="1"/>
    <col min="10" max="16384" width="9.08984375" style="488"/>
  </cols>
  <sheetData>
    <row r="1" spans="1:9" ht="13">
      <c r="A1" s="487" t="s">
        <v>188</v>
      </c>
      <c r="B1" s="425" t="str">
        <f>Info!C2</f>
        <v>სს " პაშა ბანკი საქართველო"</v>
      </c>
      <c r="E1" s="488"/>
      <c r="F1" s="488"/>
      <c r="G1" s="488"/>
    </row>
    <row r="2" spans="1:9">
      <c r="A2" s="489" t="s">
        <v>189</v>
      </c>
      <c r="B2" s="614">
        <f>'1. key ratios'!B2</f>
        <v>44469</v>
      </c>
      <c r="E2" s="488"/>
      <c r="F2" s="488"/>
      <c r="G2" s="488"/>
    </row>
    <row r="3" spans="1:9">
      <c r="A3" s="490" t="s">
        <v>538</v>
      </c>
      <c r="E3" s="488"/>
      <c r="F3" s="488"/>
      <c r="G3" s="488"/>
    </row>
    <row r="4" spans="1:9">
      <c r="C4" s="500" t="s">
        <v>539</v>
      </c>
      <c r="D4" s="500" t="s">
        <v>540</v>
      </c>
      <c r="E4" s="500" t="s">
        <v>541</v>
      </c>
      <c r="F4" s="500" t="s">
        <v>542</v>
      </c>
      <c r="G4" s="500" t="s">
        <v>543</v>
      </c>
      <c r="H4" s="500" t="s">
        <v>544</v>
      </c>
      <c r="I4" s="500" t="s">
        <v>545</v>
      </c>
    </row>
    <row r="5" spans="1:9" ht="33.9" customHeight="1">
      <c r="A5" s="762" t="s">
        <v>548</v>
      </c>
      <c r="B5" s="763"/>
      <c r="C5" s="776" t="s">
        <v>549</v>
      </c>
      <c r="D5" s="776"/>
      <c r="E5" s="776" t="s">
        <v>550</v>
      </c>
      <c r="F5" s="776" t="s">
        <v>551</v>
      </c>
      <c r="G5" s="774" t="s">
        <v>552</v>
      </c>
      <c r="H5" s="774" t="s">
        <v>553</v>
      </c>
      <c r="I5" s="501" t="s">
        <v>554</v>
      </c>
    </row>
    <row r="6" spans="1:9" ht="59.25" customHeight="1">
      <c r="A6" s="766"/>
      <c r="B6" s="767"/>
      <c r="C6" s="545" t="s">
        <v>555</v>
      </c>
      <c r="D6" s="545" t="s">
        <v>556</v>
      </c>
      <c r="E6" s="776"/>
      <c r="F6" s="776"/>
      <c r="G6" s="775"/>
      <c r="H6" s="775"/>
      <c r="I6" s="501" t="s">
        <v>557</v>
      </c>
    </row>
    <row r="7" spans="1:9">
      <c r="A7" s="502">
        <v>1</v>
      </c>
      <c r="B7" s="494" t="s">
        <v>216</v>
      </c>
      <c r="C7" s="615"/>
      <c r="D7" s="615">
        <v>52471295.113899998</v>
      </c>
      <c r="E7" s="615"/>
      <c r="F7" s="615"/>
      <c r="G7" s="615"/>
      <c r="H7" s="612"/>
      <c r="I7" s="616">
        <f t="shared" ref="I7:I23" si="0">C7+D7-E7-F7-G7</f>
        <v>52471295.113899998</v>
      </c>
    </row>
    <row r="8" spans="1:9">
      <c r="A8" s="502">
        <v>2</v>
      </c>
      <c r="B8" s="494" t="s">
        <v>217</v>
      </c>
      <c r="C8" s="615"/>
      <c r="D8" s="615"/>
      <c r="E8" s="615"/>
      <c r="F8" s="615"/>
      <c r="G8" s="615"/>
      <c r="H8" s="612"/>
      <c r="I8" s="616">
        <f t="shared" si="0"/>
        <v>0</v>
      </c>
    </row>
    <row r="9" spans="1:9">
      <c r="A9" s="502">
        <v>3</v>
      </c>
      <c r="B9" s="494" t="s">
        <v>218</v>
      </c>
      <c r="C9" s="615"/>
      <c r="D9" s="615"/>
      <c r="E9" s="615"/>
      <c r="F9" s="615"/>
      <c r="G9" s="615"/>
      <c r="H9" s="612"/>
      <c r="I9" s="616">
        <f t="shared" si="0"/>
        <v>0</v>
      </c>
    </row>
    <row r="10" spans="1:9">
      <c r="A10" s="502">
        <v>4</v>
      </c>
      <c r="B10" s="494" t="s">
        <v>219</v>
      </c>
      <c r="C10" s="615"/>
      <c r="D10" s="615"/>
      <c r="E10" s="615"/>
      <c r="F10" s="615"/>
      <c r="G10" s="615"/>
      <c r="H10" s="612"/>
      <c r="I10" s="616">
        <f t="shared" si="0"/>
        <v>0</v>
      </c>
    </row>
    <row r="11" spans="1:9">
      <c r="A11" s="502">
        <v>5</v>
      </c>
      <c r="B11" s="494" t="s">
        <v>220</v>
      </c>
      <c r="C11" s="615"/>
      <c r="D11" s="615"/>
      <c r="E11" s="615"/>
      <c r="F11" s="615"/>
      <c r="G11" s="615"/>
      <c r="H11" s="612"/>
      <c r="I11" s="616">
        <f t="shared" si="0"/>
        <v>0</v>
      </c>
    </row>
    <row r="12" spans="1:9">
      <c r="A12" s="502">
        <v>6</v>
      </c>
      <c r="B12" s="494" t="s">
        <v>221</v>
      </c>
      <c r="C12" s="615"/>
      <c r="D12" s="615">
        <v>71380423.353</v>
      </c>
      <c r="E12" s="615"/>
      <c r="F12" s="615"/>
      <c r="G12" s="615"/>
      <c r="H12" s="612"/>
      <c r="I12" s="616">
        <f t="shared" si="0"/>
        <v>71380423.353</v>
      </c>
    </row>
    <row r="13" spans="1:9">
      <c r="A13" s="502">
        <v>7</v>
      </c>
      <c r="B13" s="494" t="s">
        <v>73</v>
      </c>
      <c r="C13" s="615">
        <v>30862819.578899994</v>
      </c>
      <c r="D13" s="615">
        <v>268403996.54839998</v>
      </c>
      <c r="E13" s="615">
        <v>12902386.8125</v>
      </c>
      <c r="F13" s="615">
        <v>4769920.6891999999</v>
      </c>
      <c r="G13" s="615"/>
      <c r="H13" s="612"/>
      <c r="I13" s="616">
        <f>C13+D13-E13-F13-G13</f>
        <v>281594508.62559998</v>
      </c>
    </row>
    <row r="14" spans="1:9">
      <c r="A14" s="502">
        <v>8</v>
      </c>
      <c r="B14" s="496" t="s">
        <v>74</v>
      </c>
      <c r="C14" s="615">
        <v>913135.41680000059</v>
      </c>
      <c r="D14" s="615">
        <v>18895117.480000198</v>
      </c>
      <c r="E14" s="615">
        <v>619493.88879999996</v>
      </c>
      <c r="F14" s="615">
        <v>368476.25459999999</v>
      </c>
      <c r="G14" s="615"/>
      <c r="H14" s="612"/>
      <c r="I14" s="616">
        <f>C14+D14-E14-F14-G14</f>
        <v>18820282.753400199</v>
      </c>
    </row>
    <row r="15" spans="1:9">
      <c r="A15" s="502">
        <v>9</v>
      </c>
      <c r="B15" s="494" t="s">
        <v>75</v>
      </c>
      <c r="C15" s="615"/>
      <c r="D15" s="615"/>
      <c r="E15" s="615"/>
      <c r="F15" s="615"/>
      <c r="G15" s="615"/>
      <c r="H15" s="612"/>
      <c r="I15" s="616">
        <f t="shared" si="0"/>
        <v>0</v>
      </c>
    </row>
    <row r="16" spans="1:9">
      <c r="A16" s="502">
        <v>10</v>
      </c>
      <c r="B16" s="557" t="s">
        <v>558</v>
      </c>
      <c r="C16" s="615">
        <v>28588879.675000001</v>
      </c>
      <c r="D16" s="615">
        <v>21617273.760200005</v>
      </c>
      <c r="E16" s="615">
        <v>7676985.1166999992</v>
      </c>
      <c r="F16" s="615">
        <v>431234.67319999996</v>
      </c>
      <c r="G16" s="615"/>
      <c r="H16" s="612"/>
      <c r="I16" s="616">
        <f t="shared" si="0"/>
        <v>42097933.645300008</v>
      </c>
    </row>
    <row r="17" spans="1:9">
      <c r="A17" s="502">
        <v>11</v>
      </c>
      <c r="B17" s="494" t="s">
        <v>70</v>
      </c>
      <c r="C17" s="615"/>
      <c r="D17" s="615"/>
      <c r="E17" s="615"/>
      <c r="F17" s="615"/>
      <c r="G17" s="615"/>
      <c r="H17" s="612"/>
      <c r="I17" s="616">
        <f t="shared" si="0"/>
        <v>0</v>
      </c>
    </row>
    <row r="18" spans="1:9">
      <c r="A18" s="502">
        <v>12</v>
      </c>
      <c r="B18" s="494" t="s">
        <v>71</v>
      </c>
      <c r="C18" s="615"/>
      <c r="D18" s="615"/>
      <c r="E18" s="615"/>
      <c r="F18" s="615"/>
      <c r="G18" s="615"/>
      <c r="H18" s="612"/>
      <c r="I18" s="616">
        <f t="shared" si="0"/>
        <v>0</v>
      </c>
    </row>
    <row r="19" spans="1:9">
      <c r="A19" s="505">
        <v>13</v>
      </c>
      <c r="B19" s="496" t="s">
        <v>72</v>
      </c>
      <c r="C19" s="615"/>
      <c r="D19" s="615"/>
      <c r="E19" s="615"/>
      <c r="F19" s="615"/>
      <c r="G19" s="615"/>
      <c r="H19" s="612"/>
      <c r="I19" s="616">
        <f t="shared" si="0"/>
        <v>0</v>
      </c>
    </row>
    <row r="20" spans="1:9">
      <c r="A20" s="502">
        <v>14</v>
      </c>
      <c r="B20" s="494" t="s">
        <v>537</v>
      </c>
      <c r="C20" s="615">
        <v>140250</v>
      </c>
      <c r="D20" s="615">
        <v>23848350.3836</v>
      </c>
      <c r="E20" s="615">
        <v>42075</v>
      </c>
      <c r="F20" s="615"/>
      <c r="G20" s="615"/>
      <c r="H20" s="612"/>
      <c r="I20" s="616">
        <f>C20+D20-E20-F20-G20</f>
        <v>23946525.3836</v>
      </c>
    </row>
    <row r="21" spans="1:9" s="507" customFormat="1">
      <c r="A21" s="506">
        <v>15</v>
      </c>
      <c r="B21" s="495" t="s">
        <v>68</v>
      </c>
      <c r="C21" s="617">
        <f>SUM(C7:C15)+SUM(C17:C20)</f>
        <v>31916204.995699994</v>
      </c>
      <c r="D21" s="617">
        <f t="shared" ref="D21:H21" si="1">SUM(D7:D15)+SUM(D17:D20)</f>
        <v>434999182.87890017</v>
      </c>
      <c r="E21" s="617">
        <f t="shared" si="1"/>
        <v>13563955.701300001</v>
      </c>
      <c r="F21" s="617">
        <f t="shared" si="1"/>
        <v>5138396.9437999995</v>
      </c>
      <c r="G21" s="613">
        <f t="shared" si="1"/>
        <v>0</v>
      </c>
      <c r="H21" s="613">
        <f t="shared" si="1"/>
        <v>0</v>
      </c>
      <c r="I21" s="616">
        <f t="shared" si="0"/>
        <v>448213035.22950017</v>
      </c>
    </row>
    <row r="22" spans="1:9">
      <c r="A22" s="508">
        <v>16</v>
      </c>
      <c r="B22" s="509" t="s">
        <v>559</v>
      </c>
      <c r="C22" s="615">
        <f>C13+C14-52003.58</f>
        <v>31723951.415699996</v>
      </c>
      <c r="D22" s="615">
        <f>D13+D14-33514797.2505-25842.8479</f>
        <v>253758473.93000019</v>
      </c>
      <c r="E22" s="615">
        <f>13521880.7013-17018.91</f>
        <v>13504861.791300001</v>
      </c>
      <c r="F22" s="615">
        <v>4475204.5437999992</v>
      </c>
      <c r="G22" s="615"/>
      <c r="H22" s="612"/>
      <c r="I22" s="616">
        <f t="shared" si="0"/>
        <v>267502359.01060021</v>
      </c>
    </row>
    <row r="23" spans="1:9">
      <c r="A23" s="508">
        <v>17</v>
      </c>
      <c r="B23" s="509" t="s">
        <v>560</v>
      </c>
      <c r="C23" s="615"/>
      <c r="D23" s="615">
        <v>38861197.250500001</v>
      </c>
      <c r="E23" s="615"/>
      <c r="F23" s="615">
        <v>663192.4</v>
      </c>
      <c r="G23" s="615"/>
      <c r="H23" s="612"/>
      <c r="I23" s="616">
        <f t="shared" si="0"/>
        <v>38198004.850500003</v>
      </c>
    </row>
    <row r="26" spans="1:9" ht="42.65" customHeight="1">
      <c r="B26" s="556" t="s">
        <v>707</v>
      </c>
      <c r="C26" s="590"/>
      <c r="D26" s="590"/>
    </row>
    <row r="27" spans="1:9">
      <c r="D27" s="589"/>
    </row>
    <row r="28" spans="1:9">
      <c r="C28" s="590"/>
      <c r="D28" s="589"/>
      <c r="E28" s="591"/>
      <c r="F28" s="592"/>
      <c r="I28" s="589"/>
    </row>
    <row r="29" spans="1:9">
      <c r="C29" s="589"/>
      <c r="D29" s="589"/>
      <c r="E29" s="592"/>
      <c r="I29" s="590"/>
    </row>
    <row r="30" spans="1:9">
      <c r="D30" s="589"/>
      <c r="E30" s="591"/>
    </row>
    <row r="31" spans="1:9">
      <c r="D31" s="589"/>
      <c r="F31" s="591"/>
      <c r="I31" s="589"/>
    </row>
    <row r="33" spans="3:6">
      <c r="C33" s="590"/>
      <c r="D33" s="590"/>
    </row>
    <row r="34" spans="3:6">
      <c r="C34" s="590"/>
      <c r="D34" s="590"/>
      <c r="F34" s="591"/>
    </row>
    <row r="35" spans="3:6">
      <c r="E35" s="591"/>
    </row>
    <row r="36" spans="3:6">
      <c r="D36" s="590"/>
    </row>
    <row r="37" spans="3:6">
      <c r="D37" s="589"/>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zoomScale="90" zoomScaleNormal="90" workbookViewId="0">
      <selection activeCell="G42" sqref="G42"/>
    </sheetView>
  </sheetViews>
  <sheetFormatPr defaultColWidth="9.08984375" defaultRowHeight="12"/>
  <cols>
    <col min="1" max="1" width="11" style="488" bestFit="1" customWidth="1"/>
    <col min="2" max="2" width="81.453125" style="488" customWidth="1"/>
    <col min="3" max="6" width="14.36328125" style="488" customWidth="1"/>
    <col min="7" max="7" width="10.08984375" style="488" customWidth="1"/>
    <col min="8" max="8" width="12" style="488" customWidth="1"/>
    <col min="9" max="9" width="14.36328125" style="488" customWidth="1"/>
    <col min="10" max="16384" width="9.08984375" style="488"/>
  </cols>
  <sheetData>
    <row r="1" spans="1:9" ht="13">
      <c r="A1" s="487" t="s">
        <v>188</v>
      </c>
      <c r="B1" s="425" t="str">
        <f>Info!C2</f>
        <v>სს " პაშა ბანკი საქართველო"</v>
      </c>
    </row>
    <row r="2" spans="1:9">
      <c r="A2" s="489" t="s">
        <v>189</v>
      </c>
      <c r="B2" s="614">
        <f>'1. key ratios'!B2</f>
        <v>44469</v>
      </c>
    </row>
    <row r="3" spans="1:9">
      <c r="A3" s="490" t="s">
        <v>561</v>
      </c>
    </row>
    <row r="4" spans="1:9">
      <c r="C4" s="500" t="s">
        <v>539</v>
      </c>
      <c r="D4" s="500" t="s">
        <v>540</v>
      </c>
      <c r="E4" s="500" t="s">
        <v>541</v>
      </c>
      <c r="F4" s="500" t="s">
        <v>542</v>
      </c>
      <c r="G4" s="500" t="s">
        <v>543</v>
      </c>
      <c r="H4" s="500" t="s">
        <v>544</v>
      </c>
      <c r="I4" s="500" t="s">
        <v>545</v>
      </c>
    </row>
    <row r="5" spans="1:9" ht="41.4" customHeight="1">
      <c r="A5" s="762" t="s">
        <v>711</v>
      </c>
      <c r="B5" s="763"/>
      <c r="C5" s="776" t="s">
        <v>549</v>
      </c>
      <c r="D5" s="776"/>
      <c r="E5" s="776" t="s">
        <v>550</v>
      </c>
      <c r="F5" s="776" t="s">
        <v>551</v>
      </c>
      <c r="G5" s="774" t="s">
        <v>552</v>
      </c>
      <c r="H5" s="774" t="s">
        <v>553</v>
      </c>
      <c r="I5" s="501" t="s">
        <v>554</v>
      </c>
    </row>
    <row r="6" spans="1:9" ht="41.4" customHeight="1">
      <c r="A6" s="766"/>
      <c r="B6" s="767"/>
      <c r="C6" s="545" t="s">
        <v>555</v>
      </c>
      <c r="D6" s="545" t="s">
        <v>556</v>
      </c>
      <c r="E6" s="776"/>
      <c r="F6" s="776"/>
      <c r="G6" s="775"/>
      <c r="H6" s="775"/>
      <c r="I6" s="501" t="s">
        <v>557</v>
      </c>
    </row>
    <row r="7" spans="1:9">
      <c r="A7" s="503">
        <v>1</v>
      </c>
      <c r="B7" s="511" t="s">
        <v>562</v>
      </c>
      <c r="C7" s="612">
        <v>165447.69</v>
      </c>
      <c r="D7" s="612">
        <f>5353574.52+52471295.1139</f>
        <v>57824869.633900002</v>
      </c>
      <c r="E7" s="612">
        <v>103317.02</v>
      </c>
      <c r="F7" s="612">
        <v>104995.19</v>
      </c>
      <c r="G7" s="612"/>
      <c r="H7" s="612"/>
      <c r="I7" s="616">
        <f t="shared" ref="I7:I34" si="0">C7+D7-E7-F7-G7</f>
        <v>57782005.113899998</v>
      </c>
    </row>
    <row r="8" spans="1:9">
      <c r="A8" s="503">
        <v>2</v>
      </c>
      <c r="B8" s="511" t="s">
        <v>563</v>
      </c>
      <c r="C8" s="612">
        <v>10570.85</v>
      </c>
      <c r="D8" s="612">
        <f>49874225.2646+71380423.353</f>
        <v>121254648.61759999</v>
      </c>
      <c r="E8" s="612">
        <v>8629.81</v>
      </c>
      <c r="F8" s="612">
        <v>991248.83</v>
      </c>
      <c r="G8" s="612"/>
      <c r="H8" s="612"/>
      <c r="I8" s="616">
        <f t="shared" si="0"/>
        <v>120265340.82759999</v>
      </c>
    </row>
    <row r="9" spans="1:9">
      <c r="A9" s="503">
        <v>3</v>
      </c>
      <c r="B9" s="511" t="s">
        <v>564</v>
      </c>
      <c r="C9" s="612">
        <v>2779.95</v>
      </c>
      <c r="D9" s="612">
        <v>2588.6799999999998</v>
      </c>
      <c r="E9" s="612">
        <v>1389.98</v>
      </c>
      <c r="F9" s="612">
        <v>50.36</v>
      </c>
      <c r="G9" s="612"/>
      <c r="H9" s="612"/>
      <c r="I9" s="616">
        <f t="shared" si="0"/>
        <v>3928.2899999999991</v>
      </c>
    </row>
    <row r="10" spans="1:9">
      <c r="A10" s="503">
        <v>4</v>
      </c>
      <c r="B10" s="511" t="s">
        <v>565</v>
      </c>
      <c r="C10" s="612">
        <v>2101910.2006999999</v>
      </c>
      <c r="D10" s="612">
        <v>38533505.202399999</v>
      </c>
      <c r="E10" s="612">
        <v>630872.85089999996</v>
      </c>
      <c r="F10" s="612">
        <v>769267.11569999997</v>
      </c>
      <c r="G10" s="612"/>
      <c r="H10" s="612"/>
      <c r="I10" s="616">
        <f t="shared" si="0"/>
        <v>39235275.436499998</v>
      </c>
    </row>
    <row r="11" spans="1:9">
      <c r="A11" s="503">
        <v>5</v>
      </c>
      <c r="B11" s="511" t="s">
        <v>566</v>
      </c>
      <c r="C11" s="612">
        <v>1416229.9591999999</v>
      </c>
      <c r="D11" s="612">
        <v>38685575.3103</v>
      </c>
      <c r="E11" s="612">
        <v>525040.24719999998</v>
      </c>
      <c r="F11" s="612">
        <v>745100.29449999996</v>
      </c>
      <c r="G11" s="612"/>
      <c r="H11" s="612"/>
      <c r="I11" s="616">
        <f t="shared" si="0"/>
        <v>38831664.727800004</v>
      </c>
    </row>
    <row r="12" spans="1:9">
      <c r="A12" s="503">
        <v>6</v>
      </c>
      <c r="B12" s="511" t="s">
        <v>567</v>
      </c>
      <c r="C12" s="612">
        <v>115815.01</v>
      </c>
      <c r="D12" s="612">
        <v>3489721.2212999999</v>
      </c>
      <c r="E12" s="612">
        <v>96090.188500000004</v>
      </c>
      <c r="F12" s="612">
        <v>61689.834000000003</v>
      </c>
      <c r="G12" s="612"/>
      <c r="H12" s="612"/>
      <c r="I12" s="616">
        <f t="shared" si="0"/>
        <v>3447756.2087999997</v>
      </c>
    </row>
    <row r="13" spans="1:9">
      <c r="A13" s="503">
        <v>7</v>
      </c>
      <c r="B13" s="511" t="s">
        <v>568</v>
      </c>
      <c r="C13" s="612">
        <v>2989377.8223000001</v>
      </c>
      <c r="D13" s="612">
        <v>2405732.8139</v>
      </c>
      <c r="E13" s="612">
        <v>904834.76269999996</v>
      </c>
      <c r="F13" s="612">
        <v>47736.291400000002</v>
      </c>
      <c r="G13" s="612"/>
      <c r="H13" s="612"/>
      <c r="I13" s="616">
        <f t="shared" si="0"/>
        <v>4442539.5820999993</v>
      </c>
    </row>
    <row r="14" spans="1:9">
      <c r="A14" s="503">
        <v>8</v>
      </c>
      <c r="B14" s="511" t="s">
        <v>569</v>
      </c>
      <c r="C14" s="612">
        <v>750124.84699999995</v>
      </c>
      <c r="D14" s="612">
        <v>6384737.7110000001</v>
      </c>
      <c r="E14" s="612">
        <v>247996.73970000001</v>
      </c>
      <c r="F14" s="612">
        <v>122605.6952</v>
      </c>
      <c r="G14" s="612"/>
      <c r="H14" s="612"/>
      <c r="I14" s="616">
        <f t="shared" si="0"/>
        <v>6764260.1231000004</v>
      </c>
    </row>
    <row r="15" spans="1:9">
      <c r="A15" s="503">
        <v>9</v>
      </c>
      <c r="B15" s="511" t="s">
        <v>570</v>
      </c>
      <c r="C15" s="612">
        <v>166283.37</v>
      </c>
      <c r="D15" s="612">
        <v>2353284.7549000001</v>
      </c>
      <c r="E15" s="612">
        <v>51314.46</v>
      </c>
      <c r="F15" s="612">
        <v>46881.0124</v>
      </c>
      <c r="G15" s="612"/>
      <c r="H15" s="612"/>
      <c r="I15" s="616">
        <f t="shared" si="0"/>
        <v>2421372.6525000003</v>
      </c>
    </row>
    <row r="16" spans="1:9">
      <c r="A16" s="503">
        <v>10</v>
      </c>
      <c r="B16" s="511" t="s">
        <v>571</v>
      </c>
      <c r="C16" s="612">
        <v>0</v>
      </c>
      <c r="D16" s="612">
        <v>621856.50049999997</v>
      </c>
      <c r="E16" s="612">
        <v>0</v>
      </c>
      <c r="F16" s="612">
        <v>12401.1922</v>
      </c>
      <c r="G16" s="612"/>
      <c r="H16" s="612"/>
      <c r="I16" s="616">
        <f t="shared" si="0"/>
        <v>609455.30829999992</v>
      </c>
    </row>
    <row r="17" spans="1:10">
      <c r="A17" s="503">
        <v>11</v>
      </c>
      <c r="B17" s="511" t="s">
        <v>572</v>
      </c>
      <c r="C17" s="612">
        <v>0</v>
      </c>
      <c r="D17" s="612">
        <v>4619791.9919999996</v>
      </c>
      <c r="E17" s="612">
        <v>446176.19990000001</v>
      </c>
      <c r="F17" s="612">
        <v>604.6</v>
      </c>
      <c r="G17" s="612"/>
      <c r="H17" s="612"/>
      <c r="I17" s="616">
        <f t="shared" si="0"/>
        <v>4173011.1920999996</v>
      </c>
    </row>
    <row r="18" spans="1:10">
      <c r="A18" s="503">
        <v>12</v>
      </c>
      <c r="B18" s="511" t="s">
        <v>573</v>
      </c>
      <c r="C18" s="612">
        <v>234921.05</v>
      </c>
      <c r="D18" s="612">
        <v>4147763.7563</v>
      </c>
      <c r="E18" s="612">
        <v>146320.35999999999</v>
      </c>
      <c r="F18" s="612">
        <v>81282.176000000007</v>
      </c>
      <c r="G18" s="612"/>
      <c r="H18" s="612"/>
      <c r="I18" s="616">
        <f t="shared" si="0"/>
        <v>4155082.2703</v>
      </c>
    </row>
    <row r="19" spans="1:10">
      <c r="A19" s="503">
        <v>13</v>
      </c>
      <c r="B19" s="511" t="s">
        <v>574</v>
      </c>
      <c r="C19" s="612">
        <v>89336.37</v>
      </c>
      <c r="D19" s="612">
        <v>1308879.6399999999</v>
      </c>
      <c r="E19" s="612">
        <v>68581.279999999999</v>
      </c>
      <c r="F19" s="612">
        <v>25364.27</v>
      </c>
      <c r="G19" s="612"/>
      <c r="H19" s="612"/>
      <c r="I19" s="616">
        <f t="shared" si="0"/>
        <v>1304270.4599999997</v>
      </c>
    </row>
    <row r="20" spans="1:10">
      <c r="A20" s="503">
        <v>14</v>
      </c>
      <c r="B20" s="511" t="s">
        <v>575</v>
      </c>
      <c r="C20" s="612">
        <v>10436892.922900001</v>
      </c>
      <c r="D20" s="612">
        <v>38172485.863899998</v>
      </c>
      <c r="E20" s="612">
        <v>4642704.5744000003</v>
      </c>
      <c r="F20" s="612">
        <v>624199.82420000003</v>
      </c>
      <c r="G20" s="612"/>
      <c r="H20" s="612"/>
      <c r="I20" s="616">
        <f t="shared" si="0"/>
        <v>43342474.3882</v>
      </c>
    </row>
    <row r="21" spans="1:10">
      <c r="A21" s="503">
        <v>15</v>
      </c>
      <c r="B21" s="511" t="s">
        <v>576</v>
      </c>
      <c r="C21" s="612">
        <v>4531333.9599000001</v>
      </c>
      <c r="D21" s="612">
        <v>10806072.4857</v>
      </c>
      <c r="E21" s="612">
        <v>1933211.4961999999</v>
      </c>
      <c r="F21" s="612">
        <v>101427.3708</v>
      </c>
      <c r="G21" s="612"/>
      <c r="H21" s="612"/>
      <c r="I21" s="616">
        <f t="shared" si="0"/>
        <v>13302767.578600001</v>
      </c>
    </row>
    <row r="22" spans="1:10">
      <c r="A22" s="503">
        <v>16</v>
      </c>
      <c r="B22" s="511" t="s">
        <v>577</v>
      </c>
      <c r="C22" s="612">
        <v>0</v>
      </c>
      <c r="D22" s="612">
        <v>10599.11</v>
      </c>
      <c r="E22" s="612">
        <v>0</v>
      </c>
      <c r="F22" s="612">
        <v>209.87</v>
      </c>
      <c r="G22" s="612"/>
      <c r="H22" s="612"/>
      <c r="I22" s="616">
        <f t="shared" si="0"/>
        <v>10389.24</v>
      </c>
    </row>
    <row r="23" spans="1:10">
      <c r="A23" s="503">
        <v>17</v>
      </c>
      <c r="B23" s="511" t="s">
        <v>578</v>
      </c>
      <c r="C23" s="612">
        <v>4366558.3398000002</v>
      </c>
      <c r="D23" s="612">
        <v>11434855.6776</v>
      </c>
      <c r="E23" s="612">
        <v>1309967.5082</v>
      </c>
      <c r="F23" s="612">
        <v>228418.1</v>
      </c>
      <c r="G23" s="612"/>
      <c r="H23" s="612"/>
      <c r="I23" s="616">
        <f t="shared" si="0"/>
        <v>14263028.4092</v>
      </c>
    </row>
    <row r="24" spans="1:10">
      <c r="A24" s="503">
        <v>18</v>
      </c>
      <c r="B24" s="511" t="s">
        <v>579</v>
      </c>
      <c r="C24" s="612">
        <v>3333.84</v>
      </c>
      <c r="D24" s="612">
        <v>32819987.340799998</v>
      </c>
      <c r="E24" s="612">
        <v>2539.85</v>
      </c>
      <c r="F24" s="612">
        <v>651441.75109999999</v>
      </c>
      <c r="G24" s="612"/>
      <c r="H24" s="612"/>
      <c r="I24" s="616">
        <f t="shared" si="0"/>
        <v>32169339.579699997</v>
      </c>
    </row>
    <row r="25" spans="1:10">
      <c r="A25" s="503">
        <v>19</v>
      </c>
      <c r="B25" s="511" t="s">
        <v>580</v>
      </c>
      <c r="C25" s="612">
        <v>0</v>
      </c>
      <c r="D25" s="612">
        <v>3852078.8840000001</v>
      </c>
      <c r="E25" s="612">
        <v>299.87</v>
      </c>
      <c r="F25" s="612">
        <v>76754.735799999995</v>
      </c>
      <c r="G25" s="612"/>
      <c r="H25" s="612"/>
      <c r="I25" s="616">
        <f t="shared" si="0"/>
        <v>3775024.2782000001</v>
      </c>
    </row>
    <row r="26" spans="1:10">
      <c r="A26" s="503">
        <v>20</v>
      </c>
      <c r="B26" s="511" t="s">
        <v>581</v>
      </c>
      <c r="C26" s="612">
        <v>24503.31</v>
      </c>
      <c r="D26" s="612">
        <v>4493637.8099999996</v>
      </c>
      <c r="E26" s="612">
        <v>11670.64</v>
      </c>
      <c r="F26" s="612">
        <v>87627.5</v>
      </c>
      <c r="G26" s="612"/>
      <c r="H26" s="612"/>
      <c r="I26" s="616">
        <f t="shared" si="0"/>
        <v>4418842.9799999995</v>
      </c>
      <c r="J26" s="512"/>
    </row>
    <row r="27" spans="1:10">
      <c r="A27" s="503">
        <v>21</v>
      </c>
      <c r="B27" s="511" t="s">
        <v>582</v>
      </c>
      <c r="C27" s="612">
        <v>661.13</v>
      </c>
      <c r="D27" s="612">
        <v>230186.58</v>
      </c>
      <c r="E27" s="612">
        <v>198.34</v>
      </c>
      <c r="F27" s="612">
        <v>4576.1899999999996</v>
      </c>
      <c r="G27" s="612"/>
      <c r="H27" s="612"/>
      <c r="I27" s="616">
        <f t="shared" si="0"/>
        <v>226073.18</v>
      </c>
      <c r="J27" s="512"/>
    </row>
    <row r="28" spans="1:10">
      <c r="A28" s="503">
        <v>22</v>
      </c>
      <c r="B28" s="511" t="s">
        <v>583</v>
      </c>
      <c r="C28" s="612">
        <v>6100</v>
      </c>
      <c r="D28" s="612">
        <v>234121.79</v>
      </c>
      <c r="E28" s="612">
        <v>5499.23</v>
      </c>
      <c r="F28" s="612">
        <v>4637.3</v>
      </c>
      <c r="G28" s="612"/>
      <c r="H28" s="612"/>
      <c r="I28" s="616">
        <f t="shared" si="0"/>
        <v>230085.26</v>
      </c>
      <c r="J28" s="512"/>
    </row>
    <row r="29" spans="1:10">
      <c r="A29" s="503">
        <v>23</v>
      </c>
      <c r="B29" s="511" t="s">
        <v>584</v>
      </c>
      <c r="C29" s="612">
        <v>3558810.6172000002</v>
      </c>
      <c r="D29" s="612">
        <f>12055708.0714-257.5077</f>
        <v>12055450.5637</v>
      </c>
      <c r="E29" s="612">
        <v>1257970.7594999999</v>
      </c>
      <c r="F29" s="612">
        <v>205392.70600000001</v>
      </c>
      <c r="G29" s="612"/>
      <c r="H29" s="612"/>
      <c r="I29" s="616">
        <f t="shared" si="0"/>
        <v>14150897.715399999</v>
      </c>
      <c r="J29" s="512"/>
    </row>
    <row r="30" spans="1:10">
      <c r="A30" s="503">
        <v>24</v>
      </c>
      <c r="B30" s="511" t="s">
        <v>585</v>
      </c>
      <c r="C30" s="612">
        <v>639673</v>
      </c>
      <c r="D30" s="612">
        <v>4194467.5675999997</v>
      </c>
      <c r="E30" s="612">
        <v>191901.9</v>
      </c>
      <c r="F30" s="612">
        <v>83419.780100000004</v>
      </c>
      <c r="G30" s="612"/>
      <c r="H30" s="612"/>
      <c r="I30" s="616">
        <f t="shared" si="0"/>
        <v>4558818.8874999993</v>
      </c>
      <c r="J30" s="512"/>
    </row>
    <row r="31" spans="1:10">
      <c r="A31" s="503">
        <v>25</v>
      </c>
      <c r="B31" s="511" t="s">
        <v>586</v>
      </c>
      <c r="C31" s="612">
        <v>155827.57999999999</v>
      </c>
      <c r="D31" s="612">
        <v>11206003.097899999</v>
      </c>
      <c r="E31" s="612">
        <v>925892.3983</v>
      </c>
      <c r="F31" s="612">
        <v>60906.371599999999</v>
      </c>
      <c r="G31" s="612"/>
      <c r="H31" s="612"/>
      <c r="I31" s="616">
        <f t="shared" si="0"/>
        <v>10375031.908</v>
      </c>
      <c r="J31" s="512"/>
    </row>
    <row r="32" spans="1:10">
      <c r="A32" s="503">
        <v>26</v>
      </c>
      <c r="B32" s="511" t="s">
        <v>587</v>
      </c>
      <c r="C32" s="612">
        <v>9460.1867999999995</v>
      </c>
      <c r="D32" s="612">
        <v>7932.88</v>
      </c>
      <c r="E32" s="612">
        <v>9460.1867999999995</v>
      </c>
      <c r="F32" s="612">
        <v>158.54</v>
      </c>
      <c r="G32" s="612"/>
      <c r="H32" s="612"/>
      <c r="I32" s="616">
        <f t="shared" si="0"/>
        <v>7774.3400000000011</v>
      </c>
      <c r="J32" s="512"/>
    </row>
    <row r="33" spans="1:10">
      <c r="A33" s="503">
        <v>27</v>
      </c>
      <c r="B33" s="504" t="s">
        <v>165</v>
      </c>
      <c r="C33" s="612">
        <v>140250</v>
      </c>
      <c r="D33" s="612">
        <v>23848350.3836</v>
      </c>
      <c r="E33" s="612">
        <v>42075</v>
      </c>
      <c r="F33" s="612">
        <v>0</v>
      </c>
      <c r="G33" s="612"/>
      <c r="H33" s="612"/>
      <c r="I33" s="616">
        <f t="shared" si="0"/>
        <v>23946525.3836</v>
      </c>
      <c r="J33" s="512"/>
    </row>
    <row r="34" spans="1:10">
      <c r="A34" s="503">
        <v>28</v>
      </c>
      <c r="B34" s="513" t="s">
        <v>68</v>
      </c>
      <c r="C34" s="613">
        <f>SUM(C7:C33)</f>
        <v>31916202.005799998</v>
      </c>
      <c r="D34" s="613">
        <f t="shared" ref="D34:H34" si="1">SUM(D7:D33)</f>
        <v>434999185.8689</v>
      </c>
      <c r="E34" s="613">
        <f t="shared" si="1"/>
        <v>13563955.652299998</v>
      </c>
      <c r="F34" s="613">
        <f t="shared" si="1"/>
        <v>5138396.9010000005</v>
      </c>
      <c r="G34" s="613">
        <f t="shared" si="1"/>
        <v>0</v>
      </c>
      <c r="H34" s="613">
        <f t="shared" si="1"/>
        <v>0</v>
      </c>
      <c r="I34" s="616">
        <f t="shared" si="0"/>
        <v>448213035.32139999</v>
      </c>
      <c r="J34" s="512"/>
    </row>
    <row r="35" spans="1:10">
      <c r="A35" s="512"/>
      <c r="B35" s="512"/>
      <c r="C35" s="512"/>
      <c r="D35" s="512"/>
      <c r="E35" s="512"/>
      <c r="F35" s="512"/>
      <c r="G35" s="512"/>
      <c r="H35" s="512"/>
      <c r="I35" s="512"/>
      <c r="J35" s="512"/>
    </row>
    <row r="36" spans="1:10">
      <c r="A36" s="512"/>
      <c r="B36" s="514"/>
      <c r="C36" s="593"/>
      <c r="D36" s="512"/>
      <c r="E36" s="512"/>
      <c r="F36" s="512"/>
      <c r="G36" s="512"/>
      <c r="H36" s="512"/>
      <c r="I36" s="512"/>
      <c r="J36" s="512"/>
    </row>
    <row r="37" spans="1:10">
      <c r="A37" s="512"/>
      <c r="B37" s="512"/>
      <c r="C37" s="512"/>
      <c r="D37" s="512"/>
      <c r="E37" s="512"/>
      <c r="F37" s="512"/>
      <c r="G37" s="512"/>
      <c r="H37" s="512"/>
      <c r="I37" s="512"/>
      <c r="J37" s="512"/>
    </row>
    <row r="38" spans="1:10">
      <c r="A38" s="512"/>
      <c r="B38" s="512"/>
      <c r="C38" s="512"/>
      <c r="D38" s="512"/>
      <c r="E38" s="512"/>
      <c r="F38" s="512"/>
      <c r="G38" s="512"/>
      <c r="H38" s="512"/>
      <c r="I38" s="512"/>
      <c r="J38" s="512"/>
    </row>
    <row r="39" spans="1:10">
      <c r="A39" s="512"/>
      <c r="B39" s="512"/>
      <c r="C39" s="512"/>
      <c r="D39" s="593"/>
      <c r="E39" s="593"/>
      <c r="F39" s="512"/>
      <c r="G39" s="512"/>
      <c r="H39" s="512"/>
      <c r="I39" s="512"/>
      <c r="J39" s="512"/>
    </row>
    <row r="40" spans="1:10">
      <c r="A40" s="512"/>
      <c r="B40" s="512"/>
      <c r="C40" s="512"/>
      <c r="D40" s="512"/>
      <c r="E40" s="512"/>
      <c r="F40" s="512"/>
      <c r="G40" s="512"/>
      <c r="H40" s="512"/>
      <c r="I40" s="512"/>
      <c r="J40" s="512"/>
    </row>
    <row r="41" spans="1:10">
      <c r="A41" s="512"/>
      <c r="B41" s="512"/>
      <c r="C41" s="512"/>
      <c r="D41" s="512"/>
      <c r="E41" s="512"/>
      <c r="F41" s="512"/>
      <c r="G41" s="512"/>
      <c r="H41" s="512"/>
      <c r="I41" s="512"/>
      <c r="J41" s="512"/>
    </row>
    <row r="42" spans="1:10">
      <c r="A42" s="515"/>
      <c r="B42" s="515"/>
      <c r="C42" s="512"/>
      <c r="D42" s="512"/>
      <c r="E42" s="512"/>
      <c r="F42" s="512"/>
      <c r="G42" s="512"/>
      <c r="H42" s="512"/>
      <c r="I42" s="512"/>
      <c r="J42" s="512"/>
    </row>
    <row r="43" spans="1:10">
      <c r="A43" s="515"/>
      <c r="B43" s="515"/>
      <c r="C43" s="512"/>
      <c r="D43" s="512"/>
      <c r="E43" s="512"/>
      <c r="F43" s="512"/>
      <c r="G43" s="512"/>
      <c r="H43" s="512"/>
      <c r="I43" s="512"/>
      <c r="J43" s="512"/>
    </row>
    <row r="44" spans="1:10">
      <c r="A44" s="512"/>
      <c r="B44" s="516"/>
      <c r="C44" s="512"/>
      <c r="D44" s="512"/>
      <c r="E44" s="512"/>
      <c r="F44" s="512"/>
      <c r="G44" s="512"/>
      <c r="H44" s="512"/>
      <c r="I44" s="512"/>
      <c r="J44" s="512"/>
    </row>
    <row r="45" spans="1:10">
      <c r="A45" s="512"/>
      <c r="B45" s="516"/>
      <c r="C45" s="512"/>
      <c r="D45" s="512"/>
      <c r="E45" s="512"/>
      <c r="F45" s="512"/>
      <c r="G45" s="512"/>
      <c r="H45" s="512"/>
      <c r="I45" s="512"/>
      <c r="J45" s="512"/>
    </row>
    <row r="46" spans="1:10">
      <c r="A46" s="512"/>
      <c r="B46" s="516"/>
      <c r="C46" s="512"/>
      <c r="D46" s="512"/>
      <c r="E46" s="512"/>
      <c r="F46" s="512"/>
      <c r="G46" s="512"/>
      <c r="H46" s="512"/>
      <c r="I46" s="512"/>
      <c r="J46" s="512"/>
    </row>
    <row r="47" spans="1:10">
      <c r="A47" s="512"/>
      <c r="B47" s="512"/>
      <c r="C47" s="512"/>
      <c r="D47" s="512"/>
      <c r="E47" s="512"/>
      <c r="F47" s="512"/>
      <c r="G47" s="512"/>
      <c r="H47" s="512"/>
      <c r="I47" s="512"/>
      <c r="J47" s="51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9"/>
  <sheetViews>
    <sheetView showGridLines="0" zoomScale="90" zoomScaleNormal="90" workbookViewId="0">
      <selection activeCell="E24" sqref="E24"/>
    </sheetView>
  </sheetViews>
  <sheetFormatPr defaultColWidth="9.08984375" defaultRowHeight="14.5"/>
  <cols>
    <col min="1" max="1" width="8.54296875" style="488" customWidth="1"/>
    <col min="2" max="2" width="51.36328125" style="488" customWidth="1"/>
    <col min="3" max="3" width="21.81640625" style="687" customWidth="1"/>
    <col min="4" max="4" width="21.90625" style="690" customWidth="1"/>
    <col min="5" max="5" width="9.08984375" style="488"/>
    <col min="6" max="6" width="14.54296875" customWidth="1"/>
    <col min="9" max="16384" width="9.08984375" style="488"/>
  </cols>
  <sheetData>
    <row r="1" spans="1:4">
      <c r="A1" s="487" t="s">
        <v>188</v>
      </c>
      <c r="B1" s="425" t="str">
        <f>Info!C2</f>
        <v>სს " პაშა ბანკი საქართველო"</v>
      </c>
      <c r="D1" s="687"/>
    </row>
    <row r="2" spans="1:4">
      <c r="A2" s="489" t="s">
        <v>189</v>
      </c>
      <c r="B2" s="614">
        <f>'1. key ratios'!B2</f>
        <v>44469</v>
      </c>
      <c r="D2" s="687"/>
    </row>
    <row r="3" spans="1:4">
      <c r="A3" s="490" t="s">
        <v>588</v>
      </c>
      <c r="D3" s="687"/>
    </row>
    <row r="5" spans="1:4" ht="90" customHeight="1">
      <c r="A5" s="777" t="s">
        <v>589</v>
      </c>
      <c r="B5" s="777"/>
      <c r="C5" s="594" t="s">
        <v>590</v>
      </c>
      <c r="D5" s="594" t="s">
        <v>591</v>
      </c>
    </row>
    <row r="6" spans="1:4">
      <c r="A6" s="517">
        <v>1</v>
      </c>
      <c r="B6" s="517" t="s">
        <v>592</v>
      </c>
      <c r="C6" s="688">
        <v>18744068.479999997</v>
      </c>
      <c r="D6" s="688">
        <v>706304.9</v>
      </c>
    </row>
    <row r="7" spans="1:4">
      <c r="A7" s="518">
        <v>2</v>
      </c>
      <c r="B7" s="517" t="s">
        <v>593</v>
      </c>
      <c r="C7" s="688">
        <f>SUM(C8:C11)</f>
        <v>4970055.9024219997</v>
      </c>
      <c r="D7" s="688">
        <f>SUM(D8:D11)</f>
        <v>0</v>
      </c>
    </row>
    <row r="8" spans="1:4">
      <c r="A8" s="519">
        <v>2.1</v>
      </c>
      <c r="B8" s="691" t="s">
        <v>594</v>
      </c>
      <c r="C8" s="689">
        <v>2066433.594422</v>
      </c>
      <c r="D8" s="689">
        <v>0</v>
      </c>
    </row>
    <row r="9" spans="1:4">
      <c r="A9" s="519">
        <v>2.2000000000000002</v>
      </c>
      <c r="B9" s="691" t="s">
        <v>595</v>
      </c>
      <c r="C9" s="689">
        <v>2903622.3079999997</v>
      </c>
      <c r="D9" s="689">
        <v>0</v>
      </c>
    </row>
    <row r="10" spans="1:4">
      <c r="A10" s="519">
        <v>2.2999999999999998</v>
      </c>
      <c r="B10" s="691" t="s">
        <v>596</v>
      </c>
      <c r="C10" s="689">
        <v>0</v>
      </c>
      <c r="D10" s="689">
        <v>0</v>
      </c>
    </row>
    <row r="11" spans="1:4">
      <c r="A11" s="519">
        <v>2.4</v>
      </c>
      <c r="B11" s="691" t="s">
        <v>597</v>
      </c>
      <c r="C11" s="689">
        <v>0</v>
      </c>
      <c r="D11" s="689">
        <v>0</v>
      </c>
    </row>
    <row r="12" spans="1:4">
      <c r="A12" s="517">
        <v>3</v>
      </c>
      <c r="B12" s="517" t="s">
        <v>598</v>
      </c>
      <c r="C12" s="688">
        <f>SUM(C13:C18)</f>
        <v>5734058.0424219994</v>
      </c>
      <c r="D12" s="688">
        <f>SUM(D13:D18)</f>
        <v>43112.5</v>
      </c>
    </row>
    <row r="13" spans="1:4">
      <c r="A13" s="519">
        <v>3.1</v>
      </c>
      <c r="B13" s="691" t="s">
        <v>599</v>
      </c>
      <c r="C13" s="689">
        <v>236796.81</v>
      </c>
      <c r="D13" s="689">
        <v>0</v>
      </c>
    </row>
    <row r="14" spans="1:4">
      <c r="A14" s="519">
        <v>3.2</v>
      </c>
      <c r="B14" s="691" t="s">
        <v>600</v>
      </c>
      <c r="C14" s="689">
        <v>1142282.871744999</v>
      </c>
      <c r="D14" s="689">
        <v>40000</v>
      </c>
    </row>
    <row r="15" spans="1:4">
      <c r="A15" s="519">
        <v>3.3</v>
      </c>
      <c r="B15" s="691" t="s">
        <v>601</v>
      </c>
      <c r="C15" s="689">
        <v>832066.97174399998</v>
      </c>
      <c r="D15" s="689">
        <v>0</v>
      </c>
    </row>
    <row r="16" spans="1:4">
      <c r="A16" s="519">
        <v>3.4</v>
      </c>
      <c r="B16" s="691" t="s">
        <v>602</v>
      </c>
      <c r="C16" s="689">
        <v>0</v>
      </c>
      <c r="D16" s="689">
        <v>0</v>
      </c>
    </row>
    <row r="17" spans="1:4">
      <c r="A17" s="518">
        <v>3.5</v>
      </c>
      <c r="B17" s="691" t="s">
        <v>603</v>
      </c>
      <c r="C17" s="689">
        <v>280222.38893300004</v>
      </c>
      <c r="D17" s="689">
        <v>3112.5</v>
      </c>
    </row>
    <row r="18" spans="1:4">
      <c r="A18" s="519">
        <v>3.6</v>
      </c>
      <c r="B18" s="691" t="s">
        <v>604</v>
      </c>
      <c r="C18" s="689">
        <v>3242689</v>
      </c>
      <c r="D18" s="689">
        <v>0</v>
      </c>
    </row>
    <row r="19" spans="1:4">
      <c r="A19" s="520">
        <v>4</v>
      </c>
      <c r="B19" s="517" t="s">
        <v>605</v>
      </c>
      <c r="C19" s="688">
        <f>C6+C7-C12</f>
        <v>17980066.339999996</v>
      </c>
      <c r="D19" s="688">
        <f>D6+D7-D12</f>
        <v>663192.4</v>
      </c>
    </row>
  </sheetData>
  <mergeCells count="1">
    <mergeCell ref="A5:B5"/>
  </mergeCells>
  <pageMargins left="0.7" right="0.7" top="0.75" bottom="0.75" header="0.3" footer="0.3"/>
  <pageSetup orientation="portrait" horizontalDpi="4294967292"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27" sqref="C27"/>
    </sheetView>
  </sheetViews>
  <sheetFormatPr defaultColWidth="9.08984375" defaultRowHeight="12"/>
  <cols>
    <col min="1" max="1" width="6.81640625" style="488" customWidth="1"/>
    <col min="2" max="2" width="77.08984375" style="488" customWidth="1"/>
    <col min="3" max="3" width="16.90625" style="488" customWidth="1"/>
    <col min="4" max="4" width="28.90625" style="510" customWidth="1"/>
    <col min="5" max="16384" width="9.08984375" style="488"/>
  </cols>
  <sheetData>
    <row r="1" spans="1:4" ht="13">
      <c r="A1" s="487" t="s">
        <v>188</v>
      </c>
      <c r="B1" s="425" t="str">
        <f>Info!C2</f>
        <v>სს " პაშა ბანკი საქართველო"</v>
      </c>
      <c r="D1" s="488"/>
    </row>
    <row r="2" spans="1:4">
      <c r="A2" s="489" t="s">
        <v>189</v>
      </c>
      <c r="B2" s="614">
        <f>'1. key ratios'!B2</f>
        <v>44469</v>
      </c>
      <c r="D2" s="488"/>
    </row>
    <row r="3" spans="1:4">
      <c r="A3" s="490" t="s">
        <v>606</v>
      </c>
      <c r="D3" s="488"/>
    </row>
    <row r="4" spans="1:4">
      <c r="A4" s="490"/>
      <c r="D4" s="488"/>
    </row>
    <row r="5" spans="1:4" ht="15" customHeight="1">
      <c r="A5" s="778" t="s">
        <v>607</v>
      </c>
      <c r="B5" s="779"/>
      <c r="C5" s="768" t="s">
        <v>608</v>
      </c>
      <c r="D5" s="782" t="s">
        <v>609</v>
      </c>
    </row>
    <row r="6" spans="1:4" ht="45" customHeight="1">
      <c r="A6" s="780"/>
      <c r="B6" s="781"/>
      <c r="C6" s="771"/>
      <c r="D6" s="782"/>
    </row>
    <row r="7" spans="1:4">
      <c r="A7" s="513">
        <v>1</v>
      </c>
      <c r="B7" s="495" t="s">
        <v>610</v>
      </c>
      <c r="C7" s="612">
        <v>23749042.6525</v>
      </c>
      <c r="D7" s="521"/>
    </row>
    <row r="8" spans="1:4">
      <c r="A8" s="504">
        <v>2</v>
      </c>
      <c r="B8" s="504" t="s">
        <v>611</v>
      </c>
      <c r="C8" s="612">
        <v>9588033.9119000006</v>
      </c>
      <c r="D8" s="521"/>
    </row>
    <row r="9" spans="1:4">
      <c r="A9" s="504">
        <v>3</v>
      </c>
      <c r="B9" s="692" t="s">
        <v>612</v>
      </c>
      <c r="C9" s="612">
        <v>0</v>
      </c>
      <c r="D9" s="521"/>
    </row>
    <row r="10" spans="1:4">
      <c r="A10" s="504">
        <v>4</v>
      </c>
      <c r="B10" s="693" t="s">
        <v>613</v>
      </c>
      <c r="C10" s="612">
        <f>SUM(C11:C18)</f>
        <v>1613128.1385999999</v>
      </c>
      <c r="D10" s="521"/>
    </row>
    <row r="11" spans="1:4">
      <c r="A11" s="504">
        <v>5</v>
      </c>
      <c r="B11" s="692" t="s">
        <v>614</v>
      </c>
      <c r="C11" s="612">
        <v>0</v>
      </c>
      <c r="D11" s="521"/>
    </row>
    <row r="12" spans="1:4">
      <c r="A12" s="504">
        <v>6</v>
      </c>
      <c r="B12" s="692" t="s">
        <v>615</v>
      </c>
      <c r="C12" s="612">
        <v>0</v>
      </c>
      <c r="D12" s="521"/>
    </row>
    <row r="13" spans="1:4">
      <c r="A13" s="504">
        <v>7</v>
      </c>
      <c r="B13" s="692" t="s">
        <v>616</v>
      </c>
      <c r="C13" s="612">
        <v>1202515.9493</v>
      </c>
      <c r="D13" s="521"/>
    </row>
    <row r="14" spans="1:4">
      <c r="A14" s="504">
        <v>8</v>
      </c>
      <c r="B14" s="692" t="s">
        <v>617</v>
      </c>
      <c r="C14" s="612">
        <v>0</v>
      </c>
      <c r="D14" s="504"/>
    </row>
    <row r="15" spans="1:4">
      <c r="A15" s="504">
        <v>9</v>
      </c>
      <c r="B15" s="692" t="s">
        <v>618</v>
      </c>
      <c r="C15" s="612">
        <v>0</v>
      </c>
      <c r="D15" s="504"/>
    </row>
    <row r="16" spans="1:4">
      <c r="A16" s="504">
        <v>10</v>
      </c>
      <c r="B16" s="692" t="s">
        <v>619</v>
      </c>
      <c r="C16" s="612">
        <v>0</v>
      </c>
      <c r="D16" s="521"/>
    </row>
    <row r="17" spans="1:4">
      <c r="A17" s="504">
        <v>11</v>
      </c>
      <c r="B17" s="692" t="s">
        <v>620</v>
      </c>
      <c r="C17" s="612">
        <v>0</v>
      </c>
      <c r="D17" s="504"/>
    </row>
    <row r="18" spans="1:4">
      <c r="A18" s="504">
        <v>12</v>
      </c>
      <c r="B18" s="692" t="s">
        <v>621</v>
      </c>
      <c r="C18" s="612">
        <v>410612.18930000003</v>
      </c>
      <c r="D18" s="521"/>
    </row>
    <row r="19" spans="1:4">
      <c r="A19" s="513">
        <v>13</v>
      </c>
      <c r="B19" s="522" t="s">
        <v>622</v>
      </c>
      <c r="C19" s="613">
        <f>C7+C8+C9-C10</f>
        <v>31723948.425800003</v>
      </c>
      <c r="D19" s="523"/>
    </row>
    <row r="22" spans="1:4">
      <c r="B22" s="487"/>
    </row>
    <row r="23" spans="1:4">
      <c r="B23" s="489"/>
    </row>
    <row r="24" spans="1:4">
      <c r="B24" s="490"/>
    </row>
  </sheetData>
  <mergeCells count="3">
    <mergeCell ref="A5:B6"/>
    <mergeCell ref="C5:C6"/>
    <mergeCell ref="D5:D6"/>
  </mergeCells>
  <pageMargins left="0.7" right="0.7" top="0.75" bottom="0.75" header="0.3" footer="0.3"/>
  <pageSetup paperSize="9"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9"/>
  <sheetViews>
    <sheetView showGridLines="0" tabSelected="1" zoomScale="90" zoomScaleNormal="90" workbookViewId="0">
      <selection activeCell="B8" sqref="B8"/>
    </sheetView>
  </sheetViews>
  <sheetFormatPr defaultColWidth="9.08984375" defaultRowHeight="12"/>
  <cols>
    <col min="1" max="1" width="11.90625" style="488" bestFit="1" customWidth="1"/>
    <col min="2" max="2" width="35.453125" style="488" customWidth="1"/>
    <col min="3" max="21" width="14.90625" style="488" customWidth="1"/>
    <col min="22" max="22" width="20" style="488" customWidth="1"/>
    <col min="23" max="16384" width="9.08984375" style="488"/>
  </cols>
  <sheetData>
    <row r="1" spans="1:22" ht="13">
      <c r="A1" s="487" t="s">
        <v>188</v>
      </c>
      <c r="B1" s="425" t="str">
        <f>Info!C2</f>
        <v>სს " პაშა ბანკი საქართველო"</v>
      </c>
    </row>
    <row r="2" spans="1:22">
      <c r="A2" s="489" t="s">
        <v>189</v>
      </c>
      <c r="B2" s="614">
        <f>'1. key ratios'!B2</f>
        <v>44469</v>
      </c>
      <c r="C2" s="499"/>
    </row>
    <row r="3" spans="1:22">
      <c r="A3" s="490" t="s">
        <v>623</v>
      </c>
    </row>
    <row r="5" spans="1:22" ht="15" customHeight="1">
      <c r="A5" s="768" t="s">
        <v>624</v>
      </c>
      <c r="B5" s="770"/>
      <c r="C5" s="785" t="s">
        <v>625</v>
      </c>
      <c r="D5" s="786"/>
      <c r="E5" s="786"/>
      <c r="F5" s="786"/>
      <c r="G5" s="786"/>
      <c r="H5" s="786"/>
      <c r="I5" s="786"/>
      <c r="J5" s="786"/>
      <c r="K5" s="786"/>
      <c r="L5" s="786"/>
      <c r="M5" s="786"/>
      <c r="N5" s="786"/>
      <c r="O5" s="786"/>
      <c r="P5" s="786"/>
      <c r="Q5" s="786"/>
      <c r="R5" s="786"/>
      <c r="S5" s="786"/>
      <c r="T5" s="786"/>
      <c r="U5" s="787"/>
      <c r="V5" s="524"/>
    </row>
    <row r="6" spans="1:22">
      <c r="A6" s="783"/>
      <c r="B6" s="784"/>
      <c r="C6" s="788" t="s">
        <v>68</v>
      </c>
      <c r="D6" s="790" t="s">
        <v>626</v>
      </c>
      <c r="E6" s="790"/>
      <c r="F6" s="791"/>
      <c r="G6" s="792" t="s">
        <v>627</v>
      </c>
      <c r="H6" s="793"/>
      <c r="I6" s="793"/>
      <c r="J6" s="793"/>
      <c r="K6" s="794"/>
      <c r="L6" s="525"/>
      <c r="M6" s="795" t="s">
        <v>628</v>
      </c>
      <c r="N6" s="795"/>
      <c r="O6" s="775"/>
      <c r="P6" s="775"/>
      <c r="Q6" s="775"/>
      <c r="R6" s="775"/>
      <c r="S6" s="775"/>
      <c r="T6" s="775"/>
      <c r="U6" s="775"/>
      <c r="V6" s="526"/>
    </row>
    <row r="7" spans="1:22" ht="36">
      <c r="A7" s="771"/>
      <c r="B7" s="773"/>
      <c r="C7" s="789"/>
      <c r="D7" s="527"/>
      <c r="E7" s="501" t="s">
        <v>629</v>
      </c>
      <c r="F7" s="558" t="s">
        <v>630</v>
      </c>
      <c r="G7" s="499"/>
      <c r="H7" s="558" t="s">
        <v>629</v>
      </c>
      <c r="I7" s="501" t="s">
        <v>656</v>
      </c>
      <c r="J7" s="501" t="s">
        <v>631</v>
      </c>
      <c r="K7" s="558" t="s">
        <v>632</v>
      </c>
      <c r="L7" s="528"/>
      <c r="M7" s="545" t="s">
        <v>633</v>
      </c>
      <c r="N7" s="501" t="s">
        <v>631</v>
      </c>
      <c r="O7" s="501" t="s">
        <v>634</v>
      </c>
      <c r="P7" s="501" t="s">
        <v>635</v>
      </c>
      <c r="Q7" s="501" t="s">
        <v>636</v>
      </c>
      <c r="R7" s="501" t="s">
        <v>637</v>
      </c>
      <c r="S7" s="501" t="s">
        <v>638</v>
      </c>
      <c r="T7" s="529" t="s">
        <v>639</v>
      </c>
      <c r="U7" s="501" t="s">
        <v>640</v>
      </c>
      <c r="V7" s="524"/>
    </row>
    <row r="8" spans="1:22">
      <c r="A8" s="530">
        <v>1</v>
      </c>
      <c r="B8" s="495" t="s">
        <v>641</v>
      </c>
      <c r="C8" s="613">
        <v>284026274</v>
      </c>
      <c r="D8" s="612">
        <v>223760179</v>
      </c>
      <c r="E8" s="612">
        <v>4108351</v>
      </c>
      <c r="F8" s="612">
        <v>17454076</v>
      </c>
      <c r="G8" s="612">
        <v>28542146</v>
      </c>
      <c r="H8" s="612">
        <v>58165</v>
      </c>
      <c r="I8" s="612">
        <v>730734</v>
      </c>
      <c r="J8" s="612">
        <v>1000</v>
      </c>
      <c r="K8" s="612">
        <v>5281366</v>
      </c>
      <c r="L8" s="612">
        <v>31723948</v>
      </c>
      <c r="M8" s="612">
        <v>4643373</v>
      </c>
      <c r="N8" s="612">
        <v>99238</v>
      </c>
      <c r="O8" s="612">
        <v>9012485</v>
      </c>
      <c r="P8" s="612">
        <v>5284830</v>
      </c>
      <c r="Q8" s="612">
        <v>3415974</v>
      </c>
      <c r="R8" s="612">
        <v>8922</v>
      </c>
      <c r="S8" s="612" t="s">
        <v>771</v>
      </c>
      <c r="T8" s="612">
        <v>221</v>
      </c>
      <c r="U8" s="612">
        <v>1544874</v>
      </c>
      <c r="V8" s="512"/>
    </row>
    <row r="9" spans="1:22">
      <c r="A9" s="503">
        <v>1.1000000000000001</v>
      </c>
      <c r="B9" s="531" t="s">
        <v>642</v>
      </c>
      <c r="C9" s="635" t="s">
        <v>772</v>
      </c>
      <c r="D9" s="612" t="s">
        <v>772</v>
      </c>
      <c r="E9" s="612" t="s">
        <v>773</v>
      </c>
      <c r="F9" s="612" t="s">
        <v>774</v>
      </c>
      <c r="G9" s="612" t="s">
        <v>773</v>
      </c>
      <c r="H9" s="612" t="s">
        <v>775</v>
      </c>
      <c r="I9" s="612" t="s">
        <v>775</v>
      </c>
      <c r="J9" s="612" t="s">
        <v>775</v>
      </c>
      <c r="K9" s="612" t="s">
        <v>776</v>
      </c>
      <c r="L9" s="612" t="s">
        <v>773</v>
      </c>
      <c r="M9" s="612" t="s">
        <v>775</v>
      </c>
      <c r="N9" s="612" t="s">
        <v>777</v>
      </c>
      <c r="O9" s="612" t="s">
        <v>775</v>
      </c>
      <c r="P9" s="612" t="s">
        <v>775</v>
      </c>
      <c r="Q9" s="612" t="s">
        <v>775</v>
      </c>
      <c r="R9" s="612" t="s">
        <v>771</v>
      </c>
      <c r="S9" s="612" t="s">
        <v>771</v>
      </c>
      <c r="T9" s="612" t="s">
        <v>771</v>
      </c>
      <c r="U9" s="612"/>
      <c r="V9" s="512"/>
    </row>
    <row r="10" spans="1:22">
      <c r="A10" s="503">
        <v>1.2</v>
      </c>
      <c r="B10" s="531" t="s">
        <v>643</v>
      </c>
      <c r="C10" s="635" t="s">
        <v>772</v>
      </c>
      <c r="D10" s="612" t="s">
        <v>772</v>
      </c>
      <c r="E10" s="612" t="s">
        <v>773</v>
      </c>
      <c r="F10" s="612" t="s">
        <v>774</v>
      </c>
      <c r="G10" s="612" t="s">
        <v>773</v>
      </c>
      <c r="H10" s="612" t="s">
        <v>775</v>
      </c>
      <c r="I10" s="612" t="s">
        <v>775</v>
      </c>
      <c r="J10" s="612" t="s">
        <v>775</v>
      </c>
      <c r="K10" s="612" t="s">
        <v>776</v>
      </c>
      <c r="L10" s="612" t="s">
        <v>773</v>
      </c>
      <c r="M10" s="612" t="s">
        <v>775</v>
      </c>
      <c r="N10" s="612" t="s">
        <v>777</v>
      </c>
      <c r="O10" s="612" t="s">
        <v>775</v>
      </c>
      <c r="P10" s="612" t="s">
        <v>775</v>
      </c>
      <c r="Q10" s="612" t="s">
        <v>775</v>
      </c>
      <c r="R10" s="612" t="s">
        <v>771</v>
      </c>
      <c r="S10" s="612" t="s">
        <v>771</v>
      </c>
      <c r="T10" s="612" t="s">
        <v>771</v>
      </c>
      <c r="U10" s="612"/>
      <c r="V10" s="512"/>
    </row>
    <row r="11" spans="1:22">
      <c r="A11" s="503">
        <v>1.3</v>
      </c>
      <c r="B11" s="531" t="s">
        <v>644</v>
      </c>
      <c r="C11" s="635" t="s">
        <v>772</v>
      </c>
      <c r="D11" s="612" t="s">
        <v>772</v>
      </c>
      <c r="E11" s="612" t="s">
        <v>773</v>
      </c>
      <c r="F11" s="612" t="s">
        <v>774</v>
      </c>
      <c r="G11" s="612" t="s">
        <v>773</v>
      </c>
      <c r="H11" s="612" t="s">
        <v>775</v>
      </c>
      <c r="I11" s="612" t="s">
        <v>775</v>
      </c>
      <c r="J11" s="612" t="s">
        <v>775</v>
      </c>
      <c r="K11" s="612" t="s">
        <v>776</v>
      </c>
      <c r="L11" s="612" t="s">
        <v>773</v>
      </c>
      <c r="M11" s="612" t="s">
        <v>775</v>
      </c>
      <c r="N11" s="612" t="s">
        <v>777</v>
      </c>
      <c r="O11" s="612" t="s">
        <v>775</v>
      </c>
      <c r="P11" s="612" t="s">
        <v>775</v>
      </c>
      <c r="Q11" s="612" t="s">
        <v>775</v>
      </c>
      <c r="R11" s="612" t="s">
        <v>771</v>
      </c>
      <c r="S11" s="612" t="s">
        <v>771</v>
      </c>
      <c r="T11" s="612" t="s">
        <v>771</v>
      </c>
      <c r="U11" s="612"/>
      <c r="V11" s="512"/>
    </row>
    <row r="12" spans="1:22">
      <c r="A12" s="503">
        <v>1.4</v>
      </c>
      <c r="B12" s="531" t="s">
        <v>645</v>
      </c>
      <c r="C12" s="635">
        <v>33201755</v>
      </c>
      <c r="D12" s="612">
        <v>33201755</v>
      </c>
      <c r="E12" s="612" t="s">
        <v>773</v>
      </c>
      <c r="F12" s="612" t="s">
        <v>774</v>
      </c>
      <c r="G12" s="612" t="s">
        <v>773</v>
      </c>
      <c r="H12" s="612" t="s">
        <v>775</v>
      </c>
      <c r="I12" s="612" t="s">
        <v>775</v>
      </c>
      <c r="J12" s="612" t="s">
        <v>775</v>
      </c>
      <c r="K12" s="612" t="s">
        <v>776</v>
      </c>
      <c r="L12" s="612" t="s">
        <v>773</v>
      </c>
      <c r="M12" s="612" t="s">
        <v>775</v>
      </c>
      <c r="N12" s="612" t="s">
        <v>777</v>
      </c>
      <c r="O12" s="612" t="s">
        <v>775</v>
      </c>
      <c r="P12" s="612" t="s">
        <v>775</v>
      </c>
      <c r="Q12" s="612" t="s">
        <v>775</v>
      </c>
      <c r="R12" s="612" t="s">
        <v>771</v>
      </c>
      <c r="S12" s="612" t="s">
        <v>771</v>
      </c>
      <c r="T12" s="612" t="s">
        <v>771</v>
      </c>
      <c r="U12" s="612"/>
      <c r="V12" s="512"/>
    </row>
    <row r="13" spans="1:22" s="510" customFormat="1">
      <c r="A13" s="504">
        <v>1.5</v>
      </c>
      <c r="B13" s="551" t="s">
        <v>646</v>
      </c>
      <c r="C13" s="706">
        <v>214548543.32662699</v>
      </c>
      <c r="D13" s="615">
        <v>162566045.41211</v>
      </c>
      <c r="E13" s="615">
        <v>3820196.3804000001</v>
      </c>
      <c r="F13" s="615">
        <v>17038247.747964002</v>
      </c>
      <c r="G13" s="615">
        <v>26564379.458257001</v>
      </c>
      <c r="H13" s="615">
        <v>0</v>
      </c>
      <c r="I13" s="615">
        <v>3.5999924875795841E-5</v>
      </c>
      <c r="J13" s="615">
        <v>0</v>
      </c>
      <c r="K13" s="615">
        <v>5281298.8891000003</v>
      </c>
      <c r="L13" s="615">
        <v>25418118.456259999</v>
      </c>
      <c r="M13" s="615">
        <v>3196740.1594920005</v>
      </c>
      <c r="N13" s="615">
        <v>0</v>
      </c>
      <c r="O13" s="615">
        <v>6053640.2629879992</v>
      </c>
      <c r="P13" s="615">
        <v>4729577.1326000001</v>
      </c>
      <c r="Q13" s="615">
        <v>3415973.4992999998</v>
      </c>
      <c r="R13" s="615">
        <v>0</v>
      </c>
      <c r="S13" s="615">
        <v>0</v>
      </c>
      <c r="T13" s="615">
        <v>0</v>
      </c>
      <c r="U13" s="615">
        <v>1167927.2</v>
      </c>
      <c r="V13" s="516"/>
    </row>
    <row r="14" spans="1:22" s="510" customFormat="1">
      <c r="A14" s="504">
        <v>1.6</v>
      </c>
      <c r="B14" s="551" t="s">
        <v>647</v>
      </c>
      <c r="C14" s="706">
        <v>36275975.792373002</v>
      </c>
      <c r="D14" s="615">
        <v>27992379.233890001</v>
      </c>
      <c r="E14" s="615">
        <v>288154.81</v>
      </c>
      <c r="F14" s="615">
        <v>415828.16843600001</v>
      </c>
      <c r="G14" s="615">
        <v>1977766.589043</v>
      </c>
      <c r="H14" s="615">
        <v>58164.78</v>
      </c>
      <c r="I14" s="615">
        <v>730733.60576399998</v>
      </c>
      <c r="J14" s="615">
        <v>1000</v>
      </c>
      <c r="K14" s="615">
        <v>67.08</v>
      </c>
      <c r="L14" s="615">
        <v>6305829.9694400001</v>
      </c>
      <c r="M14" s="615">
        <v>1446632.939208</v>
      </c>
      <c r="N14" s="615">
        <v>99237.91</v>
      </c>
      <c r="O14" s="615">
        <v>2958845.2266120003</v>
      </c>
      <c r="P14" s="615">
        <v>555252.61</v>
      </c>
      <c r="Q14" s="615">
        <v>0</v>
      </c>
      <c r="R14" s="615">
        <v>8921.5</v>
      </c>
      <c r="S14" s="615">
        <v>0</v>
      </c>
      <c r="T14" s="615">
        <v>221.1568</v>
      </c>
      <c r="U14" s="615">
        <v>376946.9068</v>
      </c>
      <c r="V14" s="516"/>
    </row>
    <row r="15" spans="1:22" s="510" customFormat="1">
      <c r="A15" s="707">
        <v>2</v>
      </c>
      <c r="B15" s="513" t="s">
        <v>648</v>
      </c>
      <c r="C15" s="617">
        <f>C17+C19+C20</f>
        <v>38399813</v>
      </c>
      <c r="D15" s="615">
        <f>D17+D19+D20</f>
        <v>38399813</v>
      </c>
      <c r="E15" s="615" t="s">
        <v>773</v>
      </c>
      <c r="F15" s="615" t="s">
        <v>774</v>
      </c>
      <c r="G15" s="615" t="s">
        <v>773</v>
      </c>
      <c r="H15" s="615" t="s">
        <v>775</v>
      </c>
      <c r="I15" s="615" t="s">
        <v>775</v>
      </c>
      <c r="J15" s="615" t="s">
        <v>775</v>
      </c>
      <c r="K15" s="615" t="s">
        <v>776</v>
      </c>
      <c r="L15" s="615" t="s">
        <v>773</v>
      </c>
      <c r="M15" s="615" t="s">
        <v>775</v>
      </c>
      <c r="N15" s="615" t="s">
        <v>777</v>
      </c>
      <c r="O15" s="615" t="s">
        <v>775</v>
      </c>
      <c r="P15" s="615" t="s">
        <v>775</v>
      </c>
      <c r="Q15" s="615" t="s">
        <v>775</v>
      </c>
      <c r="R15" s="615" t="s">
        <v>771</v>
      </c>
      <c r="S15" s="615" t="s">
        <v>771</v>
      </c>
      <c r="T15" s="615" t="s">
        <v>771</v>
      </c>
      <c r="U15" s="615"/>
      <c r="V15" s="516"/>
    </row>
    <row r="16" spans="1:22">
      <c r="A16" s="503">
        <v>2.1</v>
      </c>
      <c r="B16" s="531" t="s">
        <v>642</v>
      </c>
      <c r="C16" s="635" t="s">
        <v>772</v>
      </c>
      <c r="D16" s="612" t="s">
        <v>772</v>
      </c>
      <c r="E16" s="612" t="s">
        <v>773</v>
      </c>
      <c r="F16" s="612" t="s">
        <v>774</v>
      </c>
      <c r="G16" s="612" t="s">
        <v>773</v>
      </c>
      <c r="H16" s="612" t="s">
        <v>775</v>
      </c>
      <c r="I16" s="612" t="s">
        <v>775</v>
      </c>
      <c r="J16" s="612" t="s">
        <v>775</v>
      </c>
      <c r="K16" s="612" t="s">
        <v>776</v>
      </c>
      <c r="L16" s="612" t="s">
        <v>773</v>
      </c>
      <c r="M16" s="612" t="s">
        <v>775</v>
      </c>
      <c r="N16" s="612" t="s">
        <v>777</v>
      </c>
      <c r="O16" s="612" t="s">
        <v>775</v>
      </c>
      <c r="P16" s="612" t="s">
        <v>775</v>
      </c>
      <c r="Q16" s="612" t="s">
        <v>775</v>
      </c>
      <c r="R16" s="612" t="s">
        <v>771</v>
      </c>
      <c r="S16" s="612" t="s">
        <v>771</v>
      </c>
      <c r="T16" s="612" t="s">
        <v>771</v>
      </c>
      <c r="U16" s="612"/>
      <c r="V16" s="512"/>
    </row>
    <row r="17" spans="1:22">
      <c r="A17" s="503">
        <v>2.2000000000000002</v>
      </c>
      <c r="B17" s="531" t="s">
        <v>643</v>
      </c>
      <c r="C17" s="635">
        <v>5248000</v>
      </c>
      <c r="D17" s="612">
        <v>5248000</v>
      </c>
      <c r="E17" s="612"/>
      <c r="F17" s="612" t="s">
        <v>774</v>
      </c>
      <c r="G17" s="612" t="s">
        <v>773</v>
      </c>
      <c r="H17" s="612" t="s">
        <v>775</v>
      </c>
      <c r="I17" s="612" t="s">
        <v>775</v>
      </c>
      <c r="J17" s="612" t="s">
        <v>775</v>
      </c>
      <c r="K17" s="612" t="s">
        <v>776</v>
      </c>
      <c r="L17" s="612" t="s">
        <v>773</v>
      </c>
      <c r="M17" s="612" t="s">
        <v>775</v>
      </c>
      <c r="N17" s="612" t="s">
        <v>777</v>
      </c>
      <c r="O17" s="612" t="s">
        <v>775</v>
      </c>
      <c r="P17" s="612" t="s">
        <v>775</v>
      </c>
      <c r="Q17" s="612" t="s">
        <v>775</v>
      </c>
      <c r="R17" s="612" t="s">
        <v>771</v>
      </c>
      <c r="S17" s="612" t="s">
        <v>771</v>
      </c>
      <c r="T17" s="612" t="s">
        <v>771</v>
      </c>
      <c r="U17" s="612"/>
      <c r="V17" s="512"/>
    </row>
    <row r="18" spans="1:22">
      <c r="A18" s="503">
        <v>2.2999999999999998</v>
      </c>
      <c r="B18" s="531" t="s">
        <v>644</v>
      </c>
      <c r="C18" s="635" t="s">
        <v>772</v>
      </c>
      <c r="D18" s="612" t="s">
        <v>772</v>
      </c>
      <c r="E18" s="612" t="s">
        <v>773</v>
      </c>
      <c r="F18" s="612" t="s">
        <v>774</v>
      </c>
      <c r="G18" s="612" t="s">
        <v>773</v>
      </c>
      <c r="H18" s="612" t="s">
        <v>775</v>
      </c>
      <c r="I18" s="612" t="s">
        <v>775</v>
      </c>
      <c r="J18" s="612" t="s">
        <v>775</v>
      </c>
      <c r="K18" s="612" t="s">
        <v>776</v>
      </c>
      <c r="L18" s="612" t="s">
        <v>773</v>
      </c>
      <c r="M18" s="612" t="s">
        <v>775</v>
      </c>
      <c r="N18" s="612" t="s">
        <v>777</v>
      </c>
      <c r="O18" s="612" t="s">
        <v>775</v>
      </c>
      <c r="P18" s="612" t="s">
        <v>775</v>
      </c>
      <c r="Q18" s="612" t="s">
        <v>775</v>
      </c>
      <c r="R18" s="612" t="s">
        <v>771</v>
      </c>
      <c r="S18" s="612" t="s">
        <v>771</v>
      </c>
      <c r="T18" s="612" t="s">
        <v>771</v>
      </c>
      <c r="U18" s="612"/>
      <c r="V18" s="512"/>
    </row>
    <row r="19" spans="1:22">
      <c r="A19" s="503">
        <v>2.4</v>
      </c>
      <c r="B19" s="531" t="s">
        <v>645</v>
      </c>
      <c r="C19" s="635">
        <v>14000000</v>
      </c>
      <c r="D19" s="612">
        <v>14000000</v>
      </c>
      <c r="E19" s="612" t="s">
        <v>773</v>
      </c>
      <c r="F19" s="612" t="s">
        <v>774</v>
      </c>
      <c r="G19" s="612" t="s">
        <v>773</v>
      </c>
      <c r="H19" s="612" t="s">
        <v>775</v>
      </c>
      <c r="I19" s="612" t="s">
        <v>775</v>
      </c>
      <c r="J19" s="612" t="s">
        <v>775</v>
      </c>
      <c r="K19" s="612" t="s">
        <v>776</v>
      </c>
      <c r="L19" s="612" t="s">
        <v>773</v>
      </c>
      <c r="M19" s="612" t="s">
        <v>775</v>
      </c>
      <c r="N19" s="612" t="s">
        <v>777</v>
      </c>
      <c r="O19" s="612" t="s">
        <v>775</v>
      </c>
      <c r="P19" s="612" t="s">
        <v>775</v>
      </c>
      <c r="Q19" s="612" t="s">
        <v>775</v>
      </c>
      <c r="R19" s="612" t="s">
        <v>771</v>
      </c>
      <c r="S19" s="612" t="s">
        <v>771</v>
      </c>
      <c r="T19" s="612" t="s">
        <v>771</v>
      </c>
      <c r="U19" s="612"/>
      <c r="V19" s="512"/>
    </row>
    <row r="20" spans="1:22">
      <c r="A20" s="503">
        <v>2.5</v>
      </c>
      <c r="B20" s="531" t="s">
        <v>646</v>
      </c>
      <c r="C20" s="635">
        <v>19151813</v>
      </c>
      <c r="D20" s="612">
        <v>19151813</v>
      </c>
      <c r="E20" s="612" t="s">
        <v>773</v>
      </c>
      <c r="F20" s="612" t="s">
        <v>774</v>
      </c>
      <c r="G20" s="612" t="s">
        <v>773</v>
      </c>
      <c r="H20" s="612" t="s">
        <v>775</v>
      </c>
      <c r="I20" s="612" t="s">
        <v>775</v>
      </c>
      <c r="J20" s="612" t="s">
        <v>775</v>
      </c>
      <c r="K20" s="612" t="s">
        <v>776</v>
      </c>
      <c r="L20" s="612" t="s">
        <v>773</v>
      </c>
      <c r="M20" s="612" t="s">
        <v>775</v>
      </c>
      <c r="N20" s="612" t="s">
        <v>777</v>
      </c>
      <c r="O20" s="612" t="s">
        <v>775</v>
      </c>
      <c r="P20" s="612" t="s">
        <v>775</v>
      </c>
      <c r="Q20" s="612" t="s">
        <v>775</v>
      </c>
      <c r="R20" s="612" t="s">
        <v>771</v>
      </c>
      <c r="S20" s="612" t="s">
        <v>771</v>
      </c>
      <c r="T20" s="612" t="s">
        <v>771</v>
      </c>
      <c r="U20" s="612"/>
      <c r="V20" s="512"/>
    </row>
    <row r="21" spans="1:22">
      <c r="A21" s="503">
        <v>2.6</v>
      </c>
      <c r="B21" s="531" t="s">
        <v>647</v>
      </c>
      <c r="C21" s="635" t="s">
        <v>772</v>
      </c>
      <c r="D21" s="612" t="s">
        <v>772</v>
      </c>
      <c r="E21" s="612" t="s">
        <v>773</v>
      </c>
      <c r="F21" s="612" t="s">
        <v>774</v>
      </c>
      <c r="G21" s="612" t="s">
        <v>773</v>
      </c>
      <c r="H21" s="612" t="s">
        <v>775</v>
      </c>
      <c r="I21" s="612" t="s">
        <v>775</v>
      </c>
      <c r="J21" s="612" t="s">
        <v>775</v>
      </c>
      <c r="K21" s="612" t="s">
        <v>776</v>
      </c>
      <c r="L21" s="612" t="s">
        <v>773</v>
      </c>
      <c r="M21" s="612" t="s">
        <v>775</v>
      </c>
      <c r="N21" s="612" t="s">
        <v>777</v>
      </c>
      <c r="O21" s="612" t="s">
        <v>775</v>
      </c>
      <c r="P21" s="612" t="s">
        <v>775</v>
      </c>
      <c r="Q21" s="612" t="s">
        <v>775</v>
      </c>
      <c r="R21" s="612" t="s">
        <v>771</v>
      </c>
      <c r="S21" s="612" t="s">
        <v>771</v>
      </c>
      <c r="T21" s="612" t="s">
        <v>771</v>
      </c>
      <c r="U21" s="612"/>
      <c r="V21" s="512"/>
    </row>
    <row r="22" spans="1:22">
      <c r="A22" s="530">
        <v>3</v>
      </c>
      <c r="B22" s="495" t="s">
        <v>649</v>
      </c>
      <c r="C22" s="613">
        <v>55537290</v>
      </c>
      <c r="D22" s="612">
        <v>29238930</v>
      </c>
      <c r="E22" s="636" t="s">
        <v>775</v>
      </c>
      <c r="F22" s="636" t="s">
        <v>775</v>
      </c>
      <c r="G22" s="612">
        <v>578358</v>
      </c>
      <c r="H22" s="636" t="s">
        <v>775</v>
      </c>
      <c r="I22" s="636" t="s">
        <v>775</v>
      </c>
      <c r="J22" s="636" t="s">
        <v>775</v>
      </c>
      <c r="K22" s="636" t="s">
        <v>775</v>
      </c>
      <c r="L22" s="612" t="s">
        <v>773</v>
      </c>
      <c r="M22" s="636" t="s">
        <v>775</v>
      </c>
      <c r="N22" s="636" t="s">
        <v>777</v>
      </c>
      <c r="O22" s="636" t="s">
        <v>775</v>
      </c>
      <c r="P22" s="636" t="s">
        <v>775</v>
      </c>
      <c r="Q22" s="636" t="s">
        <v>775</v>
      </c>
      <c r="R22" s="636" t="s">
        <v>771</v>
      </c>
      <c r="S22" s="636" t="s">
        <v>771</v>
      </c>
      <c r="T22" s="636" t="s">
        <v>771</v>
      </c>
      <c r="U22" s="612"/>
      <c r="V22" s="512"/>
    </row>
    <row r="23" spans="1:22">
      <c r="A23" s="503">
        <v>3.1</v>
      </c>
      <c r="B23" s="531" t="s">
        <v>642</v>
      </c>
      <c r="C23" s="635" t="s">
        <v>772</v>
      </c>
      <c r="D23" s="612" t="s">
        <v>772</v>
      </c>
      <c r="E23" s="636" t="s">
        <v>775</v>
      </c>
      <c r="F23" s="636" t="s">
        <v>775</v>
      </c>
      <c r="G23" s="612" t="s">
        <v>773</v>
      </c>
      <c r="H23" s="636" t="s">
        <v>775</v>
      </c>
      <c r="I23" s="636" t="s">
        <v>775</v>
      </c>
      <c r="J23" s="636" t="s">
        <v>775</v>
      </c>
      <c r="K23" s="636" t="s">
        <v>775</v>
      </c>
      <c r="L23" s="612" t="s">
        <v>773</v>
      </c>
      <c r="M23" s="636" t="s">
        <v>775</v>
      </c>
      <c r="N23" s="636" t="s">
        <v>777</v>
      </c>
      <c r="O23" s="636" t="s">
        <v>775</v>
      </c>
      <c r="P23" s="636" t="s">
        <v>775</v>
      </c>
      <c r="Q23" s="636" t="s">
        <v>775</v>
      </c>
      <c r="R23" s="636" t="s">
        <v>771</v>
      </c>
      <c r="S23" s="636" t="s">
        <v>771</v>
      </c>
      <c r="T23" s="636" t="s">
        <v>771</v>
      </c>
      <c r="U23" s="612"/>
      <c r="V23" s="512"/>
    </row>
    <row r="24" spans="1:22">
      <c r="A24" s="503">
        <v>3.2</v>
      </c>
      <c r="B24" s="531" t="s">
        <v>643</v>
      </c>
      <c r="C24" s="635" t="s">
        <v>772</v>
      </c>
      <c r="D24" s="612" t="s">
        <v>772</v>
      </c>
      <c r="E24" s="636" t="s">
        <v>775</v>
      </c>
      <c r="F24" s="636" t="s">
        <v>775</v>
      </c>
      <c r="G24" s="612" t="s">
        <v>773</v>
      </c>
      <c r="H24" s="636" t="s">
        <v>775</v>
      </c>
      <c r="I24" s="636" t="s">
        <v>775</v>
      </c>
      <c r="J24" s="636" t="s">
        <v>775</v>
      </c>
      <c r="K24" s="636" t="s">
        <v>775</v>
      </c>
      <c r="L24" s="612" t="s">
        <v>773</v>
      </c>
      <c r="M24" s="636" t="s">
        <v>775</v>
      </c>
      <c r="N24" s="636" t="s">
        <v>777</v>
      </c>
      <c r="O24" s="636" t="s">
        <v>775</v>
      </c>
      <c r="P24" s="636" t="s">
        <v>775</v>
      </c>
      <c r="Q24" s="636" t="s">
        <v>775</v>
      </c>
      <c r="R24" s="636" t="s">
        <v>771</v>
      </c>
      <c r="S24" s="636" t="s">
        <v>771</v>
      </c>
      <c r="T24" s="636" t="s">
        <v>771</v>
      </c>
      <c r="U24" s="612"/>
      <c r="V24" s="512"/>
    </row>
    <row r="25" spans="1:22">
      <c r="A25" s="503">
        <v>3.3</v>
      </c>
      <c r="B25" s="531" t="s">
        <v>644</v>
      </c>
      <c r="C25" s="635">
        <v>300000</v>
      </c>
      <c r="D25" s="612">
        <v>300000</v>
      </c>
      <c r="E25" s="636" t="s">
        <v>775</v>
      </c>
      <c r="F25" s="636" t="s">
        <v>775</v>
      </c>
      <c r="G25" s="612" t="s">
        <v>773</v>
      </c>
      <c r="H25" s="636" t="s">
        <v>775</v>
      </c>
      <c r="I25" s="636" t="s">
        <v>775</v>
      </c>
      <c r="J25" s="636" t="s">
        <v>775</v>
      </c>
      <c r="K25" s="636" t="s">
        <v>775</v>
      </c>
      <c r="L25" s="612" t="s">
        <v>773</v>
      </c>
      <c r="M25" s="636" t="s">
        <v>775</v>
      </c>
      <c r="N25" s="636" t="s">
        <v>777</v>
      </c>
      <c r="O25" s="636" t="s">
        <v>775</v>
      </c>
      <c r="P25" s="636" t="s">
        <v>775</v>
      </c>
      <c r="Q25" s="636" t="s">
        <v>775</v>
      </c>
      <c r="R25" s="636" t="s">
        <v>771</v>
      </c>
      <c r="S25" s="636" t="s">
        <v>771</v>
      </c>
      <c r="T25" s="636" t="s">
        <v>771</v>
      </c>
      <c r="U25" s="612"/>
      <c r="V25" s="512"/>
    </row>
    <row r="26" spans="1:22">
      <c r="A26" s="503">
        <v>3.4</v>
      </c>
      <c r="B26" s="531" t="s">
        <v>645</v>
      </c>
      <c r="C26" s="635">
        <v>4575566</v>
      </c>
      <c r="D26" s="612">
        <v>1660443</v>
      </c>
      <c r="E26" s="636" t="s">
        <v>775</v>
      </c>
      <c r="F26" s="636" t="s">
        <v>775</v>
      </c>
      <c r="G26" s="612" t="s">
        <v>773</v>
      </c>
      <c r="H26" s="636" t="s">
        <v>775</v>
      </c>
      <c r="I26" s="636" t="s">
        <v>775</v>
      </c>
      <c r="J26" s="636" t="s">
        <v>775</v>
      </c>
      <c r="K26" s="636" t="s">
        <v>775</v>
      </c>
      <c r="L26" s="612" t="s">
        <v>773</v>
      </c>
      <c r="M26" s="636" t="s">
        <v>775</v>
      </c>
      <c r="N26" s="636" t="s">
        <v>777</v>
      </c>
      <c r="O26" s="636" t="s">
        <v>775</v>
      </c>
      <c r="P26" s="636" t="s">
        <v>775</v>
      </c>
      <c r="Q26" s="636" t="s">
        <v>775</v>
      </c>
      <c r="R26" s="636" t="s">
        <v>771</v>
      </c>
      <c r="S26" s="636" t="s">
        <v>771</v>
      </c>
      <c r="T26" s="636" t="s">
        <v>771</v>
      </c>
      <c r="U26" s="612"/>
      <c r="V26" s="512"/>
    </row>
    <row r="27" spans="1:22">
      <c r="A27" s="503">
        <v>3.5</v>
      </c>
      <c r="B27" s="531" t="s">
        <v>646</v>
      </c>
      <c r="C27" s="635">
        <v>50661724</v>
      </c>
      <c r="D27" s="612">
        <v>27278486</v>
      </c>
      <c r="E27" s="636" t="s">
        <v>775</v>
      </c>
      <c r="F27" s="636" t="s">
        <v>775</v>
      </c>
      <c r="G27" s="612">
        <v>578358</v>
      </c>
      <c r="H27" s="636" t="s">
        <v>775</v>
      </c>
      <c r="I27" s="636" t="s">
        <v>775</v>
      </c>
      <c r="J27" s="636" t="s">
        <v>775</v>
      </c>
      <c r="K27" s="636" t="s">
        <v>775</v>
      </c>
      <c r="L27" s="612" t="s">
        <v>773</v>
      </c>
      <c r="M27" s="636" t="s">
        <v>775</v>
      </c>
      <c r="N27" s="636" t="s">
        <v>777</v>
      </c>
      <c r="O27" s="636" t="s">
        <v>775</v>
      </c>
      <c r="P27" s="636" t="s">
        <v>775</v>
      </c>
      <c r="Q27" s="636" t="s">
        <v>775</v>
      </c>
      <c r="R27" s="636" t="s">
        <v>771</v>
      </c>
      <c r="S27" s="636" t="s">
        <v>771</v>
      </c>
      <c r="T27" s="636" t="s">
        <v>771</v>
      </c>
      <c r="U27" s="612"/>
      <c r="V27" s="512"/>
    </row>
    <row r="28" spans="1:22">
      <c r="A28" s="503">
        <v>3.6</v>
      </c>
      <c r="B28" s="531" t="s">
        <v>647</v>
      </c>
      <c r="C28" s="635" t="s">
        <v>772</v>
      </c>
      <c r="D28" s="612" t="s">
        <v>772</v>
      </c>
      <c r="E28" s="636" t="s">
        <v>775</v>
      </c>
      <c r="F28" s="636" t="s">
        <v>775</v>
      </c>
      <c r="G28" s="612" t="s">
        <v>773</v>
      </c>
      <c r="H28" s="636" t="s">
        <v>775</v>
      </c>
      <c r="I28" s="636" t="s">
        <v>775</v>
      </c>
      <c r="J28" s="636" t="s">
        <v>775</v>
      </c>
      <c r="K28" s="636" t="s">
        <v>775</v>
      </c>
      <c r="L28" s="612" t="s">
        <v>773</v>
      </c>
      <c r="M28" s="636" t="s">
        <v>775</v>
      </c>
      <c r="N28" s="636" t="s">
        <v>777</v>
      </c>
      <c r="O28" s="636" t="s">
        <v>775</v>
      </c>
      <c r="P28" s="636" t="s">
        <v>775</v>
      </c>
      <c r="Q28" s="636" t="s">
        <v>775</v>
      </c>
      <c r="R28" s="636" t="s">
        <v>771</v>
      </c>
      <c r="S28" s="636" t="s">
        <v>771</v>
      </c>
      <c r="T28" s="636" t="s">
        <v>771</v>
      </c>
      <c r="U28" s="612"/>
      <c r="V28" s="512"/>
    </row>
    <row r="29" spans="1:22">
      <c r="C29" s="637"/>
      <c r="D29" s="637"/>
      <c r="E29" s="637"/>
      <c r="F29" s="637"/>
      <c r="G29" s="637"/>
      <c r="H29" s="637"/>
      <c r="I29" s="637"/>
      <c r="J29" s="637"/>
      <c r="K29" s="637"/>
      <c r="L29" s="637"/>
      <c r="M29" s="637"/>
      <c r="N29" s="637"/>
      <c r="O29" s="637"/>
      <c r="P29" s="637"/>
      <c r="Q29" s="637"/>
      <c r="R29" s="637"/>
      <c r="U29" s="637"/>
    </row>
  </sheetData>
  <mergeCells count="6">
    <mergeCell ref="A5:B7"/>
    <mergeCell ref="C5:U5"/>
    <mergeCell ref="C6:C7"/>
    <mergeCell ref="D6:F6"/>
    <mergeCell ref="G6:K6"/>
    <mergeCell ref="M6:U6"/>
  </mergeCells>
  <pageMargins left="0.7" right="0.7" top="0.75" bottom="0.75" header="0.3" footer="0.3"/>
  <pageSetup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90" zoomScaleNormal="90" workbookViewId="0">
      <selection activeCell="D27" sqref="D27"/>
    </sheetView>
  </sheetViews>
  <sheetFormatPr defaultColWidth="9.08984375" defaultRowHeight="12"/>
  <cols>
    <col min="1" max="1" width="11.90625" style="488" bestFit="1" customWidth="1"/>
    <col min="2" max="2" width="76.90625" style="488" customWidth="1"/>
    <col min="3" max="20" width="12.36328125" style="488" customWidth="1"/>
    <col min="21" max="21" width="20" style="488" customWidth="1"/>
    <col min="22" max="16384" width="9.08984375" style="488"/>
  </cols>
  <sheetData>
    <row r="1" spans="1:21" ht="13">
      <c r="A1" s="487" t="s">
        <v>188</v>
      </c>
      <c r="B1" s="425" t="str">
        <f>Info!C2</f>
        <v>სს " პაშა ბანკი საქართველო"</v>
      </c>
    </row>
    <row r="2" spans="1:21">
      <c r="A2" s="489" t="s">
        <v>189</v>
      </c>
      <c r="B2" s="614">
        <f>'1. key ratios'!B2</f>
        <v>44469</v>
      </c>
    </row>
    <row r="3" spans="1:21">
      <c r="A3" s="490" t="s">
        <v>650</v>
      </c>
      <c r="C3" s="491"/>
    </row>
    <row r="4" spans="1:21">
      <c r="A4" s="490"/>
      <c r="B4" s="491"/>
      <c r="C4" s="491"/>
    </row>
    <row r="5" spans="1:21" s="510" customFormat="1" ht="13.5" customHeight="1">
      <c r="A5" s="796" t="s">
        <v>651</v>
      </c>
      <c r="B5" s="797"/>
      <c r="C5" s="802" t="s">
        <v>652</v>
      </c>
      <c r="D5" s="803"/>
      <c r="E5" s="803"/>
      <c r="F5" s="803"/>
      <c r="G5" s="803"/>
      <c r="H5" s="803"/>
      <c r="I5" s="803"/>
      <c r="J5" s="803"/>
      <c r="K5" s="803"/>
      <c r="L5" s="803"/>
      <c r="M5" s="803"/>
      <c r="N5" s="803"/>
      <c r="O5" s="803"/>
      <c r="P5" s="803"/>
      <c r="Q5" s="803"/>
      <c r="R5" s="803"/>
      <c r="S5" s="803"/>
      <c r="T5" s="804"/>
      <c r="U5" s="559"/>
    </row>
    <row r="6" spans="1:21" s="510" customFormat="1">
      <c r="A6" s="798"/>
      <c r="B6" s="799"/>
      <c r="C6" s="782" t="s">
        <v>68</v>
      </c>
      <c r="D6" s="802" t="s">
        <v>653</v>
      </c>
      <c r="E6" s="803"/>
      <c r="F6" s="804"/>
      <c r="G6" s="802" t="s">
        <v>654</v>
      </c>
      <c r="H6" s="803"/>
      <c r="I6" s="803"/>
      <c r="J6" s="803"/>
      <c r="K6" s="804"/>
      <c r="L6" s="805" t="s">
        <v>655</v>
      </c>
      <c r="M6" s="806"/>
      <c r="N6" s="806"/>
      <c r="O6" s="806"/>
      <c r="P6" s="806"/>
      <c r="Q6" s="806"/>
      <c r="R6" s="806"/>
      <c r="S6" s="806"/>
      <c r="T6" s="807"/>
      <c r="U6" s="555"/>
    </row>
    <row r="7" spans="1:21" s="510" customFormat="1" ht="36">
      <c r="A7" s="800"/>
      <c r="B7" s="801"/>
      <c r="C7" s="782"/>
      <c r="E7" s="545" t="s">
        <v>629</v>
      </c>
      <c r="F7" s="558" t="s">
        <v>630</v>
      </c>
      <c r="H7" s="545" t="s">
        <v>629</v>
      </c>
      <c r="I7" s="558" t="s">
        <v>656</v>
      </c>
      <c r="J7" s="558" t="s">
        <v>631</v>
      </c>
      <c r="K7" s="558" t="s">
        <v>632</v>
      </c>
      <c r="L7" s="560"/>
      <c r="M7" s="545" t="s">
        <v>633</v>
      </c>
      <c r="N7" s="558" t="s">
        <v>631</v>
      </c>
      <c r="O7" s="558" t="s">
        <v>634</v>
      </c>
      <c r="P7" s="558" t="s">
        <v>635</v>
      </c>
      <c r="Q7" s="558" t="s">
        <v>636</v>
      </c>
      <c r="R7" s="558" t="s">
        <v>637</v>
      </c>
      <c r="S7" s="558" t="s">
        <v>638</v>
      </c>
      <c r="T7" s="561" t="s">
        <v>639</v>
      </c>
      <c r="U7" s="559"/>
    </row>
    <row r="8" spans="1:21">
      <c r="A8" s="532">
        <v>1</v>
      </c>
      <c r="B8" s="522" t="s">
        <v>641</v>
      </c>
      <c r="C8" s="694">
        <v>284026273.80900002</v>
      </c>
      <c r="D8" s="668">
        <v>223760179.05599999</v>
      </c>
      <c r="E8" s="668">
        <v>4108351.1904000002</v>
      </c>
      <c r="F8" s="668">
        <v>17454075.9164</v>
      </c>
      <c r="G8" s="668">
        <v>28542146.0473</v>
      </c>
      <c r="H8" s="668">
        <v>58164.78</v>
      </c>
      <c r="I8" s="668">
        <v>730733.60580000002</v>
      </c>
      <c r="J8" s="668">
        <v>1000</v>
      </c>
      <c r="K8" s="668">
        <v>5281365.9691000003</v>
      </c>
      <c r="L8" s="668">
        <v>31723948.425700001</v>
      </c>
      <c r="M8" s="668">
        <v>4643373.0987</v>
      </c>
      <c r="N8" s="668">
        <v>99237.91</v>
      </c>
      <c r="O8" s="668">
        <v>9012485.4896000009</v>
      </c>
      <c r="P8" s="668">
        <v>5284829.7426000005</v>
      </c>
      <c r="Q8" s="668">
        <v>3415973.4992999998</v>
      </c>
      <c r="R8" s="668">
        <v>8921.5</v>
      </c>
      <c r="S8" s="668">
        <v>0</v>
      </c>
      <c r="T8" s="668">
        <v>221.1568</v>
      </c>
      <c r="U8" s="512"/>
    </row>
    <row r="9" spans="1:21">
      <c r="A9" s="531">
        <v>1.1000000000000001</v>
      </c>
      <c r="B9" s="531" t="s">
        <v>657</v>
      </c>
      <c r="C9" s="668">
        <v>259341987.9822</v>
      </c>
      <c r="D9" s="668">
        <v>200291569.37599999</v>
      </c>
      <c r="E9" s="668">
        <v>3820196.3804000001</v>
      </c>
      <c r="F9" s="668">
        <v>17451309.466400001</v>
      </c>
      <c r="G9" s="668">
        <v>28236507.1173</v>
      </c>
      <c r="H9" s="668">
        <v>0</v>
      </c>
      <c r="I9" s="668">
        <v>586090.66579999996</v>
      </c>
      <c r="J9" s="668">
        <v>0</v>
      </c>
      <c r="K9" s="668">
        <v>5281298.8891000003</v>
      </c>
      <c r="L9" s="668">
        <v>30813911.488899998</v>
      </c>
      <c r="M9" s="668">
        <v>4612970.1187000005</v>
      </c>
      <c r="N9" s="668">
        <v>0</v>
      </c>
      <c r="O9" s="668">
        <v>8594670.5395999998</v>
      </c>
      <c r="P9" s="668">
        <v>4984396.2725999998</v>
      </c>
      <c r="Q9" s="668">
        <v>3415973.4992999998</v>
      </c>
      <c r="R9" s="668">
        <v>0</v>
      </c>
      <c r="S9" s="668">
        <v>0</v>
      </c>
      <c r="T9" s="668">
        <v>0</v>
      </c>
      <c r="U9" s="512"/>
    </row>
    <row r="10" spans="1:21">
      <c r="A10" s="533" t="s">
        <v>251</v>
      </c>
      <c r="B10" s="533" t="s">
        <v>658</v>
      </c>
      <c r="C10" s="668">
        <v>223504391.5553</v>
      </c>
      <c r="D10" s="668">
        <v>165621900.14910001</v>
      </c>
      <c r="E10" s="668">
        <v>3820196.3804000001</v>
      </c>
      <c r="F10" s="668">
        <v>17451309.466400001</v>
      </c>
      <c r="G10" s="668">
        <v>28236507.1173</v>
      </c>
      <c r="H10" s="668">
        <v>0</v>
      </c>
      <c r="I10" s="668">
        <v>586090.66579999996</v>
      </c>
      <c r="J10" s="668">
        <v>0</v>
      </c>
      <c r="K10" s="668">
        <v>5281298.8891000003</v>
      </c>
      <c r="L10" s="668">
        <v>29645984.288899999</v>
      </c>
      <c r="M10" s="668">
        <v>4612970.1187000005</v>
      </c>
      <c r="N10" s="668">
        <v>0</v>
      </c>
      <c r="O10" s="668">
        <v>8594670.5395999998</v>
      </c>
      <c r="P10" s="668">
        <v>4984396.2725999998</v>
      </c>
      <c r="Q10" s="668">
        <v>3415973.4992999998</v>
      </c>
      <c r="R10" s="668">
        <v>0</v>
      </c>
      <c r="S10" s="668">
        <v>0</v>
      </c>
      <c r="T10" s="668">
        <v>0</v>
      </c>
      <c r="U10" s="512"/>
    </row>
    <row r="11" spans="1:21">
      <c r="A11" s="534" t="s">
        <v>659</v>
      </c>
      <c r="B11" s="535" t="s">
        <v>660</v>
      </c>
      <c r="C11" s="695">
        <v>140146851.61970001</v>
      </c>
      <c r="D11" s="668">
        <v>106596583.1781</v>
      </c>
      <c r="E11" s="668">
        <v>0</v>
      </c>
      <c r="F11" s="668">
        <v>13194819.2403</v>
      </c>
      <c r="G11" s="668">
        <v>19163128.952500001</v>
      </c>
      <c r="H11" s="668">
        <v>0</v>
      </c>
      <c r="I11" s="668">
        <v>366000</v>
      </c>
      <c r="J11" s="668">
        <v>0</v>
      </c>
      <c r="K11" s="668">
        <v>5281298.8891000003</v>
      </c>
      <c r="L11" s="668">
        <v>14387139.4891</v>
      </c>
      <c r="M11" s="668">
        <v>4612970.1187000005</v>
      </c>
      <c r="N11" s="668">
        <v>0</v>
      </c>
      <c r="O11" s="668">
        <v>2818126.9693999998</v>
      </c>
      <c r="P11" s="668">
        <v>747618.91260000004</v>
      </c>
      <c r="Q11" s="668">
        <v>0</v>
      </c>
      <c r="R11" s="668">
        <v>0</v>
      </c>
      <c r="S11" s="668">
        <v>0</v>
      </c>
      <c r="T11" s="668">
        <v>0</v>
      </c>
      <c r="U11" s="512"/>
    </row>
    <row r="12" spans="1:21">
      <c r="A12" s="534" t="s">
        <v>661</v>
      </c>
      <c r="B12" s="535" t="s">
        <v>662</v>
      </c>
      <c r="C12" s="695">
        <v>27733730.758200001</v>
      </c>
      <c r="D12" s="668">
        <v>18390172.556299999</v>
      </c>
      <c r="E12" s="668">
        <v>643307.72979999997</v>
      </c>
      <c r="F12" s="668">
        <v>0</v>
      </c>
      <c r="G12" s="668">
        <v>2595521.0595999998</v>
      </c>
      <c r="H12" s="668">
        <v>0</v>
      </c>
      <c r="I12" s="668">
        <v>220090.66579999999</v>
      </c>
      <c r="J12" s="668">
        <v>0</v>
      </c>
      <c r="K12" s="668">
        <v>0</v>
      </c>
      <c r="L12" s="668">
        <v>6748037.1423000004</v>
      </c>
      <c r="M12" s="668">
        <v>0</v>
      </c>
      <c r="N12" s="668">
        <v>0</v>
      </c>
      <c r="O12" s="668">
        <v>0</v>
      </c>
      <c r="P12" s="668">
        <v>4041399</v>
      </c>
      <c r="Q12" s="668">
        <v>2706638.1422999999</v>
      </c>
      <c r="R12" s="668">
        <v>0</v>
      </c>
      <c r="S12" s="668">
        <v>0</v>
      </c>
      <c r="T12" s="668">
        <v>0</v>
      </c>
      <c r="U12" s="512"/>
    </row>
    <row r="13" spans="1:21">
      <c r="A13" s="534" t="s">
        <v>663</v>
      </c>
      <c r="B13" s="535" t="s">
        <v>664</v>
      </c>
      <c r="C13" s="695">
        <v>21534644.2896</v>
      </c>
      <c r="D13" s="668">
        <v>9090414.7324999999</v>
      </c>
      <c r="E13" s="668">
        <v>283500</v>
      </c>
      <c r="F13" s="668">
        <v>0</v>
      </c>
      <c r="G13" s="668">
        <v>5477843.3295999998</v>
      </c>
      <c r="H13" s="668">
        <v>0</v>
      </c>
      <c r="I13" s="668">
        <v>0</v>
      </c>
      <c r="J13" s="668">
        <v>0</v>
      </c>
      <c r="K13" s="668">
        <v>0</v>
      </c>
      <c r="L13" s="668">
        <v>6966386.2275</v>
      </c>
      <c r="M13" s="668">
        <v>0</v>
      </c>
      <c r="N13" s="668">
        <v>0</v>
      </c>
      <c r="O13" s="668">
        <v>4891854.3301999997</v>
      </c>
      <c r="P13" s="668">
        <v>195378.36</v>
      </c>
      <c r="Q13" s="668">
        <v>709335.35699999996</v>
      </c>
      <c r="R13" s="668">
        <v>0</v>
      </c>
      <c r="S13" s="668">
        <v>0</v>
      </c>
      <c r="T13" s="668">
        <v>0</v>
      </c>
      <c r="U13" s="512"/>
    </row>
    <row r="14" spans="1:21">
      <c r="A14" s="534" t="s">
        <v>665</v>
      </c>
      <c r="B14" s="535" t="s">
        <v>666</v>
      </c>
      <c r="C14" s="695">
        <v>34089164.887800001</v>
      </c>
      <c r="D14" s="668">
        <v>31544729.682100002</v>
      </c>
      <c r="E14" s="668">
        <v>2893388.6505999998</v>
      </c>
      <c r="F14" s="668">
        <v>4256490.2260999996</v>
      </c>
      <c r="G14" s="668">
        <v>1000013.7756000001</v>
      </c>
      <c r="H14" s="668">
        <v>0</v>
      </c>
      <c r="I14" s="668">
        <v>0</v>
      </c>
      <c r="J14" s="668">
        <v>0</v>
      </c>
      <c r="K14" s="668">
        <v>0</v>
      </c>
      <c r="L14" s="668">
        <v>1544421.4301</v>
      </c>
      <c r="M14" s="668">
        <v>0</v>
      </c>
      <c r="N14" s="668">
        <v>0</v>
      </c>
      <c r="O14" s="668">
        <v>884689.24</v>
      </c>
      <c r="P14" s="668">
        <v>0</v>
      </c>
      <c r="Q14" s="668">
        <v>0</v>
      </c>
      <c r="R14" s="668">
        <v>0</v>
      </c>
      <c r="S14" s="668">
        <v>0</v>
      </c>
      <c r="T14" s="668">
        <v>0</v>
      </c>
      <c r="U14" s="512"/>
    </row>
    <row r="15" spans="1:21">
      <c r="A15" s="536">
        <v>1.2</v>
      </c>
      <c r="B15" s="537" t="s">
        <v>667</v>
      </c>
      <c r="C15" s="695">
        <v>16891204.646600001</v>
      </c>
      <c r="D15" s="668">
        <v>4005831.4511000002</v>
      </c>
      <c r="E15" s="668">
        <v>76403.949500000002</v>
      </c>
      <c r="F15" s="668">
        <v>349026.20370000001</v>
      </c>
      <c r="G15" s="668">
        <v>2823650.7253999999</v>
      </c>
      <c r="H15" s="668">
        <v>0</v>
      </c>
      <c r="I15" s="668">
        <v>58609.057200000003</v>
      </c>
      <c r="J15" s="668">
        <v>0</v>
      </c>
      <c r="K15" s="668">
        <v>528129.88230000006</v>
      </c>
      <c r="L15" s="668">
        <v>10061722.470000001</v>
      </c>
      <c r="M15" s="668">
        <v>1383891.0543</v>
      </c>
      <c r="N15" s="668">
        <v>0</v>
      </c>
      <c r="O15" s="668">
        <v>2578401.1524999999</v>
      </c>
      <c r="P15" s="668">
        <v>1495318.8651999999</v>
      </c>
      <c r="Q15" s="668">
        <v>1024792.0352</v>
      </c>
      <c r="R15" s="668">
        <v>0</v>
      </c>
      <c r="S15" s="668">
        <v>0</v>
      </c>
      <c r="T15" s="668">
        <v>0</v>
      </c>
      <c r="U15" s="512"/>
    </row>
    <row r="16" spans="1:21">
      <c r="A16" s="538">
        <v>1.3</v>
      </c>
      <c r="B16" s="537" t="s">
        <v>668</v>
      </c>
      <c r="C16" s="696"/>
      <c r="D16" s="696"/>
      <c r="E16" s="696"/>
      <c r="F16" s="696"/>
      <c r="G16" s="696"/>
      <c r="H16" s="696"/>
      <c r="I16" s="696"/>
      <c r="J16" s="696"/>
      <c r="K16" s="696"/>
      <c r="L16" s="696"/>
      <c r="M16" s="696"/>
      <c r="N16" s="696"/>
      <c r="O16" s="696"/>
      <c r="P16" s="696"/>
      <c r="Q16" s="696"/>
      <c r="R16" s="696"/>
      <c r="S16" s="696"/>
      <c r="T16" s="696"/>
      <c r="U16" s="512"/>
    </row>
    <row r="17" spans="1:21" s="510" customFormat="1" ht="24">
      <c r="A17" s="539" t="s">
        <v>669</v>
      </c>
      <c r="B17" s="540" t="s">
        <v>670</v>
      </c>
      <c r="C17" s="697">
        <v>216666010.64770001</v>
      </c>
      <c r="D17" s="695">
        <v>157983196.59450001</v>
      </c>
      <c r="E17" s="695">
        <v>3460700.3232</v>
      </c>
      <c r="F17" s="695">
        <v>16276402.5221</v>
      </c>
      <c r="G17" s="695">
        <v>27876820.812800001</v>
      </c>
      <c r="H17" s="695">
        <v>0</v>
      </c>
      <c r="I17" s="695">
        <v>586090.66579999996</v>
      </c>
      <c r="J17" s="695">
        <v>0</v>
      </c>
      <c r="K17" s="695">
        <v>5281298.8891000003</v>
      </c>
      <c r="L17" s="695">
        <v>30805993.240400001</v>
      </c>
      <c r="M17" s="695">
        <v>4612970.1187000005</v>
      </c>
      <c r="N17" s="695">
        <v>0</v>
      </c>
      <c r="O17" s="695">
        <v>8586752.2909999993</v>
      </c>
      <c r="P17" s="695">
        <v>4984396.2725999998</v>
      </c>
      <c r="Q17" s="695">
        <v>3415973.4992999998</v>
      </c>
      <c r="R17" s="695">
        <v>0</v>
      </c>
      <c r="S17" s="695">
        <v>0</v>
      </c>
      <c r="T17" s="695">
        <v>0</v>
      </c>
      <c r="U17" s="516"/>
    </row>
    <row r="18" spans="1:21" s="510" customFormat="1" ht="24">
      <c r="A18" s="541" t="s">
        <v>671</v>
      </c>
      <c r="B18" s="541" t="s">
        <v>672</v>
      </c>
      <c r="C18" s="698">
        <v>211875523.02500001</v>
      </c>
      <c r="D18" s="695">
        <v>154464500.59349999</v>
      </c>
      <c r="E18" s="695">
        <v>3460700.3232</v>
      </c>
      <c r="F18" s="695">
        <v>16276402.5221</v>
      </c>
      <c r="G18" s="695">
        <v>27876820.812800001</v>
      </c>
      <c r="H18" s="695">
        <v>0</v>
      </c>
      <c r="I18" s="695">
        <v>586090.66579999996</v>
      </c>
      <c r="J18" s="695">
        <v>0</v>
      </c>
      <c r="K18" s="695">
        <v>5281298.8891000003</v>
      </c>
      <c r="L18" s="695">
        <v>29534201.618700001</v>
      </c>
      <c r="M18" s="695">
        <v>4612970.1187000005</v>
      </c>
      <c r="N18" s="695">
        <v>0</v>
      </c>
      <c r="O18" s="695">
        <v>8586752.2909999993</v>
      </c>
      <c r="P18" s="695">
        <v>4984396.2725999998</v>
      </c>
      <c r="Q18" s="695">
        <v>3415973.4992999998</v>
      </c>
      <c r="R18" s="695">
        <v>0</v>
      </c>
      <c r="S18" s="695">
        <v>0</v>
      </c>
      <c r="T18" s="695">
        <v>0</v>
      </c>
      <c r="U18" s="516"/>
    </row>
    <row r="19" spans="1:21" s="510" customFormat="1">
      <c r="A19" s="539" t="s">
        <v>673</v>
      </c>
      <c r="B19" s="542" t="s">
        <v>674</v>
      </c>
      <c r="C19" s="698">
        <v>883688942.83889997</v>
      </c>
      <c r="D19" s="695">
        <v>846608174.38209999</v>
      </c>
      <c r="E19" s="695">
        <v>184908.43659999999</v>
      </c>
      <c r="F19" s="695">
        <v>259368173.75080001</v>
      </c>
      <c r="G19" s="695">
        <v>17797364.515900001</v>
      </c>
      <c r="H19" s="695">
        <v>0</v>
      </c>
      <c r="I19" s="695">
        <v>750467.73419999995</v>
      </c>
      <c r="J19" s="695">
        <v>0</v>
      </c>
      <c r="K19" s="695">
        <v>3599944.3110000002</v>
      </c>
      <c r="L19" s="695">
        <v>19283403.940900002</v>
      </c>
      <c r="M19" s="695">
        <v>3053507.0041</v>
      </c>
      <c r="N19" s="695">
        <v>0</v>
      </c>
      <c r="O19" s="695">
        <v>5401780.3200000003</v>
      </c>
      <c r="P19" s="695">
        <v>1534803.7678</v>
      </c>
      <c r="Q19" s="695">
        <v>1123575.6703000001</v>
      </c>
      <c r="R19" s="695">
        <v>0</v>
      </c>
      <c r="S19" s="695">
        <v>0</v>
      </c>
      <c r="T19" s="695">
        <v>0</v>
      </c>
      <c r="U19" s="516"/>
    </row>
    <row r="20" spans="1:21" s="510" customFormat="1">
      <c r="A20" s="541" t="s">
        <v>675</v>
      </c>
      <c r="B20" s="541" t="s">
        <v>676</v>
      </c>
      <c r="C20" s="698">
        <v>872522283.12419999</v>
      </c>
      <c r="D20" s="695">
        <v>838604838.71700001</v>
      </c>
      <c r="E20" s="695">
        <v>184908.43659999999</v>
      </c>
      <c r="F20" s="695">
        <v>259368173.7308</v>
      </c>
      <c r="G20" s="695">
        <v>17797364.515900001</v>
      </c>
      <c r="H20" s="695">
        <v>0</v>
      </c>
      <c r="I20" s="695">
        <v>750467.73419999995</v>
      </c>
      <c r="J20" s="695">
        <v>0</v>
      </c>
      <c r="K20" s="695">
        <v>3599944.3110000002</v>
      </c>
      <c r="L20" s="695">
        <v>16120079.8913</v>
      </c>
      <c r="M20" s="695">
        <v>3053503.8813</v>
      </c>
      <c r="N20" s="695">
        <v>0</v>
      </c>
      <c r="O20" s="695">
        <v>5401780.3200000003</v>
      </c>
      <c r="P20" s="695">
        <v>1534803.7678</v>
      </c>
      <c r="Q20" s="695">
        <v>1123575.6703000001</v>
      </c>
      <c r="R20" s="695">
        <v>0</v>
      </c>
      <c r="S20" s="695">
        <v>0</v>
      </c>
      <c r="T20" s="695">
        <v>0</v>
      </c>
      <c r="U20" s="516"/>
    </row>
    <row r="21" spans="1:21" s="510" customFormat="1">
      <c r="A21" s="543">
        <v>1.4</v>
      </c>
      <c r="B21" s="553" t="s">
        <v>709</v>
      </c>
      <c r="C21" s="698"/>
      <c r="D21" s="695"/>
      <c r="E21" s="695"/>
      <c r="F21" s="695"/>
      <c r="G21" s="695"/>
      <c r="H21" s="695"/>
      <c r="I21" s="695"/>
      <c r="J21" s="695"/>
      <c r="K21" s="695"/>
      <c r="L21" s="695"/>
      <c r="M21" s="695"/>
      <c r="N21" s="695"/>
      <c r="O21" s="695"/>
      <c r="P21" s="695"/>
      <c r="Q21" s="695"/>
      <c r="R21" s="695"/>
      <c r="S21" s="695"/>
      <c r="T21" s="695"/>
      <c r="U21" s="516"/>
    </row>
    <row r="22" spans="1:21" s="510" customFormat="1">
      <c r="A22" s="543">
        <v>1.5</v>
      </c>
      <c r="B22" s="553" t="s">
        <v>710</v>
      </c>
      <c r="C22" s="698"/>
      <c r="D22" s="695"/>
      <c r="E22" s="695"/>
      <c r="F22" s="695"/>
      <c r="G22" s="695"/>
      <c r="H22" s="695"/>
      <c r="I22" s="695"/>
      <c r="J22" s="695"/>
      <c r="K22" s="695"/>
      <c r="L22" s="695"/>
      <c r="M22" s="695"/>
      <c r="N22" s="695"/>
      <c r="O22" s="695"/>
      <c r="P22" s="695"/>
      <c r="Q22" s="695"/>
      <c r="R22" s="695"/>
      <c r="S22" s="695"/>
      <c r="T22" s="695"/>
      <c r="U22" s="516"/>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zoomScale="90" zoomScaleNormal="90" workbookViewId="0">
      <selection activeCell="G25" sqref="G25"/>
    </sheetView>
  </sheetViews>
  <sheetFormatPr defaultColWidth="9.08984375" defaultRowHeight="12"/>
  <cols>
    <col min="1" max="1" width="11.90625" style="488" bestFit="1" customWidth="1"/>
    <col min="2" max="2" width="63.90625" style="488" customWidth="1"/>
    <col min="3" max="3" width="15" style="488" customWidth="1"/>
    <col min="4" max="4" width="14.90625" style="488" customWidth="1"/>
    <col min="5" max="5" width="13.36328125" style="488" customWidth="1"/>
    <col min="6" max="7" width="13.36328125" style="548" customWidth="1"/>
    <col min="8" max="9" width="13.36328125" style="488" customWidth="1"/>
    <col min="10" max="13" width="13.36328125" style="548" customWidth="1"/>
    <col min="14" max="14" width="13.54296875" style="548" customWidth="1"/>
    <col min="15" max="15" width="19" style="488" customWidth="1"/>
    <col min="16" max="16384" width="9.08984375" style="488"/>
  </cols>
  <sheetData>
    <row r="1" spans="1:15" ht="13">
      <c r="A1" s="487" t="s">
        <v>188</v>
      </c>
      <c r="B1" s="425" t="str">
        <f>Info!C2</f>
        <v>სს " პაშა ბანკი საქართველო"</v>
      </c>
      <c r="F1" s="488"/>
      <c r="G1" s="488"/>
      <c r="J1" s="488"/>
      <c r="K1" s="488"/>
      <c r="L1" s="488"/>
      <c r="M1" s="488"/>
      <c r="N1" s="488"/>
    </row>
    <row r="2" spans="1:15">
      <c r="A2" s="489" t="s">
        <v>189</v>
      </c>
      <c r="B2" s="614">
        <f>'1. key ratios'!B2</f>
        <v>44469</v>
      </c>
      <c r="F2" s="488"/>
      <c r="G2" s="488"/>
      <c r="J2" s="488"/>
      <c r="K2" s="488"/>
      <c r="L2" s="488"/>
      <c r="M2" s="488"/>
      <c r="N2" s="488"/>
    </row>
    <row r="3" spans="1:15">
      <c r="A3" s="490" t="s">
        <v>679</v>
      </c>
      <c r="F3" s="488"/>
      <c r="G3" s="488"/>
      <c r="J3" s="488"/>
      <c r="K3" s="488"/>
      <c r="L3" s="488"/>
      <c r="M3" s="488"/>
      <c r="N3" s="488"/>
    </row>
    <row r="4" spans="1:15">
      <c r="F4" s="488"/>
      <c r="G4" s="488"/>
      <c r="J4" s="488"/>
      <c r="K4" s="488"/>
      <c r="L4" s="488"/>
      <c r="M4" s="488"/>
      <c r="N4" s="488"/>
    </row>
    <row r="5" spans="1:15" ht="37.5" customHeight="1">
      <c r="A5" s="762" t="s">
        <v>680</v>
      </c>
      <c r="B5" s="763"/>
      <c r="C5" s="808" t="s">
        <v>681</v>
      </c>
      <c r="D5" s="809"/>
      <c r="E5" s="809"/>
      <c r="F5" s="809"/>
      <c r="G5" s="809"/>
      <c r="H5" s="810"/>
      <c r="I5" s="811" t="s">
        <v>682</v>
      </c>
      <c r="J5" s="812"/>
      <c r="K5" s="812"/>
      <c r="L5" s="812"/>
      <c r="M5" s="812"/>
      <c r="N5" s="813"/>
      <c r="O5" s="814" t="s">
        <v>552</v>
      </c>
    </row>
    <row r="6" spans="1:15" ht="39.65" customHeight="1">
      <c r="A6" s="766"/>
      <c r="B6" s="767"/>
      <c r="C6" s="544"/>
      <c r="D6" s="545" t="s">
        <v>683</v>
      </c>
      <c r="E6" s="545" t="s">
        <v>684</v>
      </c>
      <c r="F6" s="545" t="s">
        <v>685</v>
      </c>
      <c r="G6" s="545" t="s">
        <v>686</v>
      </c>
      <c r="H6" s="545" t="s">
        <v>687</v>
      </c>
      <c r="I6" s="546"/>
      <c r="J6" s="545" t="s">
        <v>683</v>
      </c>
      <c r="K6" s="545" t="s">
        <v>684</v>
      </c>
      <c r="L6" s="545" t="s">
        <v>685</v>
      </c>
      <c r="M6" s="545" t="s">
        <v>686</v>
      </c>
      <c r="N6" s="545" t="s">
        <v>687</v>
      </c>
      <c r="O6" s="814"/>
    </row>
    <row r="7" spans="1:15">
      <c r="A7" s="503">
        <v>1</v>
      </c>
      <c r="B7" s="511" t="s">
        <v>562</v>
      </c>
      <c r="C7" s="666">
        <v>5480623.0800000001</v>
      </c>
      <c r="D7" s="668">
        <v>5249753.41</v>
      </c>
      <c r="E7" s="668">
        <v>65421.98</v>
      </c>
      <c r="F7" s="665">
        <v>49137.84</v>
      </c>
      <c r="G7" s="665">
        <v>68552.92</v>
      </c>
      <c r="H7" s="668">
        <v>47756.93</v>
      </c>
      <c r="I7" s="668">
        <v>208312.21</v>
      </c>
      <c r="J7" s="665">
        <v>104995.19</v>
      </c>
      <c r="K7" s="665">
        <v>6542.22</v>
      </c>
      <c r="L7" s="665">
        <v>14741.37</v>
      </c>
      <c r="M7" s="665">
        <v>34276.5</v>
      </c>
      <c r="N7" s="665">
        <v>47756.93</v>
      </c>
      <c r="O7" s="664"/>
    </row>
    <row r="8" spans="1:15">
      <c r="A8" s="503">
        <v>2</v>
      </c>
      <c r="B8" s="511" t="s">
        <v>563</v>
      </c>
      <c r="C8" s="666">
        <v>35581575.259999998</v>
      </c>
      <c r="D8" s="668">
        <v>35562439.340000004</v>
      </c>
      <c r="E8" s="668">
        <v>8832.07</v>
      </c>
      <c r="F8" s="665">
        <v>3198.15</v>
      </c>
      <c r="G8" s="665">
        <v>1171.1099999999999</v>
      </c>
      <c r="H8" s="668">
        <v>5934.59</v>
      </c>
      <c r="I8" s="668">
        <v>719611.64</v>
      </c>
      <c r="J8" s="665">
        <v>711248.83</v>
      </c>
      <c r="K8" s="665">
        <v>883.21</v>
      </c>
      <c r="L8" s="665">
        <v>959.45</v>
      </c>
      <c r="M8" s="665">
        <v>585.55999999999995</v>
      </c>
      <c r="N8" s="665">
        <v>5934.59</v>
      </c>
      <c r="O8" s="664"/>
    </row>
    <row r="9" spans="1:15">
      <c r="A9" s="503">
        <v>3</v>
      </c>
      <c r="B9" s="511" t="s">
        <v>564</v>
      </c>
      <c r="C9" s="666">
        <v>5297.76</v>
      </c>
      <c r="D9" s="668">
        <v>2517.81</v>
      </c>
      <c r="E9" s="668">
        <v>0</v>
      </c>
      <c r="F9" s="665">
        <v>0</v>
      </c>
      <c r="G9" s="665">
        <v>2779.95</v>
      </c>
      <c r="H9" s="668">
        <v>0</v>
      </c>
      <c r="I9" s="668">
        <v>1440.34</v>
      </c>
      <c r="J9" s="665">
        <v>50.36</v>
      </c>
      <c r="K9" s="665">
        <v>0</v>
      </c>
      <c r="L9" s="665">
        <v>0</v>
      </c>
      <c r="M9" s="665">
        <v>1389.98</v>
      </c>
      <c r="N9" s="665">
        <v>0</v>
      </c>
      <c r="O9" s="664"/>
    </row>
    <row r="10" spans="1:15">
      <c r="A10" s="503">
        <v>4</v>
      </c>
      <c r="B10" s="511" t="s">
        <v>565</v>
      </c>
      <c r="C10" s="666">
        <v>40568259.790700004</v>
      </c>
      <c r="D10" s="668">
        <v>38463351.590000004</v>
      </c>
      <c r="E10" s="668">
        <v>2998</v>
      </c>
      <c r="F10" s="665">
        <v>2101910.2006999999</v>
      </c>
      <c r="G10" s="665">
        <v>0</v>
      </c>
      <c r="H10" s="668">
        <v>0</v>
      </c>
      <c r="I10" s="668">
        <v>1400139.9665000001</v>
      </c>
      <c r="J10" s="665">
        <v>769267.11569999997</v>
      </c>
      <c r="K10" s="665">
        <v>299.8</v>
      </c>
      <c r="L10" s="665">
        <v>630573.05090000003</v>
      </c>
      <c r="M10" s="665">
        <v>0</v>
      </c>
      <c r="N10" s="665">
        <v>0</v>
      </c>
      <c r="O10" s="664"/>
    </row>
    <row r="11" spans="1:15">
      <c r="A11" s="503">
        <v>5</v>
      </c>
      <c r="B11" s="511" t="s">
        <v>566</v>
      </c>
      <c r="C11" s="666">
        <v>39672957.498599999</v>
      </c>
      <c r="D11" s="668">
        <v>37255015.213799998</v>
      </c>
      <c r="E11" s="668">
        <v>1001712.3256</v>
      </c>
      <c r="F11" s="665">
        <v>1416229.9591999999</v>
      </c>
      <c r="G11" s="665">
        <v>0</v>
      </c>
      <c r="H11" s="668">
        <v>0</v>
      </c>
      <c r="I11" s="668">
        <v>1270140.5416999999</v>
      </c>
      <c r="J11" s="665">
        <v>745100.29449999996</v>
      </c>
      <c r="K11" s="665">
        <v>100171.25320000001</v>
      </c>
      <c r="L11" s="665">
        <v>424868.99400000001</v>
      </c>
      <c r="M11" s="665">
        <v>0</v>
      </c>
      <c r="N11" s="665">
        <v>0</v>
      </c>
      <c r="O11" s="664"/>
    </row>
    <row r="12" spans="1:15">
      <c r="A12" s="503">
        <v>6</v>
      </c>
      <c r="B12" s="511" t="s">
        <v>567</v>
      </c>
      <c r="C12" s="666">
        <v>3543506.1724999999</v>
      </c>
      <c r="D12" s="668">
        <v>3084490.05</v>
      </c>
      <c r="E12" s="668">
        <v>343201.11249999999</v>
      </c>
      <c r="F12" s="665">
        <v>69169.960000000006</v>
      </c>
      <c r="G12" s="665">
        <v>11251.96</v>
      </c>
      <c r="H12" s="668">
        <v>35393.089999999997</v>
      </c>
      <c r="I12" s="668">
        <v>157780.02249999999</v>
      </c>
      <c r="J12" s="665">
        <v>61689.834000000003</v>
      </c>
      <c r="K12" s="665">
        <v>34320.118499999997</v>
      </c>
      <c r="L12" s="665">
        <v>20751</v>
      </c>
      <c r="M12" s="665">
        <v>5625.98</v>
      </c>
      <c r="N12" s="665">
        <v>35393.089999999997</v>
      </c>
      <c r="O12" s="664"/>
    </row>
    <row r="13" spans="1:15">
      <c r="A13" s="503">
        <v>7</v>
      </c>
      <c r="B13" s="511" t="s">
        <v>568</v>
      </c>
      <c r="C13" s="666">
        <v>5376010.4477000004</v>
      </c>
      <c r="D13" s="668">
        <v>2386812.1053999998</v>
      </c>
      <c r="E13" s="668">
        <v>4820.5200000000004</v>
      </c>
      <c r="F13" s="665">
        <v>2949173.9622999998</v>
      </c>
      <c r="G13" s="665">
        <v>34206.699999999997</v>
      </c>
      <c r="H13" s="668">
        <v>997.16</v>
      </c>
      <c r="I13" s="668">
        <v>951071.054</v>
      </c>
      <c r="J13" s="665">
        <v>47736.291400000002</v>
      </c>
      <c r="K13" s="665">
        <v>482.05</v>
      </c>
      <c r="L13" s="665">
        <v>884752.19270000001</v>
      </c>
      <c r="M13" s="665">
        <v>17103.36</v>
      </c>
      <c r="N13" s="665">
        <v>997.16</v>
      </c>
      <c r="O13" s="664"/>
    </row>
    <row r="14" spans="1:15">
      <c r="A14" s="503">
        <v>8</v>
      </c>
      <c r="B14" s="511" t="s">
        <v>569</v>
      </c>
      <c r="C14" s="666">
        <v>7066457.7171999998</v>
      </c>
      <c r="D14" s="668">
        <v>6130284.8844999997</v>
      </c>
      <c r="E14" s="668">
        <v>223591.69579999999</v>
      </c>
      <c r="F14" s="665">
        <v>709592.897</v>
      </c>
      <c r="G14" s="665">
        <v>2983.24</v>
      </c>
      <c r="H14" s="668">
        <v>5</v>
      </c>
      <c r="I14" s="668">
        <v>359339.32490000001</v>
      </c>
      <c r="J14" s="665">
        <v>122605.6952</v>
      </c>
      <c r="K14" s="665">
        <v>22359.157200000001</v>
      </c>
      <c r="L14" s="665">
        <v>212877.85250000001</v>
      </c>
      <c r="M14" s="665">
        <v>1491.62</v>
      </c>
      <c r="N14" s="665">
        <v>5</v>
      </c>
      <c r="O14" s="664"/>
    </row>
    <row r="15" spans="1:15">
      <c r="A15" s="503">
        <v>9</v>
      </c>
      <c r="B15" s="511" t="s">
        <v>570</v>
      </c>
      <c r="C15" s="666">
        <v>2510334.9912999999</v>
      </c>
      <c r="D15" s="668">
        <v>2344051.6213000002</v>
      </c>
      <c r="E15" s="668">
        <v>0</v>
      </c>
      <c r="F15" s="665">
        <v>162098.45000000001</v>
      </c>
      <c r="G15" s="665">
        <v>3000</v>
      </c>
      <c r="H15" s="668">
        <v>1184.92</v>
      </c>
      <c r="I15" s="668">
        <v>98195.472399999999</v>
      </c>
      <c r="J15" s="665">
        <v>46881.0124</v>
      </c>
      <c r="K15" s="665">
        <v>0</v>
      </c>
      <c r="L15" s="665">
        <v>48629.54</v>
      </c>
      <c r="M15" s="665">
        <v>1500</v>
      </c>
      <c r="N15" s="665">
        <v>1184.92</v>
      </c>
      <c r="O15" s="664"/>
    </row>
    <row r="16" spans="1:15">
      <c r="A16" s="503">
        <v>10</v>
      </c>
      <c r="B16" s="511" t="s">
        <v>571</v>
      </c>
      <c r="C16" s="666">
        <v>620060.25040000002</v>
      </c>
      <c r="D16" s="668">
        <v>620060.25040000002</v>
      </c>
      <c r="E16" s="668">
        <v>0</v>
      </c>
      <c r="F16" s="665">
        <v>0</v>
      </c>
      <c r="G16" s="665">
        <v>0</v>
      </c>
      <c r="H16" s="668">
        <v>0</v>
      </c>
      <c r="I16" s="668">
        <v>12401.1922</v>
      </c>
      <c r="J16" s="665">
        <v>12401.1922</v>
      </c>
      <c r="K16" s="665">
        <v>0</v>
      </c>
      <c r="L16" s="665">
        <v>0</v>
      </c>
      <c r="M16" s="665">
        <v>0</v>
      </c>
      <c r="N16" s="665">
        <v>0</v>
      </c>
      <c r="O16" s="664"/>
    </row>
    <row r="17" spans="1:15">
      <c r="A17" s="503">
        <v>11</v>
      </c>
      <c r="B17" s="511" t="s">
        <v>572</v>
      </c>
      <c r="C17" s="666">
        <v>4491990.8689999999</v>
      </c>
      <c r="D17" s="668">
        <v>30228.84</v>
      </c>
      <c r="E17" s="668">
        <v>4461762.0290000001</v>
      </c>
      <c r="F17" s="665">
        <v>0</v>
      </c>
      <c r="G17" s="665">
        <v>0</v>
      </c>
      <c r="H17" s="668">
        <v>0</v>
      </c>
      <c r="I17" s="668">
        <v>446780.79989999998</v>
      </c>
      <c r="J17" s="665">
        <v>604.6</v>
      </c>
      <c r="K17" s="665">
        <v>446176.19990000001</v>
      </c>
      <c r="L17" s="665">
        <v>0</v>
      </c>
      <c r="M17" s="665">
        <v>0</v>
      </c>
      <c r="N17" s="665">
        <v>0</v>
      </c>
      <c r="O17" s="664"/>
    </row>
    <row r="18" spans="1:15">
      <c r="A18" s="503">
        <v>12</v>
      </c>
      <c r="B18" s="511" t="s">
        <v>573</v>
      </c>
      <c r="C18" s="666">
        <v>4344692.8278999999</v>
      </c>
      <c r="D18" s="668">
        <v>4064094.1079000002</v>
      </c>
      <c r="E18" s="668">
        <v>47337.05</v>
      </c>
      <c r="F18" s="665">
        <v>92860.07</v>
      </c>
      <c r="G18" s="665">
        <v>54754.8</v>
      </c>
      <c r="H18" s="668">
        <v>85646.8</v>
      </c>
      <c r="I18" s="668">
        <v>226898.226</v>
      </c>
      <c r="J18" s="665">
        <v>81282.176000000007</v>
      </c>
      <c r="K18" s="665">
        <v>4733.7</v>
      </c>
      <c r="L18" s="665">
        <v>27858.05</v>
      </c>
      <c r="M18" s="665">
        <v>27377.5</v>
      </c>
      <c r="N18" s="665">
        <v>85646.8</v>
      </c>
      <c r="O18" s="664"/>
    </row>
    <row r="19" spans="1:15">
      <c r="A19" s="503">
        <v>13</v>
      </c>
      <c r="B19" s="511" t="s">
        <v>574</v>
      </c>
      <c r="C19" s="666">
        <v>1377440.8</v>
      </c>
      <c r="D19" s="668">
        <v>1268209.3400000001</v>
      </c>
      <c r="E19" s="668">
        <v>21393.09</v>
      </c>
      <c r="F19" s="665">
        <v>8488.5400000000009</v>
      </c>
      <c r="G19" s="665">
        <v>32406.880000000001</v>
      </c>
      <c r="H19" s="668">
        <v>46942.95</v>
      </c>
      <c r="I19" s="668">
        <v>93196.55</v>
      </c>
      <c r="J19" s="665">
        <v>25364.27</v>
      </c>
      <c r="K19" s="665">
        <v>2139.33</v>
      </c>
      <c r="L19" s="665">
        <v>2546.5500000000002</v>
      </c>
      <c r="M19" s="665">
        <v>16203.45</v>
      </c>
      <c r="N19" s="665">
        <v>46942.95</v>
      </c>
      <c r="O19" s="664"/>
    </row>
    <row r="20" spans="1:15">
      <c r="A20" s="503">
        <v>14</v>
      </c>
      <c r="B20" s="511" t="s">
        <v>575</v>
      </c>
      <c r="C20" s="666">
        <v>48555860.436999999</v>
      </c>
      <c r="D20" s="668">
        <v>31209990.448600002</v>
      </c>
      <c r="E20" s="668">
        <v>6908977.0656000003</v>
      </c>
      <c r="F20" s="665">
        <v>9264408.6428999994</v>
      </c>
      <c r="G20" s="665">
        <v>0</v>
      </c>
      <c r="H20" s="668">
        <v>1172484.28</v>
      </c>
      <c r="I20" s="668">
        <v>5266904.3986</v>
      </c>
      <c r="J20" s="665">
        <v>624199.82420000003</v>
      </c>
      <c r="K20" s="665">
        <v>690897.70360000001</v>
      </c>
      <c r="L20" s="665">
        <v>2779322.5909000002</v>
      </c>
      <c r="M20" s="665">
        <v>0</v>
      </c>
      <c r="N20" s="665">
        <v>1172484.28</v>
      </c>
      <c r="O20" s="664"/>
    </row>
    <row r="21" spans="1:15">
      <c r="A21" s="503">
        <v>15</v>
      </c>
      <c r="B21" s="511" t="s">
        <v>576</v>
      </c>
      <c r="C21" s="666">
        <v>15301189.1206</v>
      </c>
      <c r="D21" s="668">
        <v>5071368.4735000003</v>
      </c>
      <c r="E21" s="668">
        <v>5698486.6871999996</v>
      </c>
      <c r="F21" s="665">
        <v>4523578.5698999995</v>
      </c>
      <c r="G21" s="665">
        <v>2932.25</v>
      </c>
      <c r="H21" s="668">
        <v>4823.1400000000003</v>
      </c>
      <c r="I21" s="668">
        <v>2034638.8670000001</v>
      </c>
      <c r="J21" s="665">
        <v>101427.3708</v>
      </c>
      <c r="K21" s="665">
        <v>569848.65280000004</v>
      </c>
      <c r="L21" s="665">
        <v>1357073.5733</v>
      </c>
      <c r="M21" s="665">
        <v>1466.13</v>
      </c>
      <c r="N21" s="665">
        <v>4823.1400000000003</v>
      </c>
      <c r="O21" s="664"/>
    </row>
    <row r="22" spans="1:15">
      <c r="A22" s="503">
        <v>16</v>
      </c>
      <c r="B22" s="511" t="s">
        <v>577</v>
      </c>
      <c r="C22" s="666">
        <v>10493.09</v>
      </c>
      <c r="D22" s="668">
        <v>10493.09</v>
      </c>
      <c r="E22" s="668">
        <v>0</v>
      </c>
      <c r="F22" s="665">
        <v>0</v>
      </c>
      <c r="G22" s="665">
        <v>0</v>
      </c>
      <c r="H22" s="668">
        <v>0</v>
      </c>
      <c r="I22" s="668">
        <v>209.87</v>
      </c>
      <c r="J22" s="665">
        <v>209.87</v>
      </c>
      <c r="K22" s="665">
        <v>0</v>
      </c>
      <c r="L22" s="665">
        <v>0</v>
      </c>
      <c r="M22" s="665">
        <v>0</v>
      </c>
      <c r="N22" s="665">
        <v>0</v>
      </c>
      <c r="O22" s="664"/>
    </row>
    <row r="23" spans="1:15">
      <c r="A23" s="503">
        <v>17</v>
      </c>
      <c r="B23" s="511" t="s">
        <v>578</v>
      </c>
      <c r="C23" s="666">
        <v>15787463.4298</v>
      </c>
      <c r="D23" s="668">
        <v>11420905.09</v>
      </c>
      <c r="E23" s="668">
        <v>0</v>
      </c>
      <c r="F23" s="665">
        <v>4366558.3398000002</v>
      </c>
      <c r="G23" s="665">
        <v>0</v>
      </c>
      <c r="H23" s="668">
        <v>0</v>
      </c>
      <c r="I23" s="668">
        <v>1538385.6081999999</v>
      </c>
      <c r="J23" s="665">
        <v>228418.1</v>
      </c>
      <c r="K23" s="665">
        <v>0</v>
      </c>
      <c r="L23" s="665">
        <v>1309967.5082</v>
      </c>
      <c r="M23" s="665">
        <v>0</v>
      </c>
      <c r="N23" s="665">
        <v>0</v>
      </c>
      <c r="O23" s="664"/>
    </row>
    <row r="24" spans="1:15">
      <c r="A24" s="503">
        <v>18</v>
      </c>
      <c r="B24" s="511" t="s">
        <v>579</v>
      </c>
      <c r="C24" s="666">
        <v>21177001.829300001</v>
      </c>
      <c r="D24" s="668">
        <v>21173867.989300001</v>
      </c>
      <c r="E24" s="668">
        <v>0</v>
      </c>
      <c r="F24" s="665">
        <v>1134.26</v>
      </c>
      <c r="G24" s="665">
        <v>0</v>
      </c>
      <c r="H24" s="668">
        <v>1999.58</v>
      </c>
      <c r="I24" s="668">
        <v>425817.20110000001</v>
      </c>
      <c r="J24" s="665">
        <v>423477.35110000003</v>
      </c>
      <c r="K24" s="665">
        <v>0</v>
      </c>
      <c r="L24" s="665">
        <v>340.27</v>
      </c>
      <c r="M24" s="665">
        <v>0</v>
      </c>
      <c r="N24" s="665">
        <v>1999.58</v>
      </c>
      <c r="O24" s="664"/>
    </row>
    <row r="25" spans="1:15">
      <c r="A25" s="503">
        <v>19</v>
      </c>
      <c r="B25" s="511" t="s">
        <v>580</v>
      </c>
      <c r="C25" s="666">
        <v>3840737.1523000002</v>
      </c>
      <c r="D25" s="668">
        <v>3837738.4723</v>
      </c>
      <c r="E25" s="668">
        <v>2998.68</v>
      </c>
      <c r="F25" s="665">
        <v>0</v>
      </c>
      <c r="G25" s="665">
        <v>0</v>
      </c>
      <c r="H25" s="668">
        <v>0</v>
      </c>
      <c r="I25" s="668">
        <v>77054.605800000005</v>
      </c>
      <c r="J25" s="665">
        <v>76754.735799999995</v>
      </c>
      <c r="K25" s="665">
        <v>299.87</v>
      </c>
      <c r="L25" s="665">
        <v>0</v>
      </c>
      <c r="M25" s="665">
        <v>0</v>
      </c>
      <c r="N25" s="665">
        <v>0</v>
      </c>
      <c r="O25" s="664"/>
    </row>
    <row r="26" spans="1:15">
      <c r="A26" s="503">
        <v>20</v>
      </c>
      <c r="B26" s="511" t="s">
        <v>581</v>
      </c>
      <c r="C26" s="666">
        <v>914189.49</v>
      </c>
      <c r="D26" s="668">
        <v>881373.2</v>
      </c>
      <c r="E26" s="668">
        <v>8312.98</v>
      </c>
      <c r="F26" s="665">
        <v>17873.45</v>
      </c>
      <c r="G26" s="665">
        <v>2305.12</v>
      </c>
      <c r="H26" s="668">
        <v>4324.74</v>
      </c>
      <c r="I26" s="668">
        <v>29298.14</v>
      </c>
      <c r="J26" s="665">
        <v>17627.5</v>
      </c>
      <c r="K26" s="665">
        <v>831.3</v>
      </c>
      <c r="L26" s="665">
        <v>5362.03</v>
      </c>
      <c r="M26" s="665">
        <v>1152.57</v>
      </c>
      <c r="N26" s="665">
        <v>4324.74</v>
      </c>
      <c r="O26" s="664"/>
    </row>
    <row r="27" spans="1:15">
      <c r="A27" s="503">
        <v>21</v>
      </c>
      <c r="B27" s="511" t="s">
        <v>582</v>
      </c>
      <c r="C27" s="666">
        <v>229471.04</v>
      </c>
      <c r="D27" s="668">
        <v>228809.91</v>
      </c>
      <c r="E27" s="668">
        <v>0</v>
      </c>
      <c r="F27" s="665">
        <v>661.13</v>
      </c>
      <c r="G27" s="665">
        <v>0</v>
      </c>
      <c r="H27" s="668">
        <v>0</v>
      </c>
      <c r="I27" s="668">
        <v>4774.53</v>
      </c>
      <c r="J27" s="665">
        <v>4576.1899999999996</v>
      </c>
      <c r="K27" s="665">
        <v>0</v>
      </c>
      <c r="L27" s="665">
        <v>198.34</v>
      </c>
      <c r="M27" s="665">
        <v>0</v>
      </c>
      <c r="N27" s="665">
        <v>0</v>
      </c>
      <c r="O27" s="664"/>
    </row>
    <row r="28" spans="1:15">
      <c r="A28" s="503">
        <v>22</v>
      </c>
      <c r="B28" s="511" t="s">
        <v>583</v>
      </c>
      <c r="C28" s="666">
        <v>238856.08</v>
      </c>
      <c r="D28" s="668">
        <v>231863.75</v>
      </c>
      <c r="E28" s="668">
        <v>992.33</v>
      </c>
      <c r="F28" s="665">
        <v>1000</v>
      </c>
      <c r="G28" s="665">
        <v>0</v>
      </c>
      <c r="H28" s="668">
        <v>5000</v>
      </c>
      <c r="I28" s="668">
        <v>10036.530000000001</v>
      </c>
      <c r="J28" s="665">
        <v>4637.3</v>
      </c>
      <c r="K28" s="665">
        <v>99.23</v>
      </c>
      <c r="L28" s="665">
        <v>300</v>
      </c>
      <c r="M28" s="665">
        <v>0</v>
      </c>
      <c r="N28" s="665">
        <v>5000</v>
      </c>
      <c r="O28" s="664"/>
    </row>
    <row r="29" spans="1:15">
      <c r="A29" s="503">
        <v>23</v>
      </c>
      <c r="B29" s="511" t="s">
        <v>584</v>
      </c>
      <c r="C29" s="666">
        <v>11209058.7938</v>
      </c>
      <c r="D29" s="668">
        <v>6008223.2314999998</v>
      </c>
      <c r="E29" s="668">
        <v>1647024.9450999999</v>
      </c>
      <c r="F29" s="665">
        <v>3505846.7472000001</v>
      </c>
      <c r="G29" s="665">
        <v>15899.36</v>
      </c>
      <c r="H29" s="668">
        <v>32064.51</v>
      </c>
      <c r="I29" s="668">
        <v>1376635.4654999999</v>
      </c>
      <c r="J29" s="665">
        <v>120164.70600000001</v>
      </c>
      <c r="K29" s="665">
        <v>164702.5019</v>
      </c>
      <c r="L29" s="665">
        <v>1051754.0375999999</v>
      </c>
      <c r="M29" s="665">
        <v>7949.71</v>
      </c>
      <c r="N29" s="665">
        <v>32064.51</v>
      </c>
      <c r="O29" s="664"/>
    </row>
    <row r="30" spans="1:15">
      <c r="A30" s="503">
        <v>24</v>
      </c>
      <c r="B30" s="511" t="s">
        <v>585</v>
      </c>
      <c r="C30" s="666">
        <v>4810661.2253</v>
      </c>
      <c r="D30" s="668">
        <v>4170988.2253</v>
      </c>
      <c r="E30" s="668">
        <v>0</v>
      </c>
      <c r="F30" s="665">
        <v>639673</v>
      </c>
      <c r="G30" s="665">
        <v>0</v>
      </c>
      <c r="H30" s="668">
        <v>0</v>
      </c>
      <c r="I30" s="668">
        <v>275321.6801</v>
      </c>
      <c r="J30" s="665">
        <v>83419.780100000004</v>
      </c>
      <c r="K30" s="665">
        <v>0</v>
      </c>
      <c r="L30" s="665">
        <v>191901.9</v>
      </c>
      <c r="M30" s="665">
        <v>0</v>
      </c>
      <c r="N30" s="665">
        <v>0</v>
      </c>
      <c r="O30" s="664"/>
    </row>
    <row r="31" spans="1:15">
      <c r="A31" s="503">
        <v>25</v>
      </c>
      <c r="B31" s="511" t="s">
        <v>586</v>
      </c>
      <c r="C31" s="666">
        <v>11295232.5086</v>
      </c>
      <c r="D31" s="668">
        <v>3045321.4419999998</v>
      </c>
      <c r="E31" s="668">
        <v>8094283.4866000004</v>
      </c>
      <c r="F31" s="665">
        <v>36228.519999999997</v>
      </c>
      <c r="G31" s="665">
        <v>28007.34</v>
      </c>
      <c r="H31" s="668">
        <v>91391.72</v>
      </c>
      <c r="I31" s="668">
        <v>986598.76989999996</v>
      </c>
      <c r="J31" s="665">
        <v>60906.371599999999</v>
      </c>
      <c r="K31" s="665">
        <v>809428.3983</v>
      </c>
      <c r="L31" s="665">
        <v>10868.57</v>
      </c>
      <c r="M31" s="665">
        <v>14003.71</v>
      </c>
      <c r="N31" s="665">
        <v>91391.72</v>
      </c>
      <c r="O31" s="664"/>
    </row>
    <row r="32" spans="1:15">
      <c r="A32" s="503">
        <v>26</v>
      </c>
      <c r="B32" s="511" t="s">
        <v>688</v>
      </c>
      <c r="C32" s="666">
        <v>16852.146799999999</v>
      </c>
      <c r="D32" s="668">
        <v>7927.45</v>
      </c>
      <c r="E32" s="668">
        <v>0</v>
      </c>
      <c r="F32" s="665">
        <v>0</v>
      </c>
      <c r="G32" s="665">
        <v>0</v>
      </c>
      <c r="H32" s="668">
        <v>8924.6967999999997</v>
      </c>
      <c r="I32" s="668">
        <v>9083.2368000000006</v>
      </c>
      <c r="J32" s="665">
        <v>158.54</v>
      </c>
      <c r="K32" s="665">
        <v>0</v>
      </c>
      <c r="L32" s="665">
        <v>0</v>
      </c>
      <c r="M32" s="665">
        <v>0</v>
      </c>
      <c r="N32" s="665">
        <v>8924.6967999999997</v>
      </c>
      <c r="O32" s="664"/>
    </row>
    <row r="33" spans="1:15" s="507" customFormat="1">
      <c r="A33" s="495">
        <v>27</v>
      </c>
      <c r="B33" s="547" t="s">
        <v>68</v>
      </c>
      <c r="C33" s="669">
        <v>284026273.80900002</v>
      </c>
      <c r="D33" s="669">
        <v>223760179.336</v>
      </c>
      <c r="E33" s="669">
        <v>28542146.0473</v>
      </c>
      <c r="F33" s="669">
        <v>29918822.688900001</v>
      </c>
      <c r="G33" s="669">
        <v>260251.63</v>
      </c>
      <c r="H33" s="669">
        <v>1544874.1068</v>
      </c>
      <c r="I33" s="669">
        <v>17980066.2434</v>
      </c>
      <c r="J33" s="669">
        <v>4475204.5011</v>
      </c>
      <c r="K33" s="669">
        <v>2854214.6954000001</v>
      </c>
      <c r="L33" s="669">
        <v>8975646.8699999992</v>
      </c>
      <c r="M33" s="669">
        <v>130126.07</v>
      </c>
      <c r="N33" s="669">
        <v>1544874.1068</v>
      </c>
      <c r="O33" s="663"/>
    </row>
    <row r="34" spans="1:15">
      <c r="A34" s="512"/>
      <c r="B34" s="512"/>
      <c r="C34" s="512"/>
      <c r="D34" s="512"/>
      <c r="E34" s="512"/>
      <c r="H34" s="512"/>
      <c r="I34" s="512"/>
      <c r="O34" s="512"/>
    </row>
    <row r="35" spans="1:15">
      <c r="A35" s="512"/>
      <c r="B35" s="514"/>
      <c r="C35" s="514"/>
      <c r="D35" s="512"/>
      <c r="E35" s="512"/>
      <c r="H35" s="512"/>
      <c r="I35" s="512"/>
      <c r="O35" s="512"/>
    </row>
    <row r="36" spans="1:15">
      <c r="A36" s="512"/>
      <c r="B36" s="512"/>
      <c r="C36" s="512"/>
      <c r="D36" s="512"/>
      <c r="E36" s="512"/>
      <c r="H36" s="512"/>
      <c r="I36" s="512"/>
      <c r="O36" s="512"/>
    </row>
    <row r="37" spans="1:15">
      <c r="A37" s="512"/>
      <c r="B37" s="512"/>
      <c r="C37" s="512"/>
      <c r="D37" s="512"/>
      <c r="E37" s="512"/>
      <c r="H37" s="512"/>
      <c r="I37" s="512"/>
      <c r="O37" s="512"/>
    </row>
    <row r="38" spans="1:15">
      <c r="A38" s="512"/>
      <c r="B38" s="512"/>
      <c r="C38" s="512"/>
      <c r="D38" s="512"/>
      <c r="E38" s="512"/>
      <c r="H38" s="512"/>
      <c r="I38" s="512"/>
      <c r="O38" s="512"/>
    </row>
    <row r="39" spans="1:15">
      <c r="A39" s="512"/>
      <c r="B39" s="512"/>
      <c r="C39" s="512"/>
      <c r="D39" s="512"/>
      <c r="E39" s="512"/>
      <c r="H39" s="512"/>
      <c r="I39" s="512"/>
      <c r="O39" s="512"/>
    </row>
    <row r="40" spans="1:15">
      <c r="A40" s="512"/>
      <c r="B40" s="512"/>
      <c r="C40" s="512"/>
      <c r="D40" s="512"/>
      <c r="E40" s="512"/>
      <c r="H40" s="512"/>
      <c r="I40" s="512"/>
      <c r="O40" s="512"/>
    </row>
    <row r="41" spans="1:15">
      <c r="A41" s="515"/>
      <c r="B41" s="515"/>
      <c r="C41" s="515"/>
      <c r="D41" s="512"/>
      <c r="E41" s="512"/>
      <c r="H41" s="512"/>
      <c r="I41" s="512"/>
      <c r="O41" s="512"/>
    </row>
    <row r="42" spans="1:15">
      <c r="A42" s="515"/>
      <c r="B42" s="515"/>
      <c r="C42" s="515"/>
      <c r="D42" s="512"/>
      <c r="E42" s="512"/>
      <c r="H42" s="512"/>
      <c r="I42" s="512"/>
      <c r="O42" s="512"/>
    </row>
    <row r="43" spans="1:15">
      <c r="A43" s="512"/>
      <c r="B43" s="516"/>
      <c r="C43" s="516"/>
      <c r="D43" s="512"/>
      <c r="E43" s="512"/>
      <c r="H43" s="512"/>
      <c r="I43" s="512"/>
      <c r="O43" s="512"/>
    </row>
    <row r="44" spans="1:15">
      <c r="A44" s="512"/>
      <c r="B44" s="516"/>
      <c r="C44" s="516"/>
      <c r="D44" s="512"/>
      <c r="E44" s="512"/>
      <c r="H44" s="512"/>
      <c r="I44" s="512"/>
      <c r="O44" s="512"/>
    </row>
    <row r="45" spans="1:15">
      <c r="A45" s="512"/>
      <c r="B45" s="516"/>
      <c r="C45" s="516"/>
      <c r="D45" s="512"/>
      <c r="E45" s="512"/>
      <c r="H45" s="512"/>
      <c r="I45" s="512"/>
      <c r="O45" s="512"/>
    </row>
    <row r="46" spans="1:15">
      <c r="A46" s="512"/>
      <c r="B46" s="512"/>
      <c r="C46" s="512"/>
      <c r="D46" s="512"/>
      <c r="E46" s="512"/>
      <c r="H46" s="512"/>
      <c r="I46" s="512"/>
      <c r="O46" s="51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90" zoomScaleNormal="90" workbookViewId="0">
      <selection activeCell="E28" sqref="E28"/>
    </sheetView>
  </sheetViews>
  <sheetFormatPr defaultColWidth="8.6328125" defaultRowHeight="12"/>
  <cols>
    <col min="1" max="1" width="11.90625" style="549" bestFit="1" customWidth="1"/>
    <col min="2" max="2" width="83.81640625" style="549" customWidth="1"/>
    <col min="3" max="11" width="16.08984375" style="549" customWidth="1"/>
    <col min="12" max="16384" width="8.6328125" style="549"/>
  </cols>
  <sheetData>
    <row r="1" spans="1:11" s="488" customFormat="1" ht="13">
      <c r="A1" s="487" t="s">
        <v>188</v>
      </c>
      <c r="B1" s="425" t="str">
        <f>Info!C2</f>
        <v>სს " პაშა ბანკი საქართველო"</v>
      </c>
    </row>
    <row r="2" spans="1:11" s="488" customFormat="1">
      <c r="A2" s="489" t="s">
        <v>189</v>
      </c>
      <c r="B2" s="614">
        <f>'1. key ratios'!B2</f>
        <v>44469</v>
      </c>
    </row>
    <row r="3" spans="1:11" s="488" customFormat="1">
      <c r="A3" s="490" t="s">
        <v>689</v>
      </c>
    </row>
    <row r="4" spans="1:11">
      <c r="C4" s="550" t="s">
        <v>539</v>
      </c>
      <c r="D4" s="550" t="s">
        <v>540</v>
      </c>
      <c r="E4" s="550" t="s">
        <v>541</v>
      </c>
      <c r="F4" s="550" t="s">
        <v>542</v>
      </c>
      <c r="G4" s="550" t="s">
        <v>543</v>
      </c>
      <c r="H4" s="550" t="s">
        <v>544</v>
      </c>
      <c r="I4" s="550" t="s">
        <v>545</v>
      </c>
      <c r="J4" s="550" t="s">
        <v>546</v>
      </c>
      <c r="K4" s="550" t="s">
        <v>547</v>
      </c>
    </row>
    <row r="5" spans="1:11" ht="96">
      <c r="A5" s="815" t="s">
        <v>690</v>
      </c>
      <c r="B5" s="816"/>
      <c r="C5" s="492" t="s">
        <v>691</v>
      </c>
      <c r="D5" s="492" t="s">
        <v>677</v>
      </c>
      <c r="E5" s="492" t="s">
        <v>678</v>
      </c>
      <c r="F5" s="492" t="s">
        <v>692</v>
      </c>
      <c r="G5" s="492" t="s">
        <v>693</v>
      </c>
      <c r="H5" s="492" t="s">
        <v>694</v>
      </c>
      <c r="I5" s="492" t="s">
        <v>695</v>
      </c>
      <c r="J5" s="492" t="s">
        <v>696</v>
      </c>
      <c r="K5" s="492" t="s">
        <v>697</v>
      </c>
    </row>
    <row r="6" spans="1:11">
      <c r="A6" s="503">
        <v>1</v>
      </c>
      <c r="B6" s="503" t="s">
        <v>698</v>
      </c>
      <c r="C6" s="612">
        <v>1255651</v>
      </c>
      <c r="D6" s="612" t="s">
        <v>778</v>
      </c>
      <c r="E6" s="612" t="s">
        <v>770</v>
      </c>
      <c r="F6" s="612"/>
      <c r="G6" s="612">
        <v>211875523</v>
      </c>
      <c r="H6" s="612" t="s">
        <v>779</v>
      </c>
      <c r="I6" s="612">
        <v>33521756</v>
      </c>
      <c r="J6" s="612">
        <v>4482244</v>
      </c>
      <c r="K6" s="612">
        <v>32891099</v>
      </c>
    </row>
    <row r="7" spans="1:11">
      <c r="A7" s="503">
        <v>2</v>
      </c>
      <c r="B7" s="504" t="s">
        <v>699</v>
      </c>
      <c r="C7" s="612" t="s">
        <v>768</v>
      </c>
      <c r="D7" s="612" t="s">
        <v>778</v>
      </c>
      <c r="E7" s="612" t="s">
        <v>770</v>
      </c>
      <c r="F7" s="612"/>
      <c r="G7" s="612">
        <v>3500000</v>
      </c>
      <c r="H7" s="612" t="s">
        <v>779</v>
      </c>
      <c r="I7" s="612">
        <v>14000000</v>
      </c>
      <c r="J7" s="612" t="s">
        <v>780</v>
      </c>
      <c r="K7" s="612">
        <v>15651813</v>
      </c>
    </row>
    <row r="8" spans="1:11">
      <c r="A8" s="503">
        <v>3</v>
      </c>
      <c r="B8" s="504" t="s">
        <v>649</v>
      </c>
      <c r="C8" s="612">
        <v>4760787</v>
      </c>
      <c r="D8" s="612" t="s">
        <v>778</v>
      </c>
      <c r="E8" s="612">
        <v>21121889</v>
      </c>
      <c r="F8" s="612"/>
      <c r="G8" s="612">
        <v>6473001</v>
      </c>
      <c r="H8" s="612" t="s">
        <v>779</v>
      </c>
      <c r="I8" s="612">
        <v>2401834</v>
      </c>
      <c r="J8" s="612">
        <v>950552</v>
      </c>
      <c r="K8" s="612">
        <v>19829227</v>
      </c>
    </row>
    <row r="9" spans="1:11">
      <c r="A9" s="503">
        <v>4</v>
      </c>
      <c r="B9" s="531" t="s">
        <v>700</v>
      </c>
      <c r="C9" s="612" t="s">
        <v>768</v>
      </c>
      <c r="D9" s="612" t="s">
        <v>778</v>
      </c>
      <c r="E9" s="612" t="s">
        <v>770</v>
      </c>
      <c r="F9" s="612"/>
      <c r="G9" s="612">
        <v>29534202</v>
      </c>
      <c r="H9" s="612" t="s">
        <v>779</v>
      </c>
      <c r="I9" s="612">
        <v>1271792</v>
      </c>
      <c r="J9" s="612">
        <v>7918</v>
      </c>
      <c r="K9" s="612">
        <v>910037</v>
      </c>
    </row>
    <row r="10" spans="1:11">
      <c r="A10" s="503">
        <v>5</v>
      </c>
      <c r="B10" s="551" t="s">
        <v>701</v>
      </c>
      <c r="C10" s="612" t="s">
        <v>768</v>
      </c>
      <c r="D10" s="612" t="s">
        <v>778</v>
      </c>
      <c r="E10" s="612" t="s">
        <v>770</v>
      </c>
      <c r="F10" s="612"/>
      <c r="G10" s="612" t="s">
        <v>770</v>
      </c>
      <c r="H10" s="612" t="s">
        <v>779</v>
      </c>
      <c r="I10" s="612" t="s">
        <v>781</v>
      </c>
      <c r="J10" s="612" t="s">
        <v>780</v>
      </c>
      <c r="K10" s="612" t="s">
        <v>779</v>
      </c>
    </row>
    <row r="11" spans="1:11">
      <c r="A11" s="503">
        <v>6</v>
      </c>
      <c r="B11" s="551" t="s">
        <v>702</v>
      </c>
      <c r="C11" s="612" t="s">
        <v>768</v>
      </c>
      <c r="D11" s="612" t="s">
        <v>778</v>
      </c>
      <c r="E11" s="612" t="s">
        <v>770</v>
      </c>
      <c r="F11" s="612"/>
      <c r="G11" s="612" t="s">
        <v>770</v>
      </c>
      <c r="H11" s="612" t="s">
        <v>779</v>
      </c>
      <c r="I11" s="612" t="s">
        <v>781</v>
      </c>
      <c r="J11" s="612" t="s">
        <v>780</v>
      </c>
      <c r="K11" s="612" t="s">
        <v>779</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A2" zoomScaleNormal="100" workbookViewId="0">
      <selection activeCell="M24" sqref="M24"/>
    </sheetView>
  </sheetViews>
  <sheetFormatPr defaultRowHeight="14.5"/>
  <cols>
    <col min="1" max="1" width="10" bestFit="1" customWidth="1"/>
    <col min="2" max="2" width="42" customWidth="1"/>
    <col min="3" max="3" width="12" bestFit="1" customWidth="1"/>
    <col min="4" max="4" width="13.90625" customWidth="1"/>
    <col min="5" max="5" width="13.08984375" customWidth="1"/>
    <col min="6" max="6" width="16.54296875" customWidth="1"/>
    <col min="7" max="8" width="9.81640625" bestFit="1" customWidth="1"/>
    <col min="9" max="9" width="11.08984375" bestFit="1" customWidth="1"/>
    <col min="10" max="10" width="14.81640625" customWidth="1"/>
    <col min="11" max="11" width="13.36328125" customWidth="1"/>
    <col min="12" max="12" width="17" customWidth="1"/>
    <col min="13" max="14" width="9.81640625" bestFit="1" customWidth="1"/>
    <col min="15" max="15" width="14.6328125" customWidth="1"/>
    <col min="16" max="19" width="20.36328125" customWidth="1"/>
  </cols>
  <sheetData>
    <row r="1" spans="1:19">
      <c r="A1" s="487" t="s">
        <v>188</v>
      </c>
      <c r="B1" s="425" t="str">
        <f>Info!C2</f>
        <v>სს " პაშა ბანკი საქართველო"</v>
      </c>
    </row>
    <row r="2" spans="1:19">
      <c r="A2" s="489" t="s">
        <v>189</v>
      </c>
      <c r="B2" s="614">
        <f>'1. key ratios'!B2</f>
        <v>44469</v>
      </c>
    </row>
    <row r="3" spans="1:19">
      <c r="A3" s="490" t="s">
        <v>716</v>
      </c>
      <c r="B3" s="488"/>
    </row>
    <row r="4" spans="1:19">
      <c r="A4" s="490"/>
      <c r="B4" s="488"/>
    </row>
    <row r="5" spans="1:19" ht="24" customHeight="1">
      <c r="A5" s="817" t="s">
        <v>732</v>
      </c>
      <c r="B5" s="817"/>
      <c r="C5" s="819" t="s">
        <v>652</v>
      </c>
      <c r="D5" s="819"/>
      <c r="E5" s="819"/>
      <c r="F5" s="819"/>
      <c r="G5" s="819"/>
      <c r="H5" s="819"/>
      <c r="I5" s="819" t="s">
        <v>738</v>
      </c>
      <c r="J5" s="819"/>
      <c r="K5" s="819"/>
      <c r="L5" s="819"/>
      <c r="M5" s="819"/>
      <c r="N5" s="819"/>
      <c r="O5" s="818" t="s">
        <v>729</v>
      </c>
      <c r="P5" s="818" t="s">
        <v>735</v>
      </c>
      <c r="Q5" s="818" t="s">
        <v>734</v>
      </c>
      <c r="R5" s="818" t="s">
        <v>737</v>
      </c>
      <c r="S5" s="818" t="s">
        <v>730</v>
      </c>
    </row>
    <row r="6" spans="1:19" ht="36" customHeight="1">
      <c r="A6" s="817"/>
      <c r="B6" s="817"/>
      <c r="C6" s="571"/>
      <c r="D6" s="545" t="s">
        <v>683</v>
      </c>
      <c r="E6" s="545" t="s">
        <v>684</v>
      </c>
      <c r="F6" s="545" t="s">
        <v>685</v>
      </c>
      <c r="G6" s="545" t="s">
        <v>686</v>
      </c>
      <c r="H6" s="545" t="s">
        <v>687</v>
      </c>
      <c r="I6" s="571"/>
      <c r="J6" s="545" t="s">
        <v>683</v>
      </c>
      <c r="K6" s="545" t="s">
        <v>684</v>
      </c>
      <c r="L6" s="545" t="s">
        <v>685</v>
      </c>
      <c r="M6" s="545" t="s">
        <v>686</v>
      </c>
      <c r="N6" s="545" t="s">
        <v>687</v>
      </c>
      <c r="O6" s="818"/>
      <c r="P6" s="818"/>
      <c r="Q6" s="818"/>
      <c r="R6" s="818"/>
      <c r="S6" s="818"/>
    </row>
    <row r="7" spans="1:19">
      <c r="A7" s="563">
        <v>1</v>
      </c>
      <c r="B7" s="564" t="s">
        <v>717</v>
      </c>
      <c r="C7" s="703"/>
      <c r="D7" s="703"/>
      <c r="E7" s="703"/>
      <c r="F7" s="703"/>
      <c r="G7" s="703"/>
      <c r="H7" s="703"/>
      <c r="I7" s="703"/>
      <c r="J7" s="703"/>
      <c r="K7" s="703"/>
      <c r="L7" s="703"/>
      <c r="M7" s="703"/>
      <c r="N7" s="703"/>
      <c r="O7" s="703" t="s">
        <v>769</v>
      </c>
      <c r="P7" s="699"/>
      <c r="Q7" s="699"/>
      <c r="R7" s="699"/>
      <c r="S7" s="701"/>
    </row>
    <row r="8" spans="1:19">
      <c r="A8" s="563">
        <v>2</v>
      </c>
      <c r="B8" s="565" t="s">
        <v>718</v>
      </c>
      <c r="C8" s="703">
        <v>12375897</v>
      </c>
      <c r="D8" s="703">
        <v>11622394</v>
      </c>
      <c r="E8" s="703">
        <v>184851</v>
      </c>
      <c r="F8" s="703">
        <v>154558</v>
      </c>
      <c r="G8" s="703">
        <v>168158</v>
      </c>
      <c r="H8" s="703">
        <v>245936</v>
      </c>
      <c r="I8" s="703">
        <v>627315</v>
      </c>
      <c r="J8" s="703">
        <v>232448</v>
      </c>
      <c r="K8" s="703">
        <v>18485</v>
      </c>
      <c r="L8" s="703">
        <v>46367</v>
      </c>
      <c r="M8" s="703">
        <v>84079</v>
      </c>
      <c r="N8" s="703">
        <v>245936</v>
      </c>
      <c r="O8" s="703">
        <v>1722</v>
      </c>
      <c r="P8" s="699">
        <v>0.15989999999999999</v>
      </c>
      <c r="Q8" s="699">
        <v>0.17829999999999999</v>
      </c>
      <c r="R8" s="699">
        <v>0.16750000000000001</v>
      </c>
      <c r="S8" s="701">
        <v>37.299999999999997</v>
      </c>
    </row>
    <row r="9" spans="1:19">
      <c r="A9" s="563">
        <v>3</v>
      </c>
      <c r="B9" s="565" t="s">
        <v>719</v>
      </c>
      <c r="C9" s="703"/>
      <c r="D9" s="703"/>
      <c r="E9" s="703"/>
      <c r="F9" s="703"/>
      <c r="G9" s="703"/>
      <c r="H9" s="703"/>
      <c r="I9" s="703"/>
      <c r="J9" s="703"/>
      <c r="K9" s="703"/>
      <c r="L9" s="703"/>
      <c r="M9" s="703"/>
      <c r="N9" s="703"/>
      <c r="O9" s="703" t="s">
        <v>769</v>
      </c>
      <c r="P9" s="699"/>
      <c r="Q9" s="699"/>
      <c r="R9" s="699"/>
      <c r="S9" s="701"/>
    </row>
    <row r="10" spans="1:19">
      <c r="A10" s="563">
        <v>4</v>
      </c>
      <c r="B10" s="565" t="s">
        <v>720</v>
      </c>
      <c r="C10" s="703"/>
      <c r="D10" s="703"/>
      <c r="E10" s="703"/>
      <c r="F10" s="703"/>
      <c r="G10" s="703"/>
      <c r="H10" s="703"/>
      <c r="I10" s="703"/>
      <c r="J10" s="703"/>
      <c r="K10" s="703"/>
      <c r="L10" s="703"/>
      <c r="M10" s="703"/>
      <c r="N10" s="703"/>
      <c r="O10" s="703" t="s">
        <v>769</v>
      </c>
      <c r="P10" s="699"/>
      <c r="Q10" s="699"/>
      <c r="R10" s="699"/>
      <c r="S10" s="701"/>
    </row>
    <row r="11" spans="1:19">
      <c r="A11" s="563">
        <v>5</v>
      </c>
      <c r="B11" s="565" t="s">
        <v>721</v>
      </c>
      <c r="C11" s="703">
        <v>21127</v>
      </c>
      <c r="D11" s="703">
        <v>20839</v>
      </c>
      <c r="E11" s="703">
        <v>67</v>
      </c>
      <c r="F11" s="703" t="s">
        <v>767</v>
      </c>
      <c r="G11" s="703">
        <v>6</v>
      </c>
      <c r="H11" s="703">
        <v>214</v>
      </c>
      <c r="I11" s="703">
        <v>641</v>
      </c>
      <c r="J11" s="703">
        <v>417</v>
      </c>
      <c r="K11" s="703">
        <v>7</v>
      </c>
      <c r="L11" s="703">
        <v>0</v>
      </c>
      <c r="M11" s="703">
        <v>3</v>
      </c>
      <c r="N11" s="703">
        <v>214</v>
      </c>
      <c r="O11" s="703">
        <v>47</v>
      </c>
      <c r="P11" s="699">
        <v>0.13819999999999999</v>
      </c>
      <c r="Q11" s="699">
        <v>0.1482</v>
      </c>
      <c r="R11" s="699">
        <v>0.14299999999999999</v>
      </c>
      <c r="S11" s="701">
        <v>9.4</v>
      </c>
    </row>
    <row r="12" spans="1:19">
      <c r="A12" s="563">
        <v>6</v>
      </c>
      <c r="B12" s="565" t="s">
        <v>722</v>
      </c>
      <c r="C12" s="703">
        <v>7522095</v>
      </c>
      <c r="D12" s="703">
        <v>7060210</v>
      </c>
      <c r="E12" s="703">
        <v>120721</v>
      </c>
      <c r="F12" s="703">
        <v>118280</v>
      </c>
      <c r="G12" s="703">
        <v>92087</v>
      </c>
      <c r="H12" s="703">
        <v>130796</v>
      </c>
      <c r="I12" s="703">
        <v>365602</v>
      </c>
      <c r="J12" s="703">
        <v>141205</v>
      </c>
      <c r="K12" s="703">
        <v>12072</v>
      </c>
      <c r="L12" s="703">
        <v>35484</v>
      </c>
      <c r="M12" s="703">
        <v>46044</v>
      </c>
      <c r="N12" s="703">
        <v>130796</v>
      </c>
      <c r="O12" s="703">
        <v>10741</v>
      </c>
      <c r="P12" s="699">
        <v>0.36</v>
      </c>
      <c r="Q12" s="699">
        <v>0.39100000000000001</v>
      </c>
      <c r="R12" s="699">
        <v>0.36</v>
      </c>
      <c r="S12" s="701">
        <v>39.29</v>
      </c>
    </row>
    <row r="13" spans="1:19">
      <c r="A13" s="563">
        <v>7</v>
      </c>
      <c r="B13" s="565" t="s">
        <v>723</v>
      </c>
      <c r="C13" s="703">
        <v>413062</v>
      </c>
      <c r="D13" s="703">
        <v>413062</v>
      </c>
      <c r="E13" s="703" t="s">
        <v>781</v>
      </c>
      <c r="F13" s="703" t="s">
        <v>767</v>
      </c>
      <c r="G13" s="703" t="s">
        <v>767</v>
      </c>
      <c r="H13" s="703" t="s">
        <v>767</v>
      </c>
      <c r="I13" s="703">
        <v>8261</v>
      </c>
      <c r="J13" s="703">
        <v>8261</v>
      </c>
      <c r="K13" s="703"/>
      <c r="L13" s="703"/>
      <c r="M13" s="703"/>
      <c r="N13" s="703"/>
      <c r="O13" s="703">
        <v>2</v>
      </c>
      <c r="P13" s="699"/>
      <c r="Q13" s="699"/>
      <c r="R13" s="699">
        <v>8.5000000000000006E-2</v>
      </c>
      <c r="S13" s="701">
        <v>38.619999999999997</v>
      </c>
    </row>
    <row r="14" spans="1:19" ht="24">
      <c r="A14" s="563">
        <v>7.1</v>
      </c>
      <c r="B14" s="566" t="s">
        <v>724</v>
      </c>
      <c r="C14" s="703">
        <v>413062</v>
      </c>
      <c r="D14" s="703">
        <v>413062</v>
      </c>
      <c r="E14" s="703" t="s">
        <v>781</v>
      </c>
      <c r="F14" s="703" t="s">
        <v>767</v>
      </c>
      <c r="G14" s="703" t="s">
        <v>767</v>
      </c>
      <c r="H14" s="703" t="s">
        <v>767</v>
      </c>
      <c r="I14" s="703">
        <v>8261</v>
      </c>
      <c r="J14" s="703">
        <v>8261</v>
      </c>
      <c r="K14" s="703"/>
      <c r="L14" s="703"/>
      <c r="M14" s="703"/>
      <c r="N14" s="703"/>
      <c r="O14" s="703">
        <v>2</v>
      </c>
      <c r="P14" s="699"/>
      <c r="Q14" s="699"/>
      <c r="R14" s="699">
        <v>8.5000000000000006E-2</v>
      </c>
      <c r="S14" s="701">
        <v>38.619999999999997</v>
      </c>
    </row>
    <row r="15" spans="1:19">
      <c r="A15" s="563">
        <v>7.2</v>
      </c>
      <c r="B15" s="705" t="s">
        <v>725</v>
      </c>
      <c r="C15" s="703">
        <v>0</v>
      </c>
      <c r="D15" s="703"/>
      <c r="E15" s="703"/>
      <c r="F15" s="703"/>
      <c r="G15" s="703"/>
      <c r="H15" s="703"/>
      <c r="I15" s="703"/>
      <c r="J15" s="703"/>
      <c r="K15" s="703"/>
      <c r="L15" s="703"/>
      <c r="M15" s="703"/>
      <c r="N15" s="703"/>
      <c r="O15" s="703"/>
      <c r="P15" s="699"/>
      <c r="Q15" s="699"/>
      <c r="R15" s="699"/>
      <c r="S15" s="701"/>
    </row>
    <row r="16" spans="1:19" ht="24">
      <c r="A16" s="563">
        <v>7.3</v>
      </c>
      <c r="B16" s="566" t="s">
        <v>726</v>
      </c>
      <c r="C16" s="703"/>
      <c r="D16" s="703"/>
      <c r="E16" s="703"/>
      <c r="F16" s="703"/>
      <c r="G16" s="703"/>
      <c r="H16" s="703"/>
      <c r="I16" s="703"/>
      <c r="J16" s="703"/>
      <c r="K16" s="703"/>
      <c r="L16" s="703"/>
      <c r="M16" s="703"/>
      <c r="N16" s="703"/>
      <c r="O16" s="703"/>
      <c r="P16" s="699"/>
      <c r="Q16" s="699"/>
      <c r="R16" s="699"/>
      <c r="S16" s="701"/>
    </row>
    <row r="17" spans="1:19">
      <c r="A17" s="563">
        <v>8</v>
      </c>
      <c r="B17" s="565" t="s">
        <v>727</v>
      </c>
      <c r="C17" s="703"/>
      <c r="D17" s="703"/>
      <c r="E17" s="703"/>
      <c r="F17" s="703"/>
      <c r="G17" s="703"/>
      <c r="H17" s="703"/>
      <c r="I17" s="703"/>
      <c r="J17" s="703"/>
      <c r="K17" s="703"/>
      <c r="L17" s="703"/>
      <c r="M17" s="703"/>
      <c r="N17" s="703"/>
      <c r="O17" s="703"/>
      <c r="P17" s="699"/>
      <c r="Q17" s="699"/>
      <c r="R17" s="699"/>
      <c r="S17" s="701"/>
    </row>
    <row r="18" spans="1:19">
      <c r="A18" s="567">
        <v>9</v>
      </c>
      <c r="B18" s="568" t="s">
        <v>728</v>
      </c>
      <c r="C18" s="704"/>
      <c r="D18" s="704"/>
      <c r="E18" s="704"/>
      <c r="F18" s="704"/>
      <c r="G18" s="704"/>
      <c r="H18" s="704"/>
      <c r="I18" s="704"/>
      <c r="J18" s="704"/>
      <c r="K18" s="704"/>
      <c r="L18" s="704"/>
      <c r="M18" s="704"/>
      <c r="N18" s="704"/>
      <c r="O18" s="704" t="s">
        <v>769</v>
      </c>
      <c r="P18" s="700"/>
      <c r="Q18" s="700"/>
      <c r="R18" s="700"/>
      <c r="S18" s="702"/>
    </row>
    <row r="19" spans="1:19">
      <c r="A19" s="569">
        <v>10</v>
      </c>
      <c r="B19" s="570" t="s">
        <v>733</v>
      </c>
      <c r="C19" s="703">
        <v>20332181</v>
      </c>
      <c r="D19" s="703">
        <v>19116505</v>
      </c>
      <c r="E19" s="703">
        <v>305639</v>
      </c>
      <c r="F19" s="703">
        <v>272838</v>
      </c>
      <c r="G19" s="703">
        <v>260251</v>
      </c>
      <c r="H19" s="703">
        <v>376947</v>
      </c>
      <c r="I19" s="703">
        <v>1001820</v>
      </c>
      <c r="J19" s="703">
        <v>382330</v>
      </c>
      <c r="K19" s="703">
        <v>30564</v>
      </c>
      <c r="L19" s="703">
        <v>81852</v>
      </c>
      <c r="M19" s="703">
        <v>130126</v>
      </c>
      <c r="N19" s="703">
        <v>376947</v>
      </c>
      <c r="O19" s="703">
        <v>12512</v>
      </c>
      <c r="P19" s="699">
        <v>0.27529999999999999</v>
      </c>
      <c r="Q19" s="699">
        <v>0.30049999999999999</v>
      </c>
      <c r="R19" s="699">
        <v>0.23549999999999999</v>
      </c>
      <c r="S19" s="701">
        <v>38.04</v>
      </c>
    </row>
    <row r="20" spans="1:19">
      <c r="A20" s="563">
        <v>10.1</v>
      </c>
      <c r="B20" s="705" t="s">
        <v>736</v>
      </c>
      <c r="C20" s="703">
        <v>0</v>
      </c>
      <c r="D20" s="703"/>
      <c r="E20" s="703"/>
      <c r="F20" s="703"/>
      <c r="G20" s="703"/>
      <c r="H20" s="703"/>
      <c r="I20" s="703"/>
      <c r="J20" s="703"/>
      <c r="K20" s="703"/>
      <c r="L20" s="703"/>
      <c r="M20" s="703"/>
      <c r="N20" s="703"/>
      <c r="O20" s="703" t="s">
        <v>769</v>
      </c>
      <c r="P20" s="699"/>
      <c r="Q20" s="699"/>
      <c r="R20" s="699"/>
      <c r="S20" s="701"/>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zoomScale="90" zoomScaleNormal="90" workbookViewId="0">
      <pane xSplit="1" ySplit="5" topLeftCell="B6" activePane="bottomRight" state="frozen"/>
      <selection pane="topRight" activeCell="B1" sqref="B1"/>
      <selection pane="bottomLeft" activeCell="A5" sqref="A5"/>
      <selection pane="bottomRight" activeCell="B2" sqref="B2"/>
    </sheetView>
  </sheetViews>
  <sheetFormatPr defaultRowHeight="14.5"/>
  <cols>
    <col min="1" max="1" width="9.54296875" style="2" bestFit="1" customWidth="1"/>
    <col min="2" max="2" width="55.08984375" style="2" bestFit="1" customWidth="1"/>
    <col min="3" max="3" width="11.6328125" style="2" customWidth="1"/>
    <col min="4" max="4" width="13.36328125" style="2" customWidth="1"/>
    <col min="5" max="5" width="14.54296875" style="2" customWidth="1"/>
    <col min="6" max="6" width="11.6328125" style="2" customWidth="1"/>
    <col min="7" max="7" width="13.6328125" style="2" customWidth="1"/>
    <col min="8" max="8" width="14.54296875" style="2" customWidth="1"/>
  </cols>
  <sheetData>
    <row r="1" spans="1:8">
      <c r="A1" s="16" t="s">
        <v>188</v>
      </c>
      <c r="B1" s="331" t="str">
        <f>Info!C2</f>
        <v>სს " პაშა ბანკი საქართველო"</v>
      </c>
    </row>
    <row r="2" spans="1:8">
      <c r="A2" s="16" t="s">
        <v>189</v>
      </c>
      <c r="B2" s="611">
        <f>'1. key ratios'!B2</f>
        <v>44469</v>
      </c>
    </row>
    <row r="3" spans="1:8">
      <c r="A3" s="16"/>
    </row>
    <row r="4" spans="1:8" ht="15" thickBot="1">
      <c r="A4" s="28" t="s">
        <v>328</v>
      </c>
      <c r="B4" s="65" t="s">
        <v>243</v>
      </c>
      <c r="C4" s="28"/>
      <c r="D4" s="29"/>
      <c r="E4" s="29"/>
      <c r="F4" s="30"/>
      <c r="G4" s="30"/>
      <c r="H4" s="31" t="s">
        <v>93</v>
      </c>
    </row>
    <row r="5" spans="1:8">
      <c r="A5" s="32"/>
      <c r="B5" s="33"/>
      <c r="C5" s="710" t="s">
        <v>194</v>
      </c>
      <c r="D5" s="711"/>
      <c r="E5" s="712"/>
      <c r="F5" s="710" t="s">
        <v>195</v>
      </c>
      <c r="G5" s="711"/>
      <c r="H5" s="713"/>
    </row>
    <row r="6" spans="1:8">
      <c r="A6" s="34" t="s">
        <v>26</v>
      </c>
      <c r="B6" s="35" t="s">
        <v>153</v>
      </c>
      <c r="C6" s="36" t="s">
        <v>27</v>
      </c>
      <c r="D6" s="36" t="s">
        <v>94</v>
      </c>
      <c r="E6" s="36" t="s">
        <v>68</v>
      </c>
      <c r="F6" s="36" t="s">
        <v>27</v>
      </c>
      <c r="G6" s="36" t="s">
        <v>94</v>
      </c>
      <c r="H6" s="37" t="s">
        <v>68</v>
      </c>
    </row>
    <row r="7" spans="1:8">
      <c r="A7" s="34">
        <v>1</v>
      </c>
      <c r="B7" s="38" t="s">
        <v>154</v>
      </c>
      <c r="C7" s="227">
        <v>1091788.0900000001</v>
      </c>
      <c r="D7" s="227">
        <v>4560186.6052999999</v>
      </c>
      <c r="E7" s="228">
        <f>C7+D7</f>
        <v>5651974.6952999998</v>
      </c>
      <c r="F7" s="229">
        <v>1738073.12</v>
      </c>
      <c r="G7" s="230">
        <v>4675903.7236000001</v>
      </c>
      <c r="H7" s="231">
        <f>F7+G7</f>
        <v>6413976.8436000003</v>
      </c>
    </row>
    <row r="8" spans="1:8">
      <c r="A8" s="34">
        <v>2</v>
      </c>
      <c r="B8" s="38" t="s">
        <v>155</v>
      </c>
      <c r="C8" s="227">
        <v>2704699.37</v>
      </c>
      <c r="D8" s="227">
        <v>44416886.113900006</v>
      </c>
      <c r="E8" s="228">
        <f t="shared" ref="E8:E20" si="0">C8+D8</f>
        <v>47121585.483900003</v>
      </c>
      <c r="F8" s="229">
        <v>1822797.07</v>
      </c>
      <c r="G8" s="230">
        <v>41407801.034100004</v>
      </c>
      <c r="H8" s="231">
        <f t="shared" ref="H8:H40" si="1">F8+G8</f>
        <v>43230598.104100004</v>
      </c>
    </row>
    <row r="9" spans="1:8">
      <c r="A9" s="34">
        <v>3</v>
      </c>
      <c r="B9" s="38" t="s">
        <v>156</v>
      </c>
      <c r="C9" s="227">
        <v>7628987.0800000001</v>
      </c>
      <c r="D9" s="227">
        <v>63570947.822900005</v>
      </c>
      <c r="E9" s="228">
        <f t="shared" si="0"/>
        <v>71199934.90290001</v>
      </c>
      <c r="F9" s="229">
        <v>2058330.87</v>
      </c>
      <c r="G9" s="230">
        <v>39644467.820900001</v>
      </c>
      <c r="H9" s="231">
        <f t="shared" si="1"/>
        <v>41702798.690899998</v>
      </c>
    </row>
    <row r="10" spans="1:8">
      <c r="A10" s="34">
        <v>4</v>
      </c>
      <c r="B10" s="38" t="s">
        <v>185</v>
      </c>
      <c r="C10" s="227">
        <v>0</v>
      </c>
      <c r="D10" s="227">
        <v>0</v>
      </c>
      <c r="E10" s="228">
        <f t="shared" si="0"/>
        <v>0</v>
      </c>
      <c r="F10" s="229">
        <v>0</v>
      </c>
      <c r="G10" s="230">
        <v>0</v>
      </c>
      <c r="H10" s="231">
        <f t="shared" si="1"/>
        <v>0</v>
      </c>
    </row>
    <row r="11" spans="1:8">
      <c r="A11" s="34">
        <v>5</v>
      </c>
      <c r="B11" s="38" t="s">
        <v>157</v>
      </c>
      <c r="C11" s="227">
        <v>25044000</v>
      </c>
      <c r="D11" s="227">
        <v>12692621.068399999</v>
      </c>
      <c r="E11" s="228">
        <f t="shared" si="0"/>
        <v>37736621.068399996</v>
      </c>
      <c r="F11" s="229">
        <v>31407831.18</v>
      </c>
      <c r="G11" s="230">
        <v>13359896.6887</v>
      </c>
      <c r="H11" s="231">
        <f t="shared" si="1"/>
        <v>44767727.868699998</v>
      </c>
    </row>
    <row r="12" spans="1:8">
      <c r="A12" s="34">
        <v>6.1</v>
      </c>
      <c r="B12" s="39" t="s">
        <v>158</v>
      </c>
      <c r="C12" s="227">
        <v>92301035.469999999</v>
      </c>
      <c r="D12" s="227">
        <v>191725238.3391</v>
      </c>
      <c r="E12" s="228">
        <f t="shared" si="0"/>
        <v>284026273.80910003</v>
      </c>
      <c r="F12" s="229">
        <v>81576589.799999997</v>
      </c>
      <c r="G12" s="230">
        <v>235436887.60949999</v>
      </c>
      <c r="H12" s="231">
        <f t="shared" si="1"/>
        <v>317013477.4095</v>
      </c>
    </row>
    <row r="13" spans="1:8">
      <c r="A13" s="34">
        <v>6.2</v>
      </c>
      <c r="B13" s="39" t="s">
        <v>159</v>
      </c>
      <c r="C13" s="227">
        <v>-4024851.56</v>
      </c>
      <c r="D13" s="227">
        <v>-13955214.783399999</v>
      </c>
      <c r="E13" s="228">
        <f t="shared" si="0"/>
        <v>-17980066.343399998</v>
      </c>
      <c r="F13" s="229">
        <v>-3260225.96</v>
      </c>
      <c r="G13" s="230">
        <v>-16273454.747199999</v>
      </c>
      <c r="H13" s="231">
        <f t="shared" si="1"/>
        <v>-19533680.707199998</v>
      </c>
    </row>
    <row r="14" spans="1:8">
      <c r="A14" s="34">
        <v>6</v>
      </c>
      <c r="B14" s="38" t="s">
        <v>160</v>
      </c>
      <c r="C14" s="228">
        <f>C12+C13</f>
        <v>88276183.909999996</v>
      </c>
      <c r="D14" s="228">
        <f>D12+D13</f>
        <v>177770023.5557</v>
      </c>
      <c r="E14" s="228">
        <f t="shared" si="0"/>
        <v>266046207.4657</v>
      </c>
      <c r="F14" s="228">
        <f>F12+F13</f>
        <v>78316363.840000004</v>
      </c>
      <c r="G14" s="228">
        <f>G12+G13</f>
        <v>219163432.86229998</v>
      </c>
      <c r="H14" s="231">
        <f t="shared" si="1"/>
        <v>297479796.70229995</v>
      </c>
    </row>
    <row r="15" spans="1:8">
      <c r="A15" s="34">
        <v>7</v>
      </c>
      <c r="B15" s="38" t="s">
        <v>161</v>
      </c>
      <c r="C15" s="227">
        <v>925033.65</v>
      </c>
      <c r="D15" s="227">
        <v>1042736.8968</v>
      </c>
      <c r="E15" s="228">
        <f t="shared" si="0"/>
        <v>1967770.5468000001</v>
      </c>
      <c r="F15" s="229">
        <v>2127687.11</v>
      </c>
      <c r="G15" s="230">
        <v>3180777.8464000002</v>
      </c>
      <c r="H15" s="231">
        <f t="shared" si="1"/>
        <v>5308464.9563999996</v>
      </c>
    </row>
    <row r="16" spans="1:8">
      <c r="A16" s="34">
        <v>8</v>
      </c>
      <c r="B16" s="38" t="s">
        <v>162</v>
      </c>
      <c r="C16" s="227">
        <v>98175</v>
      </c>
      <c r="D16" s="227">
        <v>0</v>
      </c>
      <c r="E16" s="228">
        <f t="shared" si="0"/>
        <v>98175</v>
      </c>
      <c r="F16" s="229">
        <v>98175</v>
      </c>
      <c r="G16" s="230">
        <v>0</v>
      </c>
      <c r="H16" s="231">
        <f t="shared" si="1"/>
        <v>98175</v>
      </c>
    </row>
    <row r="17" spans="1:8">
      <c r="A17" s="34">
        <v>9</v>
      </c>
      <c r="B17" s="38" t="s">
        <v>163</v>
      </c>
      <c r="C17" s="227">
        <v>0</v>
      </c>
      <c r="D17" s="227">
        <v>0</v>
      </c>
      <c r="E17" s="228">
        <f t="shared" si="0"/>
        <v>0</v>
      </c>
      <c r="F17" s="229">
        <v>0</v>
      </c>
      <c r="G17" s="230">
        <v>0</v>
      </c>
      <c r="H17" s="231">
        <f t="shared" si="1"/>
        <v>0</v>
      </c>
    </row>
    <row r="18" spans="1:8">
      <c r="A18" s="34">
        <v>10</v>
      </c>
      <c r="B18" s="38" t="s">
        <v>164</v>
      </c>
      <c r="C18" s="227">
        <v>15335810.289999999</v>
      </c>
      <c r="D18" s="227">
        <v>0</v>
      </c>
      <c r="E18" s="228">
        <f t="shared" si="0"/>
        <v>15335810.289999999</v>
      </c>
      <c r="F18" s="229">
        <v>22138866.879999999</v>
      </c>
      <c r="G18" s="230">
        <v>0</v>
      </c>
      <c r="H18" s="231">
        <f t="shared" si="1"/>
        <v>22138866.879999999</v>
      </c>
    </row>
    <row r="19" spans="1:8">
      <c r="A19" s="34">
        <v>11</v>
      </c>
      <c r="B19" s="38" t="s">
        <v>165</v>
      </c>
      <c r="C19" s="227">
        <v>2799754.9499999997</v>
      </c>
      <c r="D19" s="227">
        <v>255200.81830000001</v>
      </c>
      <c r="E19" s="228">
        <f t="shared" si="0"/>
        <v>3054955.7682999996</v>
      </c>
      <c r="F19" s="229">
        <v>3500268.74</v>
      </c>
      <c r="G19" s="230">
        <v>72624.297200000001</v>
      </c>
      <c r="H19" s="231">
        <f t="shared" si="1"/>
        <v>3572893.0372000001</v>
      </c>
    </row>
    <row r="20" spans="1:8">
      <c r="A20" s="34">
        <v>12</v>
      </c>
      <c r="B20" s="40" t="s">
        <v>166</v>
      </c>
      <c r="C20" s="228">
        <f>SUM(C7:C11)+SUM(C14:C19)</f>
        <v>143904432.34</v>
      </c>
      <c r="D20" s="228">
        <f>SUM(D7:D11)+SUM(D14:D19)</f>
        <v>304308602.88130003</v>
      </c>
      <c r="E20" s="228">
        <f t="shared" si="0"/>
        <v>448213035.22130001</v>
      </c>
      <c r="F20" s="228">
        <f>SUM(F7:F11)+SUM(F14:F19)</f>
        <v>143208393.81</v>
      </c>
      <c r="G20" s="228">
        <f>SUM(G7:G11)+SUM(G14:G19)</f>
        <v>321504904.27319998</v>
      </c>
      <c r="H20" s="231">
        <f t="shared" si="1"/>
        <v>464713298.08319998</v>
      </c>
    </row>
    <row r="21" spans="1:8">
      <c r="A21" s="34"/>
      <c r="B21" s="35" t="s">
        <v>183</v>
      </c>
      <c r="C21" s="232"/>
      <c r="D21" s="232"/>
      <c r="E21" s="232"/>
      <c r="F21" s="233"/>
      <c r="G21" s="234"/>
      <c r="H21" s="235"/>
    </row>
    <row r="22" spans="1:8">
      <c r="A22" s="34">
        <v>13</v>
      </c>
      <c r="B22" s="38" t="s">
        <v>167</v>
      </c>
      <c r="C22" s="227">
        <v>10518067.59</v>
      </c>
      <c r="D22" s="227">
        <v>59346230.660300002</v>
      </c>
      <c r="E22" s="228">
        <f>C22+D22</f>
        <v>69864298.250300005</v>
      </c>
      <c r="F22" s="229">
        <v>12282501.439999999</v>
      </c>
      <c r="G22" s="230">
        <v>62470334.502700001</v>
      </c>
      <c r="H22" s="231">
        <f t="shared" si="1"/>
        <v>74752835.942699999</v>
      </c>
    </row>
    <row r="23" spans="1:8">
      <c r="A23" s="34">
        <v>14</v>
      </c>
      <c r="B23" s="38" t="s">
        <v>168</v>
      </c>
      <c r="C23" s="227">
        <v>5851433.0899999999</v>
      </c>
      <c r="D23" s="227">
        <v>45228774.730599999</v>
      </c>
      <c r="E23" s="228">
        <f t="shared" ref="E23:E40" si="2">C23+D23</f>
        <v>51080207.820600003</v>
      </c>
      <c r="F23" s="229">
        <v>8554528.2300000004</v>
      </c>
      <c r="G23" s="230">
        <v>49587345.734700002</v>
      </c>
      <c r="H23" s="231">
        <f t="shared" si="1"/>
        <v>58141873.964699998</v>
      </c>
    </row>
    <row r="24" spans="1:8">
      <c r="A24" s="34">
        <v>15</v>
      </c>
      <c r="B24" s="38" t="s">
        <v>169</v>
      </c>
      <c r="C24" s="227">
        <v>3474948.37</v>
      </c>
      <c r="D24" s="227">
        <v>805658.40639999998</v>
      </c>
      <c r="E24" s="228">
        <f t="shared" si="2"/>
        <v>4280606.7763999999</v>
      </c>
      <c r="F24" s="229">
        <v>1157846.22</v>
      </c>
      <c r="G24" s="230">
        <v>2077431.3463000001</v>
      </c>
      <c r="H24" s="231">
        <f t="shared" si="1"/>
        <v>3235277.5663000001</v>
      </c>
    </row>
    <row r="25" spans="1:8">
      <c r="A25" s="34">
        <v>16</v>
      </c>
      <c r="B25" s="38" t="s">
        <v>170</v>
      </c>
      <c r="C25" s="227">
        <v>38219566.560000002</v>
      </c>
      <c r="D25" s="227">
        <v>120895876.2924</v>
      </c>
      <c r="E25" s="228">
        <f t="shared" si="2"/>
        <v>159115442.8524</v>
      </c>
      <c r="F25" s="229">
        <v>32786124.379999999</v>
      </c>
      <c r="G25" s="230">
        <v>121188162.0466</v>
      </c>
      <c r="H25" s="231">
        <f t="shared" si="1"/>
        <v>153974286.42660001</v>
      </c>
    </row>
    <row r="26" spans="1:8">
      <c r="A26" s="34">
        <v>17</v>
      </c>
      <c r="B26" s="38" t="s">
        <v>171</v>
      </c>
      <c r="C26" s="232"/>
      <c r="D26" s="232"/>
      <c r="E26" s="228">
        <f t="shared" si="2"/>
        <v>0</v>
      </c>
      <c r="F26" s="233">
        <v>0</v>
      </c>
      <c r="G26" s="234">
        <v>0</v>
      </c>
      <c r="H26" s="231">
        <f t="shared" si="1"/>
        <v>0</v>
      </c>
    </row>
    <row r="27" spans="1:8">
      <c r="A27" s="34">
        <v>18</v>
      </c>
      <c r="B27" s="38" t="s">
        <v>172</v>
      </c>
      <c r="C27" s="227">
        <v>20000000</v>
      </c>
      <c r="D27" s="227">
        <v>15614000</v>
      </c>
      <c r="E27" s="228">
        <f t="shared" si="2"/>
        <v>35614000</v>
      </c>
      <c r="F27" s="229">
        <v>17000000</v>
      </c>
      <c r="G27" s="230">
        <v>16439000</v>
      </c>
      <c r="H27" s="231">
        <f t="shared" si="1"/>
        <v>33439000</v>
      </c>
    </row>
    <row r="28" spans="1:8">
      <c r="A28" s="34">
        <v>19</v>
      </c>
      <c r="B28" s="38" t="s">
        <v>173</v>
      </c>
      <c r="C28" s="227">
        <v>302444.26999999996</v>
      </c>
      <c r="D28" s="227">
        <v>7190087.9102999996</v>
      </c>
      <c r="E28" s="228">
        <f t="shared" si="2"/>
        <v>7492532.1802999992</v>
      </c>
      <c r="F28" s="229">
        <v>615680.29</v>
      </c>
      <c r="G28" s="230">
        <v>4316051.0520000001</v>
      </c>
      <c r="H28" s="231">
        <f t="shared" si="1"/>
        <v>4931731.3420000002</v>
      </c>
    </row>
    <row r="29" spans="1:8">
      <c r="A29" s="34">
        <v>20</v>
      </c>
      <c r="B29" s="38" t="s">
        <v>95</v>
      </c>
      <c r="C29" s="227">
        <v>3992858.75</v>
      </c>
      <c r="D29" s="227">
        <v>12351007.0561</v>
      </c>
      <c r="E29" s="228">
        <f t="shared" si="2"/>
        <v>16343865.8061</v>
      </c>
      <c r="F29" s="229">
        <v>9305322.8000000007</v>
      </c>
      <c r="G29" s="230">
        <v>14597132.3345</v>
      </c>
      <c r="H29" s="231">
        <f t="shared" si="1"/>
        <v>23902455.134500001</v>
      </c>
    </row>
    <row r="30" spans="1:8">
      <c r="A30" s="34">
        <v>21</v>
      </c>
      <c r="B30" s="38" t="s">
        <v>174</v>
      </c>
      <c r="C30" s="227">
        <v>0</v>
      </c>
      <c r="D30" s="227">
        <v>31228000</v>
      </c>
      <c r="E30" s="228">
        <f t="shared" si="2"/>
        <v>31228000</v>
      </c>
      <c r="F30" s="229">
        <v>0</v>
      </c>
      <c r="G30" s="230">
        <v>32878000</v>
      </c>
      <c r="H30" s="231">
        <f t="shared" si="1"/>
        <v>32878000</v>
      </c>
    </row>
    <row r="31" spans="1:8">
      <c r="A31" s="34">
        <v>22</v>
      </c>
      <c r="B31" s="40" t="s">
        <v>175</v>
      </c>
      <c r="C31" s="228">
        <f>SUM(C22:C30)</f>
        <v>82359318.629999995</v>
      </c>
      <c r="D31" s="228">
        <f>SUM(D22:D30)</f>
        <v>292659635.05610001</v>
      </c>
      <c r="E31" s="228">
        <f>C31+D31</f>
        <v>375018953.68610001</v>
      </c>
      <c r="F31" s="228">
        <f>SUM(F22:F30)</f>
        <v>81702003.359999999</v>
      </c>
      <c r="G31" s="228">
        <f>SUM(G22:G30)</f>
        <v>303553457.01679999</v>
      </c>
      <c r="H31" s="231">
        <f t="shared" si="1"/>
        <v>385255460.3768</v>
      </c>
    </row>
    <row r="32" spans="1:8">
      <c r="A32" s="34"/>
      <c r="B32" s="35" t="s">
        <v>184</v>
      </c>
      <c r="C32" s="232"/>
      <c r="D32" s="232"/>
      <c r="E32" s="227"/>
      <c r="F32" s="233"/>
      <c r="G32" s="234"/>
      <c r="H32" s="235"/>
    </row>
    <row r="33" spans="1:8">
      <c r="A33" s="34">
        <v>23</v>
      </c>
      <c r="B33" s="38" t="s">
        <v>176</v>
      </c>
      <c r="C33" s="227">
        <v>103000000</v>
      </c>
      <c r="D33" s="232">
        <v>0</v>
      </c>
      <c r="E33" s="228">
        <f t="shared" si="2"/>
        <v>103000000</v>
      </c>
      <c r="F33" s="229">
        <v>103000000</v>
      </c>
      <c r="G33" s="234">
        <v>0</v>
      </c>
      <c r="H33" s="231">
        <f t="shared" si="1"/>
        <v>103000000</v>
      </c>
    </row>
    <row r="34" spans="1:8">
      <c r="A34" s="34">
        <v>24</v>
      </c>
      <c r="B34" s="38" t="s">
        <v>177</v>
      </c>
      <c r="C34" s="227">
        <v>0</v>
      </c>
      <c r="D34" s="232">
        <v>0</v>
      </c>
      <c r="E34" s="228">
        <f t="shared" si="2"/>
        <v>0</v>
      </c>
      <c r="F34" s="229">
        <v>0</v>
      </c>
      <c r="G34" s="234">
        <v>0</v>
      </c>
      <c r="H34" s="231">
        <f t="shared" si="1"/>
        <v>0</v>
      </c>
    </row>
    <row r="35" spans="1:8">
      <c r="A35" s="34">
        <v>25</v>
      </c>
      <c r="B35" s="39" t="s">
        <v>178</v>
      </c>
      <c r="C35" s="227">
        <v>0</v>
      </c>
      <c r="D35" s="232">
        <v>0</v>
      </c>
      <c r="E35" s="228">
        <f t="shared" si="2"/>
        <v>0</v>
      </c>
      <c r="F35" s="229">
        <v>0</v>
      </c>
      <c r="G35" s="234">
        <v>0</v>
      </c>
      <c r="H35" s="231">
        <f t="shared" si="1"/>
        <v>0</v>
      </c>
    </row>
    <row r="36" spans="1:8">
      <c r="A36" s="34">
        <v>26</v>
      </c>
      <c r="B36" s="38" t="s">
        <v>179</v>
      </c>
      <c r="C36" s="227">
        <v>0</v>
      </c>
      <c r="D36" s="232">
        <v>0</v>
      </c>
      <c r="E36" s="228">
        <f t="shared" si="2"/>
        <v>0</v>
      </c>
      <c r="F36" s="229">
        <v>0</v>
      </c>
      <c r="G36" s="234">
        <v>0</v>
      </c>
      <c r="H36" s="231">
        <f t="shared" si="1"/>
        <v>0</v>
      </c>
    </row>
    <row r="37" spans="1:8">
      <c r="A37" s="34">
        <v>27</v>
      </c>
      <c r="B37" s="38" t="s">
        <v>180</v>
      </c>
      <c r="C37" s="227">
        <v>0</v>
      </c>
      <c r="D37" s="232">
        <v>0</v>
      </c>
      <c r="E37" s="228">
        <f t="shared" si="2"/>
        <v>0</v>
      </c>
      <c r="F37" s="229">
        <v>0</v>
      </c>
      <c r="G37" s="234">
        <v>0</v>
      </c>
      <c r="H37" s="231">
        <f t="shared" si="1"/>
        <v>0</v>
      </c>
    </row>
    <row r="38" spans="1:8">
      <c r="A38" s="34">
        <v>28</v>
      </c>
      <c r="B38" s="38" t="s">
        <v>181</v>
      </c>
      <c r="C38" s="227">
        <v>-29805918.459999997</v>
      </c>
      <c r="D38" s="232">
        <v>0</v>
      </c>
      <c r="E38" s="228">
        <f t="shared" si="2"/>
        <v>-29805918.459999997</v>
      </c>
      <c r="F38" s="229">
        <v>-23542162.25</v>
      </c>
      <c r="G38" s="234">
        <v>0</v>
      </c>
      <c r="H38" s="231">
        <f t="shared" si="1"/>
        <v>-23542162.25</v>
      </c>
    </row>
    <row r="39" spans="1:8">
      <c r="A39" s="34">
        <v>29</v>
      </c>
      <c r="B39" s="38" t="s">
        <v>196</v>
      </c>
      <c r="C39" s="227">
        <v>0</v>
      </c>
      <c r="D39" s="232">
        <v>0</v>
      </c>
      <c r="E39" s="228">
        <f t="shared" si="2"/>
        <v>0</v>
      </c>
      <c r="F39" s="229">
        <v>0</v>
      </c>
      <c r="G39" s="234">
        <v>0</v>
      </c>
      <c r="H39" s="231">
        <f t="shared" si="1"/>
        <v>0</v>
      </c>
    </row>
    <row r="40" spans="1:8">
      <c r="A40" s="34">
        <v>30</v>
      </c>
      <c r="B40" s="40" t="s">
        <v>182</v>
      </c>
      <c r="C40" s="227">
        <v>73194081.540000007</v>
      </c>
      <c r="D40" s="232">
        <v>0</v>
      </c>
      <c r="E40" s="228">
        <f t="shared" si="2"/>
        <v>73194081.540000007</v>
      </c>
      <c r="F40" s="229">
        <v>79457837.75</v>
      </c>
      <c r="G40" s="234">
        <v>0</v>
      </c>
      <c r="H40" s="231">
        <f t="shared" si="1"/>
        <v>79457837.75</v>
      </c>
    </row>
    <row r="41" spans="1:8" ht="15" thickBot="1">
      <c r="A41" s="41">
        <v>31</v>
      </c>
      <c r="B41" s="42" t="s">
        <v>197</v>
      </c>
      <c r="C41" s="236">
        <f>C31+C40</f>
        <v>155553400.17000002</v>
      </c>
      <c r="D41" s="236">
        <f>D31+D40</f>
        <v>292659635.05610001</v>
      </c>
      <c r="E41" s="236">
        <f>C41+D41</f>
        <v>448213035.22610003</v>
      </c>
      <c r="F41" s="236">
        <f>F31+F40</f>
        <v>161159841.11000001</v>
      </c>
      <c r="G41" s="236">
        <f>G31+G40</f>
        <v>303553457.01679999</v>
      </c>
      <c r="H41" s="237">
        <f>F41+G41</f>
        <v>464713298.1268</v>
      </c>
    </row>
    <row r="43" spans="1:8">
      <c r="B43" s="43"/>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zoomScale="90" zoomScaleNormal="90" workbookViewId="0">
      <pane xSplit="1" ySplit="6" topLeftCell="B7" activePane="bottomRight" state="frozen"/>
      <selection pane="topRight" activeCell="B1" sqref="B1"/>
      <selection pane="bottomLeft" activeCell="A6" sqref="A6"/>
      <selection pane="bottomRight" activeCell="B2" sqref="B2"/>
    </sheetView>
  </sheetViews>
  <sheetFormatPr defaultColWidth="9.08984375" defaultRowHeight="14.5"/>
  <cols>
    <col min="1" max="1" width="9.54296875" style="2" bestFit="1" customWidth="1"/>
    <col min="2" max="2" width="89.08984375" style="2" customWidth="1"/>
    <col min="3" max="8" width="12.6328125" style="2" customWidth="1"/>
    <col min="9" max="9" width="8.90625" customWidth="1"/>
    <col min="10" max="16384" width="9.08984375" style="13"/>
  </cols>
  <sheetData>
    <row r="1" spans="1:8">
      <c r="A1" s="16" t="s">
        <v>188</v>
      </c>
      <c r="B1" s="15" t="str">
        <f>Info!C2</f>
        <v>სს " პაშა ბანკი საქართველო"</v>
      </c>
      <c r="C1" s="15"/>
    </row>
    <row r="2" spans="1:8">
      <c r="A2" s="16" t="s">
        <v>189</v>
      </c>
      <c r="B2" s="611">
        <f>'1. key ratios'!B2</f>
        <v>44469</v>
      </c>
      <c r="C2" s="26"/>
      <c r="D2" s="17"/>
      <c r="E2" s="17"/>
      <c r="F2" s="17"/>
      <c r="G2" s="17"/>
      <c r="H2" s="17"/>
    </row>
    <row r="3" spans="1:8">
      <c r="A3" s="16"/>
      <c r="B3" s="15"/>
      <c r="C3" s="26"/>
      <c r="D3" s="17"/>
      <c r="E3" s="17"/>
      <c r="F3" s="17"/>
      <c r="G3" s="17"/>
      <c r="H3" s="17"/>
    </row>
    <row r="4" spans="1:8" ht="15" thickBot="1">
      <c r="A4" s="44" t="s">
        <v>329</v>
      </c>
      <c r="B4" s="27" t="s">
        <v>222</v>
      </c>
      <c r="C4" s="30"/>
      <c r="D4" s="30"/>
      <c r="E4" s="30"/>
      <c r="F4" s="44"/>
      <c r="G4" s="44"/>
      <c r="H4" s="45" t="s">
        <v>93</v>
      </c>
    </row>
    <row r="5" spans="1:8">
      <c r="A5" s="117"/>
      <c r="B5" s="118"/>
      <c r="C5" s="710" t="s">
        <v>194</v>
      </c>
      <c r="D5" s="711"/>
      <c r="E5" s="712"/>
      <c r="F5" s="710" t="s">
        <v>195</v>
      </c>
      <c r="G5" s="711"/>
      <c r="H5" s="713"/>
    </row>
    <row r="6" spans="1:8">
      <c r="A6" s="119" t="s">
        <v>26</v>
      </c>
      <c r="B6" s="46"/>
      <c r="C6" s="47" t="s">
        <v>27</v>
      </c>
      <c r="D6" s="47" t="s">
        <v>96</v>
      </c>
      <c r="E6" s="47" t="s">
        <v>68</v>
      </c>
      <c r="F6" s="47" t="s">
        <v>27</v>
      </c>
      <c r="G6" s="47" t="s">
        <v>96</v>
      </c>
      <c r="H6" s="120" t="s">
        <v>68</v>
      </c>
    </row>
    <row r="7" spans="1:8">
      <c r="A7" s="121"/>
      <c r="B7" s="49" t="s">
        <v>92</v>
      </c>
      <c r="C7" s="50"/>
      <c r="D7" s="50"/>
      <c r="E7" s="50"/>
      <c r="F7" s="50"/>
      <c r="G7" s="50"/>
      <c r="H7" s="122"/>
    </row>
    <row r="8" spans="1:8">
      <c r="A8" s="121">
        <v>1</v>
      </c>
      <c r="B8" s="51" t="s">
        <v>97</v>
      </c>
      <c r="C8" s="238">
        <v>455340.64</v>
      </c>
      <c r="D8" s="238">
        <v>-69935.81</v>
      </c>
      <c r="E8" s="228">
        <f>C8+D8</f>
        <v>385404.83</v>
      </c>
      <c r="F8" s="238">
        <v>543208.6</v>
      </c>
      <c r="G8" s="238">
        <v>337739.44</v>
      </c>
      <c r="H8" s="239">
        <f>F8+G8</f>
        <v>880948.04</v>
      </c>
    </row>
    <row r="9" spans="1:8">
      <c r="A9" s="121">
        <v>2</v>
      </c>
      <c r="B9" s="51" t="s">
        <v>98</v>
      </c>
      <c r="C9" s="240">
        <f>SUM(C10:C18)</f>
        <v>8674784.2400000002</v>
      </c>
      <c r="D9" s="240">
        <f>SUM(D10:D18)</f>
        <v>10516235.640000001</v>
      </c>
      <c r="E9" s="228">
        <f t="shared" ref="E9:E67" si="0">C9+D9</f>
        <v>19191019.880000003</v>
      </c>
      <c r="F9" s="240">
        <f>SUM(F10:F18)</f>
        <v>9481662.1899999995</v>
      </c>
      <c r="G9" s="240">
        <f>SUM(G10:G18)</f>
        <v>9906349.0500000007</v>
      </c>
      <c r="H9" s="239">
        <f t="shared" ref="H9:H67" si="1">F9+G9</f>
        <v>19388011.240000002</v>
      </c>
    </row>
    <row r="10" spans="1:8">
      <c r="A10" s="121">
        <v>2.1</v>
      </c>
      <c r="B10" s="52" t="s">
        <v>99</v>
      </c>
      <c r="C10" s="238"/>
      <c r="D10" s="238">
        <v>5.99</v>
      </c>
      <c r="E10" s="228">
        <f t="shared" si="0"/>
        <v>5.99</v>
      </c>
      <c r="F10" s="238"/>
      <c r="G10" s="238"/>
      <c r="H10" s="239">
        <f t="shared" si="1"/>
        <v>0</v>
      </c>
    </row>
    <row r="11" spans="1:8">
      <c r="A11" s="121">
        <v>2.2000000000000002</v>
      </c>
      <c r="B11" s="52" t="s">
        <v>100</v>
      </c>
      <c r="C11" s="238">
        <v>2873769.86</v>
      </c>
      <c r="D11" s="238">
        <v>5284858.82</v>
      </c>
      <c r="E11" s="228">
        <f t="shared" si="0"/>
        <v>8158628.6799999997</v>
      </c>
      <c r="F11" s="238">
        <v>4891115.17</v>
      </c>
      <c r="G11" s="238">
        <v>4447515.17</v>
      </c>
      <c r="H11" s="239">
        <f t="shared" si="1"/>
        <v>9338630.3399999999</v>
      </c>
    </row>
    <row r="12" spans="1:8">
      <c r="A12" s="121">
        <v>2.2999999999999998</v>
      </c>
      <c r="B12" s="52" t="s">
        <v>101</v>
      </c>
      <c r="C12" s="238"/>
      <c r="D12" s="238">
        <v>243605.65</v>
      </c>
      <c r="E12" s="228">
        <f t="shared" si="0"/>
        <v>243605.65</v>
      </c>
      <c r="F12" s="238">
        <v>427320.95</v>
      </c>
      <c r="G12" s="238">
        <v>128069.2</v>
      </c>
      <c r="H12" s="239">
        <f t="shared" si="1"/>
        <v>555390.15</v>
      </c>
    </row>
    <row r="13" spans="1:8">
      <c r="A13" s="121">
        <v>2.4</v>
      </c>
      <c r="B13" s="52" t="s">
        <v>102</v>
      </c>
      <c r="C13" s="238">
        <v>464490.1</v>
      </c>
      <c r="D13" s="238">
        <v>48688.61</v>
      </c>
      <c r="E13" s="228">
        <f t="shared" si="0"/>
        <v>513178.70999999996</v>
      </c>
      <c r="F13" s="238">
        <v>149607.46</v>
      </c>
      <c r="G13" s="238">
        <v>29692.98</v>
      </c>
      <c r="H13" s="239">
        <f t="shared" si="1"/>
        <v>179300.44</v>
      </c>
    </row>
    <row r="14" spans="1:8">
      <c r="A14" s="121">
        <v>2.5</v>
      </c>
      <c r="B14" s="52" t="s">
        <v>103</v>
      </c>
      <c r="C14" s="238">
        <v>741966.4</v>
      </c>
      <c r="D14" s="238">
        <v>1627959.89</v>
      </c>
      <c r="E14" s="228">
        <f t="shared" si="0"/>
        <v>2369926.29</v>
      </c>
      <c r="F14" s="238">
        <v>575685.77</v>
      </c>
      <c r="G14" s="238">
        <v>1586210.6</v>
      </c>
      <c r="H14" s="239">
        <f t="shared" si="1"/>
        <v>2161896.37</v>
      </c>
    </row>
    <row r="15" spans="1:8">
      <c r="A15" s="121">
        <v>2.6</v>
      </c>
      <c r="B15" s="52" t="s">
        <v>104</v>
      </c>
      <c r="C15" s="238">
        <v>2230.88</v>
      </c>
      <c r="D15" s="238">
        <v>3708.7</v>
      </c>
      <c r="E15" s="228">
        <f t="shared" si="0"/>
        <v>5939.58</v>
      </c>
      <c r="F15" s="238">
        <v>175.04</v>
      </c>
      <c r="G15" s="238">
        <v>6721.67</v>
      </c>
      <c r="H15" s="239">
        <f t="shared" si="1"/>
        <v>6896.71</v>
      </c>
    </row>
    <row r="16" spans="1:8">
      <c r="A16" s="121">
        <v>2.7</v>
      </c>
      <c r="B16" s="52" t="s">
        <v>105</v>
      </c>
      <c r="C16" s="238"/>
      <c r="D16" s="238"/>
      <c r="E16" s="228">
        <f t="shared" si="0"/>
        <v>0</v>
      </c>
      <c r="F16" s="238"/>
      <c r="G16" s="238"/>
      <c r="H16" s="239">
        <f t="shared" si="1"/>
        <v>0</v>
      </c>
    </row>
    <row r="17" spans="1:8">
      <c r="A17" s="121">
        <v>2.8</v>
      </c>
      <c r="B17" s="52" t="s">
        <v>106</v>
      </c>
      <c r="C17" s="238">
        <v>1997440.48</v>
      </c>
      <c r="D17" s="238">
        <v>919847.93</v>
      </c>
      <c r="E17" s="228">
        <f t="shared" si="0"/>
        <v>2917288.41</v>
      </c>
      <c r="F17" s="238">
        <v>782049.69</v>
      </c>
      <c r="G17" s="238">
        <v>942287.73</v>
      </c>
      <c r="H17" s="239">
        <f t="shared" si="1"/>
        <v>1724337.42</v>
      </c>
    </row>
    <row r="18" spans="1:8">
      <c r="A18" s="121">
        <v>2.9</v>
      </c>
      <c r="B18" s="52" t="s">
        <v>107</v>
      </c>
      <c r="C18" s="238">
        <v>2594886.52</v>
      </c>
      <c r="D18" s="238">
        <v>2387560.0499999998</v>
      </c>
      <c r="E18" s="228">
        <f t="shared" si="0"/>
        <v>4982446.57</v>
      </c>
      <c r="F18" s="238">
        <v>2655708.11</v>
      </c>
      <c r="G18" s="238">
        <v>2765851.7</v>
      </c>
      <c r="H18" s="239">
        <f t="shared" si="1"/>
        <v>5421559.8100000005</v>
      </c>
    </row>
    <row r="19" spans="1:8">
      <c r="A19" s="121">
        <v>3</v>
      </c>
      <c r="B19" s="51" t="s">
        <v>108</v>
      </c>
      <c r="C19" s="238">
        <v>155129.43</v>
      </c>
      <c r="D19" s="238">
        <v>508237.73</v>
      </c>
      <c r="E19" s="228">
        <f t="shared" si="0"/>
        <v>663367.15999999992</v>
      </c>
      <c r="F19" s="238">
        <v>194071.58</v>
      </c>
      <c r="G19" s="238">
        <v>280618.96000000002</v>
      </c>
      <c r="H19" s="239">
        <f t="shared" si="1"/>
        <v>474690.54000000004</v>
      </c>
    </row>
    <row r="20" spans="1:8">
      <c r="A20" s="121">
        <v>4</v>
      </c>
      <c r="B20" s="51" t="s">
        <v>109</v>
      </c>
      <c r="C20" s="238">
        <v>2426182.36</v>
      </c>
      <c r="D20" s="238">
        <v>770453.8</v>
      </c>
      <c r="E20" s="228">
        <f t="shared" si="0"/>
        <v>3196636.16</v>
      </c>
      <c r="F20" s="238">
        <v>3168055.54</v>
      </c>
      <c r="G20" s="238">
        <v>219453.95</v>
      </c>
      <c r="H20" s="239">
        <f t="shared" si="1"/>
        <v>3387509.49</v>
      </c>
    </row>
    <row r="21" spans="1:8">
      <c r="A21" s="121">
        <v>5</v>
      </c>
      <c r="B21" s="51" t="s">
        <v>110</v>
      </c>
      <c r="C21" s="238"/>
      <c r="D21" s="238"/>
      <c r="E21" s="228">
        <f t="shared" si="0"/>
        <v>0</v>
      </c>
      <c r="F21" s="238"/>
      <c r="G21" s="238"/>
      <c r="H21" s="239">
        <f>F21+G21</f>
        <v>0</v>
      </c>
    </row>
    <row r="22" spans="1:8">
      <c r="A22" s="121">
        <v>6</v>
      </c>
      <c r="B22" s="53" t="s">
        <v>111</v>
      </c>
      <c r="C22" s="240">
        <f>C8+C9+C19+C20+C21</f>
        <v>11711436.67</v>
      </c>
      <c r="D22" s="240">
        <f>D8+D9+D19+D20+D21</f>
        <v>11724991.360000001</v>
      </c>
      <c r="E22" s="228">
        <f>C22+D22</f>
        <v>23436428.030000001</v>
      </c>
      <c r="F22" s="240">
        <f>F8+F9+F19+F20+F21</f>
        <v>13386997.91</v>
      </c>
      <c r="G22" s="240">
        <f>G8+G9+G19+G20+G21</f>
        <v>10744161.4</v>
      </c>
      <c r="H22" s="239">
        <f>F22+G22</f>
        <v>24131159.310000002</v>
      </c>
    </row>
    <row r="23" spans="1:8">
      <c r="A23" s="121"/>
      <c r="B23" s="49" t="s">
        <v>90</v>
      </c>
      <c r="C23" s="238"/>
      <c r="D23" s="238"/>
      <c r="E23" s="227"/>
      <c r="F23" s="238"/>
      <c r="G23" s="238"/>
      <c r="H23" s="241"/>
    </row>
    <row r="24" spans="1:8">
      <c r="A24" s="121">
        <v>7</v>
      </c>
      <c r="B24" s="51" t="s">
        <v>112</v>
      </c>
      <c r="C24" s="238">
        <v>276035.87</v>
      </c>
      <c r="D24" s="238">
        <v>77186.36</v>
      </c>
      <c r="E24" s="228">
        <f t="shared" si="0"/>
        <v>353222.23</v>
      </c>
      <c r="F24" s="238">
        <v>232645.77</v>
      </c>
      <c r="G24" s="238">
        <v>87613.26</v>
      </c>
      <c r="H24" s="239">
        <f t="shared" si="1"/>
        <v>320259.02999999997</v>
      </c>
    </row>
    <row r="25" spans="1:8">
      <c r="A25" s="121">
        <v>8</v>
      </c>
      <c r="B25" s="51" t="s">
        <v>113</v>
      </c>
      <c r="C25" s="238">
        <v>2202650.12</v>
      </c>
      <c r="D25" s="238">
        <v>2980312.15</v>
      </c>
      <c r="E25" s="228">
        <f t="shared" si="0"/>
        <v>5182962.2699999996</v>
      </c>
      <c r="F25" s="238">
        <v>2215194.87</v>
      </c>
      <c r="G25" s="238">
        <v>1263505.43</v>
      </c>
      <c r="H25" s="239">
        <f t="shared" si="1"/>
        <v>3478700.3</v>
      </c>
    </row>
    <row r="26" spans="1:8">
      <c r="A26" s="121">
        <v>9</v>
      </c>
      <c r="B26" s="51" t="s">
        <v>114</v>
      </c>
      <c r="C26" s="238">
        <v>401929.27</v>
      </c>
      <c r="D26" s="238">
        <v>2070712.11</v>
      </c>
      <c r="E26" s="228">
        <f t="shared" si="0"/>
        <v>2472641.38</v>
      </c>
      <c r="F26" s="238">
        <v>534738.15</v>
      </c>
      <c r="G26" s="238">
        <v>2128434.75</v>
      </c>
      <c r="H26" s="239">
        <f t="shared" si="1"/>
        <v>2663172.9</v>
      </c>
    </row>
    <row r="27" spans="1:8">
      <c r="A27" s="121">
        <v>10</v>
      </c>
      <c r="B27" s="51" t="s">
        <v>115</v>
      </c>
      <c r="C27" s="238"/>
      <c r="D27" s="238"/>
      <c r="E27" s="228">
        <f t="shared" si="0"/>
        <v>0</v>
      </c>
      <c r="F27" s="238">
        <v>1323988.69</v>
      </c>
      <c r="G27" s="238">
        <v>1655080.72</v>
      </c>
      <c r="H27" s="239">
        <f t="shared" si="1"/>
        <v>2979069.41</v>
      </c>
    </row>
    <row r="28" spans="1:8">
      <c r="A28" s="121">
        <v>11</v>
      </c>
      <c r="B28" s="51" t="s">
        <v>116</v>
      </c>
      <c r="C28" s="238">
        <v>1231184.72</v>
      </c>
      <c r="D28" s="238">
        <v>1730651.35</v>
      </c>
      <c r="E28" s="228">
        <f t="shared" si="0"/>
        <v>2961836.0700000003</v>
      </c>
      <c r="F28" s="238">
        <v>413297.61</v>
      </c>
      <c r="G28" s="238">
        <v>1675649.53</v>
      </c>
      <c r="H28" s="239">
        <f t="shared" si="1"/>
        <v>2088947.1400000001</v>
      </c>
    </row>
    <row r="29" spans="1:8">
      <c r="A29" s="121">
        <v>12</v>
      </c>
      <c r="B29" s="51" t="s">
        <v>117</v>
      </c>
      <c r="C29" s="238"/>
      <c r="D29" s="238"/>
      <c r="E29" s="228">
        <f t="shared" si="0"/>
        <v>0</v>
      </c>
      <c r="F29" s="238"/>
      <c r="G29" s="238"/>
      <c r="H29" s="239">
        <f t="shared" si="1"/>
        <v>0</v>
      </c>
    </row>
    <row r="30" spans="1:8">
      <c r="A30" s="121">
        <v>13</v>
      </c>
      <c r="B30" s="54" t="s">
        <v>118</v>
      </c>
      <c r="C30" s="240">
        <f>SUM(C24:C29)</f>
        <v>4111799.9800000004</v>
      </c>
      <c r="D30" s="240">
        <f>SUM(D24:D29)</f>
        <v>6858861.9700000007</v>
      </c>
      <c r="E30" s="228">
        <f t="shared" si="0"/>
        <v>10970661.950000001</v>
      </c>
      <c r="F30" s="240">
        <f>SUM(F24:F29)</f>
        <v>4719865.0900000008</v>
      </c>
      <c r="G30" s="240">
        <f>SUM(G24:G29)</f>
        <v>6810283.6900000004</v>
      </c>
      <c r="H30" s="239">
        <f t="shared" si="1"/>
        <v>11530148.780000001</v>
      </c>
    </row>
    <row r="31" spans="1:8">
      <c r="A31" s="121">
        <v>14</v>
      </c>
      <c r="B31" s="54" t="s">
        <v>119</v>
      </c>
      <c r="C31" s="240">
        <f>C22-C30</f>
        <v>7599636.6899999995</v>
      </c>
      <c r="D31" s="240">
        <f>D22-D30</f>
        <v>4866129.3900000006</v>
      </c>
      <c r="E31" s="228">
        <f t="shared" si="0"/>
        <v>12465766.08</v>
      </c>
      <c r="F31" s="240">
        <f>F22-F30</f>
        <v>8667132.8200000003</v>
      </c>
      <c r="G31" s="240">
        <f>G22-G30</f>
        <v>3933877.71</v>
      </c>
      <c r="H31" s="239">
        <f t="shared" si="1"/>
        <v>12601010.530000001</v>
      </c>
    </row>
    <row r="32" spans="1:8">
      <c r="A32" s="121"/>
      <c r="B32" s="49"/>
      <c r="C32" s="242"/>
      <c r="D32" s="242"/>
      <c r="E32" s="242"/>
      <c r="F32" s="242"/>
      <c r="G32" s="242"/>
      <c r="H32" s="243"/>
    </row>
    <row r="33" spans="1:8">
      <c r="A33" s="121"/>
      <c r="B33" s="49" t="s">
        <v>120</v>
      </c>
      <c r="C33" s="238"/>
      <c r="D33" s="238"/>
      <c r="E33" s="227"/>
      <c r="F33" s="238"/>
      <c r="G33" s="238"/>
      <c r="H33" s="241"/>
    </row>
    <row r="34" spans="1:8">
      <c r="A34" s="121">
        <v>15</v>
      </c>
      <c r="B34" s="48" t="s">
        <v>91</v>
      </c>
      <c r="C34" s="244">
        <f>C35-C36</f>
        <v>-38023.919999999998</v>
      </c>
      <c r="D34" s="244">
        <f>D35-D36</f>
        <v>55974.950000000012</v>
      </c>
      <c r="E34" s="228">
        <f t="shared" si="0"/>
        <v>17951.030000000013</v>
      </c>
      <c r="F34" s="244">
        <f>F35-F36</f>
        <v>-44800.429999999993</v>
      </c>
      <c r="G34" s="244">
        <f>G35-G36</f>
        <v>13077.910000000003</v>
      </c>
      <c r="H34" s="239">
        <f t="shared" si="1"/>
        <v>-31722.51999999999</v>
      </c>
    </row>
    <row r="35" spans="1:8">
      <c r="A35" s="121">
        <v>15.1</v>
      </c>
      <c r="B35" s="52" t="s">
        <v>121</v>
      </c>
      <c r="C35" s="238">
        <v>84089.33</v>
      </c>
      <c r="D35" s="238">
        <v>277486.59000000003</v>
      </c>
      <c r="E35" s="228">
        <f t="shared" si="0"/>
        <v>361575.92000000004</v>
      </c>
      <c r="F35" s="238">
        <v>69029.88</v>
      </c>
      <c r="G35" s="238">
        <v>203397.68</v>
      </c>
      <c r="H35" s="239">
        <f t="shared" si="1"/>
        <v>272427.56</v>
      </c>
    </row>
    <row r="36" spans="1:8">
      <c r="A36" s="121">
        <v>15.2</v>
      </c>
      <c r="B36" s="52" t="s">
        <v>122</v>
      </c>
      <c r="C36" s="238">
        <v>122113.25</v>
      </c>
      <c r="D36" s="238">
        <v>221511.64</v>
      </c>
      <c r="E36" s="228">
        <f t="shared" si="0"/>
        <v>343624.89</v>
      </c>
      <c r="F36" s="238">
        <v>113830.31</v>
      </c>
      <c r="G36" s="238">
        <v>190319.77</v>
      </c>
      <c r="H36" s="239">
        <f t="shared" si="1"/>
        <v>304150.07999999996</v>
      </c>
    </row>
    <row r="37" spans="1:8">
      <c r="A37" s="121">
        <v>16</v>
      </c>
      <c r="B37" s="51" t="s">
        <v>123</v>
      </c>
      <c r="C37" s="238"/>
      <c r="D37" s="238"/>
      <c r="E37" s="228">
        <f t="shared" si="0"/>
        <v>0</v>
      </c>
      <c r="F37" s="238"/>
      <c r="G37" s="238"/>
      <c r="H37" s="239">
        <f t="shared" si="1"/>
        <v>0</v>
      </c>
    </row>
    <row r="38" spans="1:8">
      <c r="A38" s="121">
        <v>17</v>
      </c>
      <c r="B38" s="51" t="s">
        <v>124</v>
      </c>
      <c r="C38" s="238"/>
      <c r="D38" s="238"/>
      <c r="E38" s="228">
        <f t="shared" si="0"/>
        <v>0</v>
      </c>
      <c r="F38" s="238"/>
      <c r="G38" s="238"/>
      <c r="H38" s="239">
        <f t="shared" si="1"/>
        <v>0</v>
      </c>
    </row>
    <row r="39" spans="1:8">
      <c r="A39" s="121">
        <v>18</v>
      </c>
      <c r="B39" s="51" t="s">
        <v>125</v>
      </c>
      <c r="C39" s="238"/>
      <c r="D39" s="238"/>
      <c r="E39" s="228">
        <f t="shared" si="0"/>
        <v>0</v>
      </c>
      <c r="F39" s="238"/>
      <c r="G39" s="238"/>
      <c r="H39" s="239">
        <f t="shared" si="1"/>
        <v>0</v>
      </c>
    </row>
    <row r="40" spans="1:8">
      <c r="A40" s="121">
        <v>19</v>
      </c>
      <c r="B40" s="51" t="s">
        <v>126</v>
      </c>
      <c r="C40" s="238">
        <v>6708230.46</v>
      </c>
      <c r="D40" s="238">
        <v>0</v>
      </c>
      <c r="E40" s="228">
        <f t="shared" si="0"/>
        <v>6708230.46</v>
      </c>
      <c r="F40" s="238">
        <v>-4087443.42</v>
      </c>
      <c r="G40" s="238">
        <v>0</v>
      </c>
      <c r="H40" s="239">
        <f t="shared" si="1"/>
        <v>-4087443.42</v>
      </c>
    </row>
    <row r="41" spans="1:8">
      <c r="A41" s="121">
        <v>20</v>
      </c>
      <c r="B41" s="51" t="s">
        <v>127</v>
      </c>
      <c r="C41" s="238">
        <v>-4209577.49</v>
      </c>
      <c r="D41" s="238">
        <v>0</v>
      </c>
      <c r="E41" s="228">
        <f t="shared" si="0"/>
        <v>-4209577.49</v>
      </c>
      <c r="F41" s="238">
        <v>7582673.0300000003</v>
      </c>
      <c r="G41" s="238">
        <v>0</v>
      </c>
      <c r="H41" s="239">
        <f t="shared" si="1"/>
        <v>7582673.0300000003</v>
      </c>
    </row>
    <row r="42" spans="1:8">
      <c r="A42" s="121">
        <v>21</v>
      </c>
      <c r="B42" s="51" t="s">
        <v>128</v>
      </c>
      <c r="C42" s="238">
        <v>-469603.28</v>
      </c>
      <c r="D42" s="238"/>
      <c r="E42" s="228">
        <f t="shared" si="0"/>
        <v>-469603.28</v>
      </c>
      <c r="F42" s="238">
        <v>-130.31</v>
      </c>
      <c r="G42" s="238"/>
      <c r="H42" s="239">
        <f t="shared" si="1"/>
        <v>-130.31</v>
      </c>
    </row>
    <row r="43" spans="1:8">
      <c r="A43" s="121">
        <v>22</v>
      </c>
      <c r="B43" s="51" t="s">
        <v>129</v>
      </c>
      <c r="C43" s="238">
        <v>931856.9</v>
      </c>
      <c r="D43" s="238">
        <v>326871.18</v>
      </c>
      <c r="E43" s="228">
        <f t="shared" si="0"/>
        <v>1258728.08</v>
      </c>
      <c r="F43" s="238">
        <v>828041.55</v>
      </c>
      <c r="G43" s="238">
        <v>280217.92</v>
      </c>
      <c r="H43" s="239">
        <f t="shared" si="1"/>
        <v>1108259.47</v>
      </c>
    </row>
    <row r="44" spans="1:8">
      <c r="A44" s="121">
        <v>23</v>
      </c>
      <c r="B44" s="51" t="s">
        <v>130</v>
      </c>
      <c r="C44" s="238">
        <v>334231.52</v>
      </c>
      <c r="D44" s="238"/>
      <c r="E44" s="228">
        <f t="shared" si="0"/>
        <v>334231.52</v>
      </c>
      <c r="F44" s="238">
        <v>83443.740000000005</v>
      </c>
      <c r="G44" s="238"/>
      <c r="H44" s="239">
        <f t="shared" si="1"/>
        <v>83443.740000000005</v>
      </c>
    </row>
    <row r="45" spans="1:8">
      <c r="A45" s="121">
        <v>24</v>
      </c>
      <c r="B45" s="54" t="s">
        <v>131</v>
      </c>
      <c r="C45" s="240">
        <f>C34+C37+C38+C39+C40+C41+C42+C43+C44</f>
        <v>3257114.19</v>
      </c>
      <c r="D45" s="240">
        <f>D34+D37+D38+D39+D40+D41+D42+D43+D44</f>
        <v>382846.13</v>
      </c>
      <c r="E45" s="228">
        <f t="shared" si="0"/>
        <v>3639960.32</v>
      </c>
      <c r="F45" s="240">
        <f>F34+F37+F38+F39+F40+F41+F42+F43+F44</f>
        <v>4361784.16</v>
      </c>
      <c r="G45" s="240">
        <f>G34+G37+G38+G39+G40+G41+G42+G43+G44</f>
        <v>293295.82999999996</v>
      </c>
      <c r="H45" s="239">
        <f t="shared" si="1"/>
        <v>4655079.99</v>
      </c>
    </row>
    <row r="46" spans="1:8">
      <c r="A46" s="121"/>
      <c r="B46" s="49" t="s">
        <v>132</v>
      </c>
      <c r="C46" s="238"/>
      <c r="D46" s="238"/>
      <c r="E46" s="238"/>
      <c r="F46" s="238"/>
      <c r="G46" s="238"/>
      <c r="H46" s="245"/>
    </row>
    <row r="47" spans="1:8">
      <c r="A47" s="121">
        <v>25</v>
      </c>
      <c r="B47" s="51" t="s">
        <v>133</v>
      </c>
      <c r="C47" s="238">
        <v>676559.91</v>
      </c>
      <c r="D47" s="238">
        <v>972889.27</v>
      </c>
      <c r="E47" s="228">
        <f t="shared" si="0"/>
        <v>1649449.1800000002</v>
      </c>
      <c r="F47" s="238">
        <v>751130.95</v>
      </c>
      <c r="G47" s="238">
        <v>655739.27</v>
      </c>
      <c r="H47" s="239">
        <f t="shared" si="1"/>
        <v>1406870.22</v>
      </c>
    </row>
    <row r="48" spans="1:8">
      <c r="A48" s="121">
        <v>26</v>
      </c>
      <c r="B48" s="51" t="s">
        <v>134</v>
      </c>
      <c r="C48" s="238">
        <v>3085421.5</v>
      </c>
      <c r="D48" s="238">
        <v>2195.5500000000002</v>
      </c>
      <c r="E48" s="228">
        <f t="shared" si="0"/>
        <v>3087617.05</v>
      </c>
      <c r="F48" s="238">
        <v>3879616.78</v>
      </c>
      <c r="G48" s="238"/>
      <c r="H48" s="239">
        <f t="shared" si="1"/>
        <v>3879616.78</v>
      </c>
    </row>
    <row r="49" spans="1:9">
      <c r="A49" s="121">
        <v>27</v>
      </c>
      <c r="B49" s="51" t="s">
        <v>135</v>
      </c>
      <c r="C49" s="238">
        <v>10864392.630000001</v>
      </c>
      <c r="D49" s="238">
        <v>0</v>
      </c>
      <c r="E49" s="228">
        <f t="shared" si="0"/>
        <v>10864392.630000001</v>
      </c>
      <c r="F49" s="238">
        <v>12421001.699999999</v>
      </c>
      <c r="G49" s="238">
        <v>0</v>
      </c>
      <c r="H49" s="239">
        <f t="shared" si="1"/>
        <v>12421001.699999999</v>
      </c>
    </row>
    <row r="50" spans="1:9">
      <c r="A50" s="121">
        <v>28</v>
      </c>
      <c r="B50" s="51" t="s">
        <v>270</v>
      </c>
      <c r="C50" s="238">
        <v>4621.2700000000004</v>
      </c>
      <c r="D50" s="238">
        <v>0</v>
      </c>
      <c r="E50" s="228">
        <f t="shared" si="0"/>
        <v>4621.2700000000004</v>
      </c>
      <c r="F50" s="238">
        <v>7995.26</v>
      </c>
      <c r="G50" s="238">
        <v>0</v>
      </c>
      <c r="H50" s="239">
        <f t="shared" si="1"/>
        <v>7995.26</v>
      </c>
    </row>
    <row r="51" spans="1:9">
      <c r="A51" s="121">
        <v>29</v>
      </c>
      <c r="B51" s="51" t="s">
        <v>136</v>
      </c>
      <c r="C51" s="238">
        <v>4419623.7699999996</v>
      </c>
      <c r="D51" s="238">
        <v>0</v>
      </c>
      <c r="E51" s="228">
        <f t="shared" si="0"/>
        <v>4419623.7699999996</v>
      </c>
      <c r="F51" s="238">
        <v>4861786.16</v>
      </c>
      <c r="G51" s="238">
        <v>0</v>
      </c>
      <c r="H51" s="239">
        <f t="shared" si="1"/>
        <v>4861786.16</v>
      </c>
    </row>
    <row r="52" spans="1:9">
      <c r="A52" s="121">
        <v>30</v>
      </c>
      <c r="B52" s="51" t="s">
        <v>137</v>
      </c>
      <c r="C52" s="238">
        <v>1280315.98</v>
      </c>
      <c r="D52" s="238"/>
      <c r="E52" s="228">
        <f t="shared" si="0"/>
        <v>1280315.98</v>
      </c>
      <c r="F52" s="238">
        <v>1204847.71</v>
      </c>
      <c r="G52" s="238"/>
      <c r="H52" s="239">
        <f t="shared" si="1"/>
        <v>1204847.71</v>
      </c>
    </row>
    <row r="53" spans="1:9">
      <c r="A53" s="121">
        <v>31</v>
      </c>
      <c r="B53" s="54" t="s">
        <v>138</v>
      </c>
      <c r="C53" s="240">
        <f>C47+C48+C49+C50+C51+C52</f>
        <v>20330935.059999999</v>
      </c>
      <c r="D53" s="240">
        <f>D47+D48+D49+D50+D51+D52</f>
        <v>975084.82000000007</v>
      </c>
      <c r="E53" s="228">
        <f t="shared" si="0"/>
        <v>21306019.879999999</v>
      </c>
      <c r="F53" s="240">
        <f>F47+F48+F49+F50+F51+F52</f>
        <v>23126378.560000002</v>
      </c>
      <c r="G53" s="240">
        <f>G47+G48+G49+G50+G51+G52</f>
        <v>655739.27</v>
      </c>
      <c r="H53" s="239">
        <f t="shared" si="1"/>
        <v>23782117.830000002</v>
      </c>
    </row>
    <row r="54" spans="1:9">
      <c r="A54" s="121">
        <v>32</v>
      </c>
      <c r="B54" s="54" t="s">
        <v>139</v>
      </c>
      <c r="C54" s="240">
        <f>C45-C53</f>
        <v>-17073820.869999997</v>
      </c>
      <c r="D54" s="240">
        <f>D45-D53</f>
        <v>-592238.69000000006</v>
      </c>
      <c r="E54" s="228">
        <f t="shared" si="0"/>
        <v>-17666059.559999999</v>
      </c>
      <c r="F54" s="240">
        <f>F45-F53</f>
        <v>-18764594.400000002</v>
      </c>
      <c r="G54" s="240">
        <f>G45-G53</f>
        <v>-362443.44000000006</v>
      </c>
      <c r="H54" s="239">
        <f t="shared" si="1"/>
        <v>-19127037.840000004</v>
      </c>
    </row>
    <row r="55" spans="1:9">
      <c r="A55" s="121"/>
      <c r="B55" s="49"/>
      <c r="C55" s="242"/>
      <c r="D55" s="242"/>
      <c r="E55" s="242"/>
      <c r="F55" s="242"/>
      <c r="G55" s="242"/>
      <c r="H55" s="243"/>
    </row>
    <row r="56" spans="1:9">
      <c r="A56" s="121">
        <v>33</v>
      </c>
      <c r="B56" s="54" t="s">
        <v>140</v>
      </c>
      <c r="C56" s="240">
        <f>C31+C54</f>
        <v>-9474184.1799999978</v>
      </c>
      <c r="D56" s="240">
        <f>D31+D54</f>
        <v>4273890.7</v>
      </c>
      <c r="E56" s="228">
        <f t="shared" si="0"/>
        <v>-5200293.4799999977</v>
      </c>
      <c r="F56" s="240">
        <f>F31+F54</f>
        <v>-10097461.580000002</v>
      </c>
      <c r="G56" s="240">
        <f>G31+G54</f>
        <v>3571434.27</v>
      </c>
      <c r="H56" s="239">
        <f t="shared" si="1"/>
        <v>-6526027.3100000024</v>
      </c>
    </row>
    <row r="57" spans="1:9">
      <c r="A57" s="121"/>
      <c r="B57" s="49"/>
      <c r="C57" s="242"/>
      <c r="D57" s="242"/>
      <c r="E57" s="242"/>
      <c r="F57" s="242"/>
      <c r="G57" s="242"/>
      <c r="H57" s="243"/>
    </row>
    <row r="58" spans="1:9">
      <c r="A58" s="121">
        <v>34</v>
      </c>
      <c r="B58" s="51" t="s">
        <v>141</v>
      </c>
      <c r="C58" s="238">
        <v>-1501592.49</v>
      </c>
      <c r="D58" s="238">
        <v>0</v>
      </c>
      <c r="E58" s="228">
        <f t="shared" si="0"/>
        <v>-1501592.49</v>
      </c>
      <c r="F58" s="238">
        <v>12766110.99</v>
      </c>
      <c r="G58" s="238">
        <v>0</v>
      </c>
      <c r="H58" s="239">
        <f t="shared" si="1"/>
        <v>12766110.99</v>
      </c>
    </row>
    <row r="59" spans="1:9" s="201" customFormat="1">
      <c r="A59" s="121">
        <v>35</v>
      </c>
      <c r="B59" s="48" t="s">
        <v>142</v>
      </c>
      <c r="C59" s="246"/>
      <c r="D59" s="246">
        <v>0</v>
      </c>
      <c r="E59" s="247">
        <f t="shared" si="0"/>
        <v>0</v>
      </c>
      <c r="F59" s="248"/>
      <c r="G59" s="248">
        <v>0</v>
      </c>
      <c r="H59" s="249">
        <f t="shared" si="1"/>
        <v>0</v>
      </c>
      <c r="I59" s="200"/>
    </row>
    <row r="60" spans="1:9">
      <c r="A60" s="121">
        <v>36</v>
      </c>
      <c r="B60" s="51" t="s">
        <v>143</v>
      </c>
      <c r="C60" s="238">
        <v>-812593.53</v>
      </c>
      <c r="D60" s="238"/>
      <c r="E60" s="228">
        <f t="shared" si="0"/>
        <v>-812593.53</v>
      </c>
      <c r="F60" s="238">
        <v>556316.03</v>
      </c>
      <c r="G60" s="238"/>
      <c r="H60" s="239">
        <f t="shared" si="1"/>
        <v>556316.03</v>
      </c>
    </row>
    <row r="61" spans="1:9">
      <c r="A61" s="121">
        <v>37</v>
      </c>
      <c r="B61" s="54" t="s">
        <v>144</v>
      </c>
      <c r="C61" s="240">
        <f>C58+C59+C60</f>
        <v>-2314186.02</v>
      </c>
      <c r="D61" s="240">
        <f>D58+D59+D60</f>
        <v>0</v>
      </c>
      <c r="E61" s="228">
        <f t="shared" si="0"/>
        <v>-2314186.02</v>
      </c>
      <c r="F61" s="240">
        <f>F58+F59+F60</f>
        <v>13322427.02</v>
      </c>
      <c r="G61" s="240">
        <f>G58+G59+G60</f>
        <v>0</v>
      </c>
      <c r="H61" s="239">
        <f t="shared" si="1"/>
        <v>13322427.02</v>
      </c>
    </row>
    <row r="62" spans="1:9">
      <c r="A62" s="121"/>
      <c r="B62" s="55"/>
      <c r="C62" s="238"/>
      <c r="D62" s="238"/>
      <c r="E62" s="238"/>
      <c r="F62" s="238"/>
      <c r="G62" s="238"/>
      <c r="H62" s="245"/>
    </row>
    <row r="63" spans="1:9">
      <c r="A63" s="121">
        <v>38</v>
      </c>
      <c r="B63" s="56" t="s">
        <v>271</v>
      </c>
      <c r="C63" s="240">
        <f>C56-C61</f>
        <v>-7159998.1599999983</v>
      </c>
      <c r="D63" s="240">
        <f>D56-D61</f>
        <v>4273890.7</v>
      </c>
      <c r="E63" s="228">
        <f t="shared" si="0"/>
        <v>-2886107.4599999981</v>
      </c>
      <c r="F63" s="240">
        <f>F56-F61</f>
        <v>-23419888.600000001</v>
      </c>
      <c r="G63" s="240">
        <f>G56-G61</f>
        <v>3571434.27</v>
      </c>
      <c r="H63" s="239">
        <f t="shared" si="1"/>
        <v>-19848454.330000002</v>
      </c>
    </row>
    <row r="64" spans="1:9">
      <c r="A64" s="119">
        <v>39</v>
      </c>
      <c r="B64" s="51" t="s">
        <v>145</v>
      </c>
      <c r="C64" s="250"/>
      <c r="D64" s="250"/>
      <c r="E64" s="228">
        <f t="shared" si="0"/>
        <v>0</v>
      </c>
      <c r="F64" s="250"/>
      <c r="G64" s="250"/>
      <c r="H64" s="239">
        <f t="shared" si="1"/>
        <v>0</v>
      </c>
    </row>
    <row r="65" spans="1:8">
      <c r="A65" s="121">
        <v>40</v>
      </c>
      <c r="B65" s="54" t="s">
        <v>146</v>
      </c>
      <c r="C65" s="240">
        <f>C63-C64</f>
        <v>-7159998.1599999983</v>
      </c>
      <c r="D65" s="240">
        <f>D63-D64</f>
        <v>4273890.7</v>
      </c>
      <c r="E65" s="228">
        <f t="shared" si="0"/>
        <v>-2886107.4599999981</v>
      </c>
      <c r="F65" s="240">
        <f>F63-F64</f>
        <v>-23419888.600000001</v>
      </c>
      <c r="G65" s="240">
        <f>G63-G64</f>
        <v>3571434.27</v>
      </c>
      <c r="H65" s="239">
        <f t="shared" si="1"/>
        <v>-19848454.330000002</v>
      </c>
    </row>
    <row r="66" spans="1:8">
      <c r="A66" s="119">
        <v>41</v>
      </c>
      <c r="B66" s="51" t="s">
        <v>147</v>
      </c>
      <c r="C66" s="250">
        <v>62882.32</v>
      </c>
      <c r="D66" s="250">
        <v>0</v>
      </c>
      <c r="E66" s="228">
        <f t="shared" si="0"/>
        <v>62882.32</v>
      </c>
      <c r="F66" s="250">
        <v>95106.880000000005</v>
      </c>
      <c r="G66" s="250">
        <v>0</v>
      </c>
      <c r="H66" s="239">
        <f t="shared" si="1"/>
        <v>95106.880000000005</v>
      </c>
    </row>
    <row r="67" spans="1:8" ht="15" thickBot="1">
      <c r="A67" s="123">
        <v>42</v>
      </c>
      <c r="B67" s="124" t="s">
        <v>148</v>
      </c>
      <c r="C67" s="251">
        <f>C65+C66</f>
        <v>-7097115.839999998</v>
      </c>
      <c r="D67" s="251">
        <f>D65+D66</f>
        <v>4273890.7</v>
      </c>
      <c r="E67" s="236">
        <f t="shared" si="0"/>
        <v>-2823225.1399999978</v>
      </c>
      <c r="F67" s="251">
        <f>F65+F66</f>
        <v>-23324781.720000003</v>
      </c>
      <c r="G67" s="251">
        <f>G65+G66</f>
        <v>3571434.27</v>
      </c>
      <c r="H67" s="252">
        <f t="shared" si="1"/>
        <v>-19753347.450000003</v>
      </c>
    </row>
  </sheetData>
  <mergeCells count="2">
    <mergeCell ref="C5:E5"/>
    <mergeCell ref="F5:H5"/>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10" zoomScale="90" zoomScaleNormal="90" workbookViewId="0">
      <selection activeCell="B9" sqref="B9"/>
    </sheetView>
  </sheetViews>
  <sheetFormatPr defaultRowHeight="14.5"/>
  <cols>
    <col min="1" max="1" width="9.54296875" bestFit="1" customWidth="1"/>
    <col min="2" max="2" width="72.36328125" customWidth="1"/>
    <col min="3" max="8" width="12.6328125" customWidth="1"/>
  </cols>
  <sheetData>
    <row r="1" spans="1:8">
      <c r="A1" s="2" t="s">
        <v>188</v>
      </c>
      <c r="B1" t="str">
        <f>Info!C2</f>
        <v>სს " პაშა ბანკი საქართველო"</v>
      </c>
    </row>
    <row r="2" spans="1:8">
      <c r="A2" s="2" t="s">
        <v>189</v>
      </c>
      <c r="B2" s="611">
        <f>'1. key ratios'!B2</f>
        <v>44469</v>
      </c>
    </row>
    <row r="3" spans="1:8">
      <c r="A3" s="2"/>
    </row>
    <row r="4" spans="1:8" ht="15" thickBot="1">
      <c r="A4" s="2" t="s">
        <v>330</v>
      </c>
      <c r="B4" s="2"/>
      <c r="C4" s="210"/>
      <c r="D4" s="210"/>
      <c r="E4" s="210"/>
      <c r="F4" s="211"/>
      <c r="G4" s="211"/>
      <c r="H4" s="212" t="s">
        <v>93</v>
      </c>
    </row>
    <row r="5" spans="1:8">
      <c r="A5" s="714" t="s">
        <v>26</v>
      </c>
      <c r="B5" s="716" t="s">
        <v>244</v>
      </c>
      <c r="C5" s="718" t="s">
        <v>194</v>
      </c>
      <c r="D5" s="718"/>
      <c r="E5" s="718"/>
      <c r="F5" s="718" t="s">
        <v>195</v>
      </c>
      <c r="G5" s="718"/>
      <c r="H5" s="719"/>
    </row>
    <row r="6" spans="1:8">
      <c r="A6" s="715"/>
      <c r="B6" s="717"/>
      <c r="C6" s="36" t="s">
        <v>27</v>
      </c>
      <c r="D6" s="36" t="s">
        <v>94</v>
      </c>
      <c r="E6" s="36" t="s">
        <v>68</v>
      </c>
      <c r="F6" s="36" t="s">
        <v>27</v>
      </c>
      <c r="G6" s="36" t="s">
        <v>94</v>
      </c>
      <c r="H6" s="37" t="s">
        <v>68</v>
      </c>
    </row>
    <row r="7" spans="1:8" s="3" customFormat="1">
      <c r="A7" s="213">
        <v>1</v>
      </c>
      <c r="B7" s="214" t="s">
        <v>366</v>
      </c>
      <c r="C7" s="230">
        <v>33999958.469999999</v>
      </c>
      <c r="D7" s="230">
        <v>21537331.377300002</v>
      </c>
      <c r="E7" s="253">
        <f>C7+D7</f>
        <v>55537289.8473</v>
      </c>
      <c r="F7" s="230">
        <v>35358118.460000001</v>
      </c>
      <c r="G7" s="230">
        <v>30491330.243699998</v>
      </c>
      <c r="H7" s="231">
        <f t="shared" ref="H7:H53" si="0">F7+G7</f>
        <v>65849448.703699999</v>
      </c>
    </row>
    <row r="8" spans="1:8" s="3" customFormat="1">
      <c r="A8" s="213">
        <v>1.1000000000000001</v>
      </c>
      <c r="B8" s="215" t="s">
        <v>275</v>
      </c>
      <c r="C8" s="230">
        <v>14046201.76</v>
      </c>
      <c r="D8" s="230">
        <v>15359762.740700001</v>
      </c>
      <c r="E8" s="253">
        <f t="shared" ref="E8:E53" si="1">C8+D8</f>
        <v>29405964.500700001</v>
      </c>
      <c r="F8" s="230">
        <v>19717049.670000002</v>
      </c>
      <c r="G8" s="230">
        <v>14931911.2491</v>
      </c>
      <c r="H8" s="231">
        <f t="shared" si="0"/>
        <v>34648960.919100001</v>
      </c>
    </row>
    <row r="9" spans="1:8" s="3" customFormat="1">
      <c r="A9" s="213">
        <v>1.2</v>
      </c>
      <c r="B9" s="215" t="s">
        <v>276</v>
      </c>
      <c r="C9" s="230"/>
      <c r="D9" s="230">
        <v>411323.39569999999</v>
      </c>
      <c r="E9" s="253">
        <f t="shared" si="1"/>
        <v>411323.39569999999</v>
      </c>
      <c r="F9" s="230"/>
      <c r="G9" s="230">
        <v>345735</v>
      </c>
      <c r="H9" s="231">
        <f t="shared" si="0"/>
        <v>345735</v>
      </c>
    </row>
    <row r="10" spans="1:8" s="3" customFormat="1">
      <c r="A10" s="213">
        <v>1.3</v>
      </c>
      <c r="B10" s="215" t="s">
        <v>277</v>
      </c>
      <c r="C10" s="230">
        <v>19953756.710000001</v>
      </c>
      <c r="D10" s="230">
        <v>5766245.2408999996</v>
      </c>
      <c r="E10" s="253">
        <f t="shared" si="1"/>
        <v>25720001.9509</v>
      </c>
      <c r="F10" s="230">
        <v>15641068.789999999</v>
      </c>
      <c r="G10" s="230">
        <v>15213683.9946</v>
      </c>
      <c r="H10" s="231">
        <f t="shared" si="0"/>
        <v>30854752.784599997</v>
      </c>
    </row>
    <row r="11" spans="1:8" s="3" customFormat="1">
      <c r="A11" s="213">
        <v>1.4</v>
      </c>
      <c r="B11" s="215" t="s">
        <v>278</v>
      </c>
      <c r="C11" s="230"/>
      <c r="D11" s="230"/>
      <c r="E11" s="253">
        <f t="shared" si="1"/>
        <v>0</v>
      </c>
      <c r="F11" s="230"/>
      <c r="G11" s="230"/>
      <c r="H11" s="231">
        <f t="shared" si="0"/>
        <v>0</v>
      </c>
    </row>
    <row r="12" spans="1:8" s="3" customFormat="1" ht="29.25" customHeight="1">
      <c r="A12" s="213">
        <v>2</v>
      </c>
      <c r="B12" s="214" t="s">
        <v>279</v>
      </c>
      <c r="C12" s="230"/>
      <c r="D12" s="230"/>
      <c r="E12" s="253">
        <f t="shared" si="1"/>
        <v>0</v>
      </c>
      <c r="F12" s="230"/>
      <c r="G12" s="230"/>
      <c r="H12" s="231">
        <f t="shared" si="0"/>
        <v>0</v>
      </c>
    </row>
    <row r="13" spans="1:8" s="3" customFormat="1" ht="26">
      <c r="A13" s="213">
        <v>3</v>
      </c>
      <c r="B13" s="214" t="s">
        <v>280</v>
      </c>
      <c r="C13" s="230">
        <v>0</v>
      </c>
      <c r="D13" s="230">
        <v>0</v>
      </c>
      <c r="E13" s="253">
        <f t="shared" si="1"/>
        <v>0</v>
      </c>
      <c r="F13" s="230">
        <v>0</v>
      </c>
      <c r="G13" s="230">
        <v>0</v>
      </c>
      <c r="H13" s="231">
        <f t="shared" si="0"/>
        <v>0</v>
      </c>
    </row>
    <row r="14" spans="1:8" s="3" customFormat="1">
      <c r="A14" s="213">
        <v>3.1</v>
      </c>
      <c r="B14" s="215" t="s">
        <v>281</v>
      </c>
      <c r="C14" s="230"/>
      <c r="D14" s="230"/>
      <c r="E14" s="253">
        <f t="shared" si="1"/>
        <v>0</v>
      </c>
      <c r="F14" s="230"/>
      <c r="G14" s="230"/>
      <c r="H14" s="231">
        <f t="shared" si="0"/>
        <v>0</v>
      </c>
    </row>
    <row r="15" spans="1:8" s="3" customFormat="1">
      <c r="A15" s="213">
        <v>3.2</v>
      </c>
      <c r="B15" s="215" t="s">
        <v>282</v>
      </c>
      <c r="C15" s="230"/>
      <c r="D15" s="230"/>
      <c r="E15" s="253">
        <f t="shared" si="1"/>
        <v>0</v>
      </c>
      <c r="F15" s="230"/>
      <c r="G15" s="230"/>
      <c r="H15" s="231">
        <f t="shared" si="0"/>
        <v>0</v>
      </c>
    </row>
    <row r="16" spans="1:8" s="3" customFormat="1">
      <c r="A16" s="213">
        <v>4</v>
      </c>
      <c r="B16" s="214" t="s">
        <v>283</v>
      </c>
      <c r="C16" s="230">
        <v>39980062.362899996</v>
      </c>
      <c r="D16" s="230">
        <v>308008236.21959996</v>
      </c>
      <c r="E16" s="253">
        <f t="shared" si="1"/>
        <v>347988298.58249998</v>
      </c>
      <c r="F16" s="230">
        <v>41659740.597199999</v>
      </c>
      <c r="G16" s="230">
        <v>345144075.02499998</v>
      </c>
      <c r="H16" s="231">
        <f t="shared" si="0"/>
        <v>386803815.62219995</v>
      </c>
    </row>
    <row r="17" spans="1:8" s="3" customFormat="1">
      <c r="A17" s="213">
        <v>4.0999999999999996</v>
      </c>
      <c r="B17" s="215" t="s">
        <v>284</v>
      </c>
      <c r="C17" s="230">
        <v>36187445.172899999</v>
      </c>
      <c r="D17" s="230">
        <v>290654674.60079998</v>
      </c>
      <c r="E17" s="253">
        <f t="shared" si="1"/>
        <v>326842119.7737</v>
      </c>
      <c r="F17" s="230">
        <v>35335364.907200001</v>
      </c>
      <c r="G17" s="230">
        <v>330519592.76459998</v>
      </c>
      <c r="H17" s="231">
        <f t="shared" si="0"/>
        <v>365854957.67179996</v>
      </c>
    </row>
    <row r="18" spans="1:8" s="3" customFormat="1">
      <c r="A18" s="213">
        <v>4.2</v>
      </c>
      <c r="B18" s="215" t="s">
        <v>285</v>
      </c>
      <c r="C18" s="230">
        <v>3792617.19</v>
      </c>
      <c r="D18" s="230">
        <v>17353561.618799999</v>
      </c>
      <c r="E18" s="253">
        <f t="shared" si="1"/>
        <v>21146178.808800001</v>
      </c>
      <c r="F18" s="230">
        <v>6324375.6900000004</v>
      </c>
      <c r="G18" s="230">
        <v>14624482.260399999</v>
      </c>
      <c r="H18" s="231">
        <f t="shared" si="0"/>
        <v>20948857.950399999</v>
      </c>
    </row>
    <row r="19" spans="1:8" s="3" customFormat="1" ht="26">
      <c r="A19" s="213">
        <v>5</v>
      </c>
      <c r="B19" s="214" t="s">
        <v>286</v>
      </c>
      <c r="C19" s="230">
        <v>88082756.170000002</v>
      </c>
      <c r="D19" s="230">
        <v>979411262.1552999</v>
      </c>
      <c r="E19" s="253">
        <f t="shared" si="1"/>
        <v>1067494018.3252999</v>
      </c>
      <c r="F19" s="230">
        <v>113178375.74000001</v>
      </c>
      <c r="G19" s="230">
        <v>932591993.84689999</v>
      </c>
      <c r="H19" s="231">
        <f t="shared" si="0"/>
        <v>1045770369.5869</v>
      </c>
    </row>
    <row r="20" spans="1:8" s="3" customFormat="1">
      <c r="A20" s="213">
        <v>5.0999999999999996</v>
      </c>
      <c r="B20" s="215" t="s">
        <v>287</v>
      </c>
      <c r="C20" s="230">
        <v>2791450.52</v>
      </c>
      <c r="D20" s="230">
        <v>6866080.1867000004</v>
      </c>
      <c r="E20" s="253">
        <f t="shared" si="1"/>
        <v>9657530.7067000009</v>
      </c>
      <c r="F20" s="230">
        <v>7207006.3200000003</v>
      </c>
      <c r="G20" s="230">
        <v>12128604.784499999</v>
      </c>
      <c r="H20" s="231">
        <f t="shared" si="0"/>
        <v>19335611.104499999</v>
      </c>
    </row>
    <row r="21" spans="1:8" s="3" customFormat="1">
      <c r="A21" s="213">
        <v>5.2</v>
      </c>
      <c r="B21" s="215" t="s">
        <v>288</v>
      </c>
      <c r="C21" s="230"/>
      <c r="D21" s="230"/>
      <c r="E21" s="253">
        <f t="shared" si="1"/>
        <v>0</v>
      </c>
      <c r="F21" s="230"/>
      <c r="G21" s="230"/>
      <c r="H21" s="231">
        <f t="shared" si="0"/>
        <v>0</v>
      </c>
    </row>
    <row r="22" spans="1:8" s="3" customFormat="1">
      <c r="A22" s="213">
        <v>5.3</v>
      </c>
      <c r="B22" s="215" t="s">
        <v>289</v>
      </c>
      <c r="C22" s="230">
        <v>38789450.450000003</v>
      </c>
      <c r="D22" s="230">
        <v>936650753.82349992</v>
      </c>
      <c r="E22" s="253">
        <f t="shared" si="1"/>
        <v>975440204.27349997</v>
      </c>
      <c r="F22" s="230">
        <v>39855876.450000003</v>
      </c>
      <c r="G22" s="230">
        <v>843003163.32249999</v>
      </c>
      <c r="H22" s="231">
        <f t="shared" si="0"/>
        <v>882859039.77250004</v>
      </c>
    </row>
    <row r="23" spans="1:8" s="3" customFormat="1">
      <c r="A23" s="213" t="s">
        <v>290</v>
      </c>
      <c r="B23" s="216" t="s">
        <v>291</v>
      </c>
      <c r="C23" s="230">
        <v>0</v>
      </c>
      <c r="D23" s="230">
        <v>55956163.4855</v>
      </c>
      <c r="E23" s="253">
        <f t="shared" si="1"/>
        <v>55956163.4855</v>
      </c>
      <c r="F23" s="230">
        <v>0</v>
      </c>
      <c r="G23" s="230">
        <v>76425170.768800005</v>
      </c>
      <c r="H23" s="231">
        <f t="shared" si="0"/>
        <v>76425170.768800005</v>
      </c>
    </row>
    <row r="24" spans="1:8" s="3" customFormat="1">
      <c r="A24" s="213" t="s">
        <v>292</v>
      </c>
      <c r="B24" s="216" t="s">
        <v>293</v>
      </c>
      <c r="C24" s="230">
        <v>3855876.45</v>
      </c>
      <c r="D24" s="230">
        <v>834301037.93959999</v>
      </c>
      <c r="E24" s="253">
        <f t="shared" si="1"/>
        <v>838156914.38960004</v>
      </c>
      <c r="F24" s="230">
        <v>3855876.45</v>
      </c>
      <c r="G24" s="230">
        <v>695242093.80809999</v>
      </c>
      <c r="H24" s="231">
        <f t="shared" si="0"/>
        <v>699097970.25810003</v>
      </c>
    </row>
    <row r="25" spans="1:8" s="3" customFormat="1">
      <c r="A25" s="213" t="s">
        <v>294</v>
      </c>
      <c r="B25" s="217" t="s">
        <v>295</v>
      </c>
      <c r="C25" s="230">
        <v>0</v>
      </c>
      <c r="D25" s="230">
        <v>3521581.56</v>
      </c>
      <c r="E25" s="253">
        <f t="shared" si="1"/>
        <v>3521581.56</v>
      </c>
      <c r="F25" s="230">
        <v>0</v>
      </c>
      <c r="G25" s="230">
        <v>3797409</v>
      </c>
      <c r="H25" s="231">
        <f t="shared" si="0"/>
        <v>3797409</v>
      </c>
    </row>
    <row r="26" spans="1:8" s="3" customFormat="1">
      <c r="A26" s="213" t="s">
        <v>296</v>
      </c>
      <c r="B26" s="216" t="s">
        <v>297</v>
      </c>
      <c r="C26" s="230">
        <v>0</v>
      </c>
      <c r="D26" s="230">
        <v>36411834.478200004</v>
      </c>
      <c r="E26" s="253">
        <f t="shared" si="1"/>
        <v>36411834.478200004</v>
      </c>
      <c r="F26" s="230">
        <v>0</v>
      </c>
      <c r="G26" s="230">
        <v>47038724.6774</v>
      </c>
      <c r="H26" s="231">
        <f t="shared" si="0"/>
        <v>47038724.6774</v>
      </c>
    </row>
    <row r="27" spans="1:8" s="3" customFormat="1">
      <c r="A27" s="213" t="s">
        <v>298</v>
      </c>
      <c r="B27" s="216" t="s">
        <v>299</v>
      </c>
      <c r="C27" s="230">
        <v>34933574</v>
      </c>
      <c r="D27" s="230">
        <v>6460136.3602</v>
      </c>
      <c r="E27" s="253">
        <f t="shared" si="1"/>
        <v>41393710.360200003</v>
      </c>
      <c r="F27" s="230">
        <v>36000000</v>
      </c>
      <c r="G27" s="230">
        <v>20499765.0682</v>
      </c>
      <c r="H27" s="231">
        <f t="shared" si="0"/>
        <v>56499765.0682</v>
      </c>
    </row>
    <row r="28" spans="1:8" s="3" customFormat="1">
      <c r="A28" s="213">
        <v>5.4</v>
      </c>
      <c r="B28" s="215" t="s">
        <v>300</v>
      </c>
      <c r="C28" s="230">
        <v>2308546.02</v>
      </c>
      <c r="D28" s="230">
        <v>17157584.425999999</v>
      </c>
      <c r="E28" s="253">
        <f t="shared" si="1"/>
        <v>19466130.445999999</v>
      </c>
      <c r="F28" s="230">
        <v>1308546.02</v>
      </c>
      <c r="G28" s="230">
        <v>57733409.300899997</v>
      </c>
      <c r="H28" s="231">
        <f t="shared" si="0"/>
        <v>59041955.320900001</v>
      </c>
    </row>
    <row r="29" spans="1:8" s="3" customFormat="1">
      <c r="A29" s="213">
        <v>5.5</v>
      </c>
      <c r="B29" s="215" t="s">
        <v>301</v>
      </c>
      <c r="C29" s="230">
        <v>0.05</v>
      </c>
      <c r="D29" s="230">
        <v>24.982099999999999</v>
      </c>
      <c r="E29" s="253">
        <f t="shared" si="1"/>
        <v>25.0321</v>
      </c>
      <c r="F29" s="230">
        <v>0.05</v>
      </c>
      <c r="G29" s="230">
        <v>16.439</v>
      </c>
      <c r="H29" s="231">
        <f t="shared" si="0"/>
        <v>16.489000000000001</v>
      </c>
    </row>
    <row r="30" spans="1:8" s="3" customFormat="1">
      <c r="A30" s="213">
        <v>5.6</v>
      </c>
      <c r="B30" s="215" t="s">
        <v>302</v>
      </c>
      <c r="C30" s="230"/>
      <c r="D30" s="230"/>
      <c r="E30" s="253">
        <f t="shared" si="1"/>
        <v>0</v>
      </c>
      <c r="F30" s="230"/>
      <c r="G30" s="230"/>
      <c r="H30" s="231">
        <f t="shared" si="0"/>
        <v>0</v>
      </c>
    </row>
    <row r="31" spans="1:8" s="3" customFormat="1">
      <c r="A31" s="213">
        <v>5.7</v>
      </c>
      <c r="B31" s="215" t="s">
        <v>303</v>
      </c>
      <c r="C31" s="230">
        <v>44193309.129999995</v>
      </c>
      <c r="D31" s="230">
        <v>18736818.737</v>
      </c>
      <c r="E31" s="253">
        <f t="shared" si="1"/>
        <v>62930127.866999999</v>
      </c>
      <c r="F31" s="230">
        <v>64806946.899999999</v>
      </c>
      <c r="G31" s="230">
        <v>19726800</v>
      </c>
      <c r="H31" s="231">
        <f t="shared" si="0"/>
        <v>84533746.900000006</v>
      </c>
    </row>
    <row r="32" spans="1:8" s="3" customFormat="1">
      <c r="A32" s="213">
        <v>6</v>
      </c>
      <c r="B32" s="214" t="s">
        <v>304</v>
      </c>
      <c r="C32" s="230">
        <v>44024812.299999997</v>
      </c>
      <c r="D32" s="230">
        <v>169309459.28259999</v>
      </c>
      <c r="E32" s="253">
        <f t="shared" si="1"/>
        <v>213334271.5826</v>
      </c>
      <c r="F32" s="230">
        <v>69904763.920000002</v>
      </c>
      <c r="G32" s="230">
        <v>304057403.88300002</v>
      </c>
      <c r="H32" s="231">
        <f t="shared" si="0"/>
        <v>373962167.80300003</v>
      </c>
    </row>
    <row r="33" spans="1:8" s="3" customFormat="1" ht="26">
      <c r="A33" s="213">
        <v>6.1</v>
      </c>
      <c r="B33" s="215" t="s">
        <v>367</v>
      </c>
      <c r="C33" s="230">
        <v>33406832.300000001</v>
      </c>
      <c r="D33" s="230">
        <v>73530334.082599998</v>
      </c>
      <c r="E33" s="253">
        <f t="shared" si="1"/>
        <v>106937166.38259999</v>
      </c>
      <c r="F33" s="230">
        <v>50930707.920000002</v>
      </c>
      <c r="G33" s="230">
        <v>134911535.88299999</v>
      </c>
      <c r="H33" s="231">
        <f t="shared" si="0"/>
        <v>185842243.80299997</v>
      </c>
    </row>
    <row r="34" spans="1:8" s="3" customFormat="1" ht="26">
      <c r="A34" s="213">
        <v>6.2</v>
      </c>
      <c r="B34" s="215" t="s">
        <v>305</v>
      </c>
      <c r="C34" s="230">
        <v>10617980</v>
      </c>
      <c r="D34" s="230">
        <v>95779125.200000003</v>
      </c>
      <c r="E34" s="253">
        <f t="shared" si="1"/>
        <v>106397105.2</v>
      </c>
      <c r="F34" s="230">
        <v>18974056</v>
      </c>
      <c r="G34" s="230">
        <v>169145868</v>
      </c>
      <c r="H34" s="231">
        <f t="shared" si="0"/>
        <v>188119924</v>
      </c>
    </row>
    <row r="35" spans="1:8" s="3" customFormat="1" ht="26">
      <c r="A35" s="213">
        <v>6.3</v>
      </c>
      <c r="B35" s="215" t="s">
        <v>306</v>
      </c>
      <c r="C35" s="230"/>
      <c r="D35" s="230"/>
      <c r="E35" s="253">
        <f t="shared" si="1"/>
        <v>0</v>
      </c>
      <c r="F35" s="230"/>
      <c r="G35" s="230"/>
      <c r="H35" s="231">
        <f t="shared" si="0"/>
        <v>0</v>
      </c>
    </row>
    <row r="36" spans="1:8" s="3" customFormat="1">
      <c r="A36" s="213">
        <v>6.4</v>
      </c>
      <c r="B36" s="215" t="s">
        <v>307</v>
      </c>
      <c r="C36" s="230"/>
      <c r="D36" s="230"/>
      <c r="E36" s="253">
        <f t="shared" si="1"/>
        <v>0</v>
      </c>
      <c r="F36" s="230"/>
      <c r="G36" s="230"/>
      <c r="H36" s="231">
        <f t="shared" si="0"/>
        <v>0</v>
      </c>
    </row>
    <row r="37" spans="1:8" s="3" customFormat="1">
      <c r="A37" s="213">
        <v>6.5</v>
      </c>
      <c r="B37" s="215" t="s">
        <v>308</v>
      </c>
      <c r="C37" s="230"/>
      <c r="D37" s="230"/>
      <c r="E37" s="253">
        <f t="shared" si="1"/>
        <v>0</v>
      </c>
      <c r="F37" s="230"/>
      <c r="G37" s="230"/>
      <c r="H37" s="231">
        <f t="shared" si="0"/>
        <v>0</v>
      </c>
    </row>
    <row r="38" spans="1:8" s="3" customFormat="1" ht="26">
      <c r="A38" s="213">
        <v>6.6</v>
      </c>
      <c r="B38" s="215" t="s">
        <v>309</v>
      </c>
      <c r="C38" s="230"/>
      <c r="D38" s="230"/>
      <c r="E38" s="253">
        <f t="shared" si="1"/>
        <v>0</v>
      </c>
      <c r="F38" s="230"/>
      <c r="G38" s="230"/>
      <c r="H38" s="231">
        <f t="shared" si="0"/>
        <v>0</v>
      </c>
    </row>
    <row r="39" spans="1:8" s="3" customFormat="1" ht="26">
      <c r="A39" s="213">
        <v>6.7</v>
      </c>
      <c r="B39" s="215" t="s">
        <v>310</v>
      </c>
      <c r="C39" s="230"/>
      <c r="D39" s="230"/>
      <c r="E39" s="253">
        <f t="shared" si="1"/>
        <v>0</v>
      </c>
      <c r="F39" s="230"/>
      <c r="G39" s="230"/>
      <c r="H39" s="231">
        <f t="shared" si="0"/>
        <v>0</v>
      </c>
    </row>
    <row r="40" spans="1:8" s="3" customFormat="1">
      <c r="A40" s="213">
        <v>7</v>
      </c>
      <c r="B40" s="214" t="s">
        <v>311</v>
      </c>
      <c r="C40" s="230">
        <v>2630581.48</v>
      </c>
      <c r="D40" s="230">
        <v>4344965.8271000003</v>
      </c>
      <c r="E40" s="253">
        <f t="shared" si="1"/>
        <v>6975547.3070999999</v>
      </c>
      <c r="F40" s="230">
        <v>908578.34000000008</v>
      </c>
      <c r="G40" s="230">
        <v>3068252.5314000002</v>
      </c>
      <c r="H40" s="231">
        <f t="shared" si="0"/>
        <v>3976830.8714000005</v>
      </c>
    </row>
    <row r="41" spans="1:8" s="3" customFormat="1" ht="26">
      <c r="A41" s="213">
        <v>7.1</v>
      </c>
      <c r="B41" s="215" t="s">
        <v>312</v>
      </c>
      <c r="C41" s="230">
        <v>-11230.11</v>
      </c>
      <c r="D41" s="230">
        <v>0</v>
      </c>
      <c r="E41" s="253">
        <f t="shared" si="1"/>
        <v>-11230.11</v>
      </c>
      <c r="F41" s="230">
        <v>592444.55000000005</v>
      </c>
      <c r="G41" s="230">
        <v>0</v>
      </c>
      <c r="H41" s="231">
        <f t="shared" si="0"/>
        <v>592444.55000000005</v>
      </c>
    </row>
    <row r="42" spans="1:8" s="3" customFormat="1" ht="26">
      <c r="A42" s="213">
        <v>7.2</v>
      </c>
      <c r="B42" s="215" t="s">
        <v>313</v>
      </c>
      <c r="C42" s="230">
        <v>335420.28999999998</v>
      </c>
      <c r="D42" s="230">
        <v>259966.6672</v>
      </c>
      <c r="E42" s="253">
        <f t="shared" si="1"/>
        <v>595386.95719999995</v>
      </c>
      <c r="F42" s="230">
        <v>-167155.54</v>
      </c>
      <c r="G42" s="230">
        <v>456448.21059999999</v>
      </c>
      <c r="H42" s="231">
        <f t="shared" si="0"/>
        <v>289292.67059999995</v>
      </c>
    </row>
    <row r="43" spans="1:8" s="3" customFormat="1" ht="26">
      <c r="A43" s="213">
        <v>7.3</v>
      </c>
      <c r="B43" s="215" t="s">
        <v>314</v>
      </c>
      <c r="C43" s="230">
        <v>1194974</v>
      </c>
      <c r="D43" s="230">
        <v>0</v>
      </c>
      <c r="E43" s="253">
        <f t="shared" si="1"/>
        <v>1194974</v>
      </c>
      <c r="F43" s="230">
        <v>662404.67000000004</v>
      </c>
      <c r="G43" s="230">
        <v>0</v>
      </c>
      <c r="H43" s="231">
        <f t="shared" si="0"/>
        <v>662404.67000000004</v>
      </c>
    </row>
    <row r="44" spans="1:8" s="3" customFormat="1" ht="26">
      <c r="A44" s="213">
        <v>7.4</v>
      </c>
      <c r="B44" s="215" t="s">
        <v>315</v>
      </c>
      <c r="C44" s="230">
        <v>1435607.48</v>
      </c>
      <c r="D44" s="230">
        <v>4344965.8271000003</v>
      </c>
      <c r="E44" s="253">
        <f t="shared" si="1"/>
        <v>5780573.3070999999</v>
      </c>
      <c r="F44" s="230">
        <v>246173.67</v>
      </c>
      <c r="G44" s="230">
        <v>3068252.5314000002</v>
      </c>
      <c r="H44" s="231">
        <f t="shared" si="0"/>
        <v>3314426.2014000001</v>
      </c>
    </row>
    <row r="45" spans="1:8" s="3" customFormat="1">
      <c r="A45" s="213">
        <v>8</v>
      </c>
      <c r="B45" s="214" t="s">
        <v>316</v>
      </c>
      <c r="C45" s="230">
        <v>0</v>
      </c>
      <c r="D45" s="230">
        <v>0</v>
      </c>
      <c r="E45" s="253">
        <f t="shared" si="1"/>
        <v>0</v>
      </c>
      <c r="F45" s="230">
        <v>0</v>
      </c>
      <c r="G45" s="230">
        <v>0</v>
      </c>
      <c r="H45" s="231">
        <f t="shared" si="0"/>
        <v>0</v>
      </c>
    </row>
    <row r="46" spans="1:8" s="3" customFormat="1">
      <c r="A46" s="213">
        <v>8.1</v>
      </c>
      <c r="B46" s="215" t="s">
        <v>317</v>
      </c>
      <c r="C46" s="230"/>
      <c r="D46" s="230"/>
      <c r="E46" s="253">
        <f t="shared" si="1"/>
        <v>0</v>
      </c>
      <c r="F46" s="230"/>
      <c r="G46" s="230"/>
      <c r="H46" s="231">
        <f t="shared" si="0"/>
        <v>0</v>
      </c>
    </row>
    <row r="47" spans="1:8" s="3" customFormat="1">
      <c r="A47" s="213">
        <v>8.1999999999999993</v>
      </c>
      <c r="B47" s="215" t="s">
        <v>318</v>
      </c>
      <c r="C47" s="230"/>
      <c r="D47" s="230"/>
      <c r="E47" s="253">
        <f t="shared" si="1"/>
        <v>0</v>
      </c>
      <c r="F47" s="230"/>
      <c r="G47" s="230"/>
      <c r="H47" s="231">
        <f t="shared" si="0"/>
        <v>0</v>
      </c>
    </row>
    <row r="48" spans="1:8" s="3" customFormat="1">
      <c r="A48" s="213">
        <v>8.3000000000000007</v>
      </c>
      <c r="B48" s="215" t="s">
        <v>319</v>
      </c>
      <c r="C48" s="230"/>
      <c r="D48" s="230"/>
      <c r="E48" s="253">
        <f t="shared" si="1"/>
        <v>0</v>
      </c>
      <c r="F48" s="230"/>
      <c r="G48" s="230"/>
      <c r="H48" s="231">
        <f t="shared" si="0"/>
        <v>0</v>
      </c>
    </row>
    <row r="49" spans="1:8" s="3" customFormat="1">
      <c r="A49" s="213">
        <v>8.4</v>
      </c>
      <c r="B49" s="215" t="s">
        <v>320</v>
      </c>
      <c r="C49" s="230"/>
      <c r="D49" s="230"/>
      <c r="E49" s="253">
        <f t="shared" si="1"/>
        <v>0</v>
      </c>
      <c r="F49" s="230"/>
      <c r="G49" s="230"/>
      <c r="H49" s="231">
        <f t="shared" si="0"/>
        <v>0</v>
      </c>
    </row>
    <row r="50" spans="1:8" s="3" customFormat="1">
      <c r="A50" s="213">
        <v>8.5</v>
      </c>
      <c r="B50" s="215" t="s">
        <v>321</v>
      </c>
      <c r="C50" s="230"/>
      <c r="D50" s="230"/>
      <c r="E50" s="253">
        <f t="shared" si="1"/>
        <v>0</v>
      </c>
      <c r="F50" s="230"/>
      <c r="G50" s="230"/>
      <c r="H50" s="231">
        <f t="shared" si="0"/>
        <v>0</v>
      </c>
    </row>
    <row r="51" spans="1:8" s="3" customFormat="1">
      <c r="A51" s="213">
        <v>8.6</v>
      </c>
      <c r="B51" s="215" t="s">
        <v>322</v>
      </c>
      <c r="C51" s="230"/>
      <c r="D51" s="230"/>
      <c r="E51" s="253">
        <f t="shared" si="1"/>
        <v>0</v>
      </c>
      <c r="F51" s="230"/>
      <c r="G51" s="230"/>
      <c r="H51" s="231">
        <f t="shared" si="0"/>
        <v>0</v>
      </c>
    </row>
    <row r="52" spans="1:8" s="3" customFormat="1">
      <c r="A52" s="213">
        <v>8.6999999999999993</v>
      </c>
      <c r="B52" s="215" t="s">
        <v>323</v>
      </c>
      <c r="C52" s="230"/>
      <c r="D52" s="230"/>
      <c r="E52" s="253">
        <f t="shared" si="1"/>
        <v>0</v>
      </c>
      <c r="F52" s="230"/>
      <c r="G52" s="230"/>
      <c r="H52" s="231">
        <f t="shared" si="0"/>
        <v>0</v>
      </c>
    </row>
    <row r="53" spans="1:8" s="3" customFormat="1" ht="15" thickBot="1">
      <c r="A53" s="218">
        <v>9</v>
      </c>
      <c r="B53" s="219" t="s">
        <v>324</v>
      </c>
      <c r="C53" s="254"/>
      <c r="D53" s="254"/>
      <c r="E53" s="255">
        <f t="shared" si="1"/>
        <v>0</v>
      </c>
      <c r="F53" s="254"/>
      <c r="G53" s="254"/>
      <c r="H53" s="237">
        <f t="shared" si="0"/>
        <v>0</v>
      </c>
    </row>
  </sheetData>
  <mergeCells count="4">
    <mergeCell ref="A5:A6"/>
    <mergeCell ref="B5:B6"/>
    <mergeCell ref="C5:E5"/>
    <mergeCell ref="F5:H5"/>
  </mergeCells>
  <pageMargins left="0.25" right="0.25" top="0.75" bottom="0.75" header="0.3" footer="0.3"/>
  <pageSetup paperSize="9" scale="62"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90" zoomScaleNormal="90" workbookViewId="0">
      <pane xSplit="1" ySplit="4" topLeftCell="B5" activePane="bottomRight" state="frozen"/>
      <selection activeCell="L18" sqref="L18"/>
      <selection pane="topRight" activeCell="L18" sqref="L18"/>
      <selection pane="bottomLeft" activeCell="L18" sqref="L18"/>
      <selection pane="bottomRight" activeCell="E22" sqref="E22"/>
    </sheetView>
  </sheetViews>
  <sheetFormatPr defaultColWidth="9.08984375" defaultRowHeight="13"/>
  <cols>
    <col min="1" max="1" width="9.54296875" style="2" bestFit="1" customWidth="1"/>
    <col min="2" max="2" width="86.453125" style="2" customWidth="1"/>
    <col min="3" max="4" width="12.6328125" style="2" customWidth="1"/>
    <col min="5" max="7" width="10.54296875" style="13" bestFit="1" customWidth="1"/>
    <col min="8" max="11" width="9.6328125" style="13" customWidth="1"/>
    <col min="12" max="16384" width="9.08984375" style="13"/>
  </cols>
  <sheetData>
    <row r="1" spans="1:8" ht="13.5">
      <c r="A1" s="16" t="s">
        <v>188</v>
      </c>
      <c r="B1" s="15" t="str">
        <f>Info!C2</f>
        <v>სს " პაშა ბანკი საქართველო"</v>
      </c>
      <c r="C1" s="15"/>
      <c r="D1" s="331"/>
    </row>
    <row r="2" spans="1:8" ht="13.5">
      <c r="A2" s="16" t="s">
        <v>189</v>
      </c>
      <c r="B2" s="595">
        <f>'1. key ratios'!B2</f>
        <v>44469</v>
      </c>
      <c r="C2" s="26"/>
      <c r="D2" s="17"/>
      <c r="E2" s="12"/>
      <c r="F2" s="12"/>
      <c r="G2" s="12"/>
      <c r="H2" s="12"/>
    </row>
    <row r="3" spans="1:8" ht="13.5">
      <c r="A3" s="16"/>
      <c r="B3" s="15"/>
      <c r="C3" s="26"/>
      <c r="D3" s="17"/>
      <c r="E3" s="12"/>
      <c r="F3" s="12"/>
      <c r="G3" s="12"/>
      <c r="H3" s="12"/>
    </row>
    <row r="4" spans="1:8" ht="15" customHeight="1" thickBot="1">
      <c r="A4" s="207" t="s">
        <v>331</v>
      </c>
      <c r="B4" s="208" t="s">
        <v>187</v>
      </c>
      <c r="C4" s="209" t="s">
        <v>93</v>
      </c>
    </row>
    <row r="5" spans="1:8" ht="15" customHeight="1">
      <c r="A5" s="205" t="s">
        <v>26</v>
      </c>
      <c r="B5" s="206"/>
      <c r="C5" s="443" t="str">
        <f>INT((MONTH($B$2))/3)&amp;"Q"&amp;"-"&amp;YEAR($B$2)</f>
        <v>3Q-2021</v>
      </c>
      <c r="D5" s="443" t="str">
        <f>IF(INT(MONTH($B$2))=3, "4"&amp;"Q"&amp;"-"&amp;YEAR($B$2)-1, IF(INT(MONTH($B$2))=6, "1"&amp;"Q"&amp;"-"&amp;YEAR($B$2), IF(INT(MONTH($B$2))=9, "2"&amp;"Q"&amp;"-"&amp;YEAR($B$2),IF(INT(MONTH($B$2))=12, "3"&amp;"Q"&amp;"-"&amp;YEAR($B$2), 0))))</f>
        <v>2Q-2021</v>
      </c>
      <c r="E5" s="443" t="str">
        <f>IF(INT(MONTH($B$2))=3, "3"&amp;"Q"&amp;"-"&amp;YEAR($B$2)-1, IF(INT(MONTH($B$2))=6, "4"&amp;"Q"&amp;"-"&amp;YEAR($B$2)-1, IF(INT(MONTH($B$2))=9, "1"&amp;"Q"&amp;"-"&amp;YEAR($B$2),IF(INT(MONTH($B$2))=12, "2"&amp;"Q"&amp;"-"&amp;YEAR($B$2), 0))))</f>
        <v>1Q-2021</v>
      </c>
      <c r="F5" s="443" t="str">
        <f>IF(INT(MONTH($B$2))=3, "2"&amp;"Q"&amp;"-"&amp;YEAR($B$2)-1, IF(INT(MONTH($B$2))=6, "3"&amp;"Q"&amp;"-"&amp;YEAR($B$2)-1, IF(INT(MONTH($B$2))=9, "4"&amp;"Q"&amp;"-"&amp;YEAR($B$2)-1,IF(INT(MONTH($B$2))=12, "1"&amp;"Q"&amp;"-"&amp;YEAR($B$2), 0))))</f>
        <v>4Q-2020</v>
      </c>
      <c r="G5" s="443" t="str">
        <f>IF(INT(MONTH($B$2))=3, "1"&amp;"Q"&amp;"-"&amp;YEAR($B$2)-1, IF(INT(MONTH($B$2))=6, "2"&amp;"Q"&amp;"-"&amp;YEAR($B$2)-1, IF(INT(MONTH($B$2))=9, "3"&amp;"Q"&amp;"-"&amp;YEAR($B$2)-1,IF(INT(MONTH($B$2))=12, "4"&amp;"Q"&amp;"-"&amp;YEAR($B$2)-1, 0))))</f>
        <v>3Q-2020</v>
      </c>
    </row>
    <row r="6" spans="1:8" ht="15" customHeight="1">
      <c r="A6" s="373">
        <v>1</v>
      </c>
      <c r="B6" s="431" t="s">
        <v>192</v>
      </c>
      <c r="C6" s="374">
        <f>C7+C9+C10</f>
        <v>408896275.66061008</v>
      </c>
      <c r="D6" s="434">
        <f>D7+D9+D10</f>
        <v>397624044.26947999</v>
      </c>
      <c r="E6" s="375">
        <f t="shared" ref="E6:G6" si="0">E7+E9+E10</f>
        <v>454932912.91016006</v>
      </c>
      <c r="F6" s="374">
        <f t="shared" si="0"/>
        <v>465140020.90193999</v>
      </c>
      <c r="G6" s="435">
        <f t="shared" si="0"/>
        <v>452099062.64194</v>
      </c>
    </row>
    <row r="7" spans="1:8" ht="15" customHeight="1">
      <c r="A7" s="373">
        <v>1.1000000000000001</v>
      </c>
      <c r="B7" s="376" t="s">
        <v>475</v>
      </c>
      <c r="C7" s="377">
        <v>388901879.89931005</v>
      </c>
      <c r="D7" s="436">
        <v>376228699.03288001</v>
      </c>
      <c r="E7" s="377">
        <v>431595906.86286002</v>
      </c>
      <c r="F7" s="377">
        <v>438451284.67522997</v>
      </c>
      <c r="G7" s="437">
        <v>425090807.98057002</v>
      </c>
    </row>
    <row r="8" spans="1:8" ht="26">
      <c r="A8" s="373" t="s">
        <v>251</v>
      </c>
      <c r="B8" s="378" t="s">
        <v>325</v>
      </c>
      <c r="C8" s="377"/>
      <c r="D8" s="436"/>
      <c r="E8" s="377"/>
      <c r="F8" s="377"/>
      <c r="G8" s="437"/>
    </row>
    <row r="9" spans="1:8" ht="15" customHeight="1">
      <c r="A9" s="373">
        <v>1.2</v>
      </c>
      <c r="B9" s="376" t="s">
        <v>22</v>
      </c>
      <c r="C9" s="377">
        <v>17855652.433600001</v>
      </c>
      <c r="D9" s="436">
        <v>19400660.230599999</v>
      </c>
      <c r="E9" s="377">
        <v>21019210.941599999</v>
      </c>
      <c r="F9" s="377">
        <v>23747861.381210003</v>
      </c>
      <c r="G9" s="437">
        <v>23291409.785269998</v>
      </c>
    </row>
    <row r="10" spans="1:8" ht="15" customHeight="1">
      <c r="A10" s="373">
        <v>1.3</v>
      </c>
      <c r="B10" s="432" t="s">
        <v>77</v>
      </c>
      <c r="C10" s="379">
        <v>2138743.3276999998</v>
      </c>
      <c r="D10" s="436">
        <v>1994685.0060000001</v>
      </c>
      <c r="E10" s="379">
        <v>2317795.1057000002</v>
      </c>
      <c r="F10" s="377">
        <v>2940874.8454999998</v>
      </c>
      <c r="G10" s="438">
        <v>3716844.8761</v>
      </c>
    </row>
    <row r="11" spans="1:8" ht="15" customHeight="1">
      <c r="A11" s="373">
        <v>2</v>
      </c>
      <c r="B11" s="431" t="s">
        <v>193</v>
      </c>
      <c r="C11" s="377">
        <v>1190115.2238224878</v>
      </c>
      <c r="D11" s="436">
        <v>5610520.3331548879</v>
      </c>
      <c r="E11" s="377">
        <v>6614035.9425159683</v>
      </c>
      <c r="F11" s="377">
        <v>5169737.4267999995</v>
      </c>
      <c r="G11" s="437">
        <v>3825396.0950000002</v>
      </c>
    </row>
    <row r="12" spans="1:8" ht="15" customHeight="1">
      <c r="A12" s="390">
        <v>3</v>
      </c>
      <c r="B12" s="433" t="s">
        <v>191</v>
      </c>
      <c r="C12" s="379">
        <v>41604452.331200004</v>
      </c>
      <c r="D12" s="436">
        <v>41604452.331200004</v>
      </c>
      <c r="E12" s="379">
        <v>41604452.331200004</v>
      </c>
      <c r="F12" s="377">
        <v>41604452.325000003</v>
      </c>
      <c r="G12" s="438">
        <v>37496518.306199998</v>
      </c>
    </row>
    <row r="13" spans="1:8" ht="15" customHeight="1" thickBot="1">
      <c r="A13" s="126">
        <v>4</v>
      </c>
      <c r="B13" s="441" t="s">
        <v>252</v>
      </c>
      <c r="C13" s="256">
        <f>C6+C11+C12</f>
        <v>451690843.21563256</v>
      </c>
      <c r="D13" s="439">
        <f>D6+D11+D12</f>
        <v>444839016.93383491</v>
      </c>
      <c r="E13" s="257">
        <f t="shared" ref="E13:G13" si="1">E6+E11+E12</f>
        <v>503151401.18387604</v>
      </c>
      <c r="F13" s="256">
        <f t="shared" si="1"/>
        <v>511914210.65373999</v>
      </c>
      <c r="G13" s="440">
        <f t="shared" si="1"/>
        <v>493420977.04314005</v>
      </c>
    </row>
    <row r="14" spans="1:8">
      <c r="B14" s="22"/>
    </row>
    <row r="15" spans="1:8" ht="26">
      <c r="B15" s="99" t="s">
        <v>476</v>
      </c>
    </row>
    <row r="16" spans="1:8">
      <c r="B16" s="99"/>
    </row>
    <row r="17" spans="2:2">
      <c r="B17" s="99"/>
    </row>
    <row r="18" spans="2:2">
      <c r="B18" s="99"/>
    </row>
  </sheetData>
  <pageMargins left="0.7" right="0.7" top="0.75" bottom="0.75" header="0.3" footer="0.3"/>
  <pageSetup paperSize="9"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6"/>
  <sheetViews>
    <sheetView showGridLines="0" zoomScale="90" zoomScaleNormal="90" workbookViewId="0">
      <pane xSplit="1" ySplit="4" topLeftCell="B5" activePane="bottomRight" state="frozen"/>
      <selection pane="topRight" activeCell="B1" sqref="B1"/>
      <selection pane="bottomLeft" activeCell="A4" sqref="A4"/>
      <selection pane="bottomRight" activeCell="C33" sqref="C33"/>
    </sheetView>
  </sheetViews>
  <sheetFormatPr defaultRowHeight="14.5"/>
  <cols>
    <col min="1" max="1" width="9.54296875" style="2" bestFit="1" customWidth="1"/>
    <col min="2" max="2" width="45.81640625" style="2" customWidth="1"/>
    <col min="3" max="3" width="56.54296875" style="2" customWidth="1"/>
  </cols>
  <sheetData>
    <row r="1" spans="1:8">
      <c r="A1" s="2" t="s">
        <v>188</v>
      </c>
      <c r="B1" s="331" t="str">
        <f>Info!C2</f>
        <v>სს " პაშა ბანკი საქართველო"</v>
      </c>
    </row>
    <row r="2" spans="1:8">
      <c r="A2" s="2" t="s">
        <v>189</v>
      </c>
      <c r="B2" s="611">
        <f>'1. key ratios'!B2</f>
        <v>44469</v>
      </c>
    </row>
    <row r="4" spans="1:8" ht="25.5" customHeight="1" thickBot="1">
      <c r="A4" s="220" t="s">
        <v>332</v>
      </c>
      <c r="B4" s="724" t="s">
        <v>149</v>
      </c>
      <c r="C4" s="724"/>
    </row>
    <row r="5" spans="1:8">
      <c r="A5" s="11"/>
      <c r="B5" s="427" t="s">
        <v>150</v>
      </c>
      <c r="C5" s="442" t="s">
        <v>490</v>
      </c>
    </row>
    <row r="6" spans="1:8" ht="15">
      <c r="A6" s="596">
        <v>1</v>
      </c>
      <c r="B6" s="597" t="s">
        <v>743</v>
      </c>
      <c r="C6" s="610" t="s">
        <v>744</v>
      </c>
    </row>
    <row r="7" spans="1:8" ht="15">
      <c r="A7" s="596">
        <v>2</v>
      </c>
      <c r="B7" s="597" t="s">
        <v>745</v>
      </c>
      <c r="C7" s="610" t="s">
        <v>746</v>
      </c>
    </row>
    <row r="8" spans="1:8" ht="15">
      <c r="A8" s="596">
        <v>3</v>
      </c>
      <c r="B8" s="597" t="s">
        <v>747</v>
      </c>
      <c r="C8" s="610" t="s">
        <v>746</v>
      </c>
    </row>
    <row r="9" spans="1:8" ht="15">
      <c r="A9" s="596">
        <v>4</v>
      </c>
      <c r="B9" s="597" t="s">
        <v>748</v>
      </c>
      <c r="C9" s="610" t="s">
        <v>744</v>
      </c>
    </row>
    <row r="10" spans="1:8" ht="15">
      <c r="A10" s="596">
        <v>5</v>
      </c>
      <c r="B10" s="597" t="s">
        <v>740</v>
      </c>
      <c r="C10" s="610" t="s">
        <v>749</v>
      </c>
    </row>
    <row r="11" spans="1:8" ht="15">
      <c r="A11" s="596">
        <v>6</v>
      </c>
      <c r="B11" s="597"/>
      <c r="C11" s="610"/>
    </row>
    <row r="12" spans="1:8" ht="15">
      <c r="A12" s="596">
        <v>7</v>
      </c>
      <c r="B12" s="597"/>
      <c r="C12" s="610"/>
      <c r="H12" s="4"/>
    </row>
    <row r="13" spans="1:8" ht="15">
      <c r="A13" s="596">
        <v>8</v>
      </c>
      <c r="B13" s="597"/>
      <c r="C13" s="610"/>
    </row>
    <row r="14" spans="1:8" ht="15">
      <c r="A14" s="596">
        <v>9</v>
      </c>
      <c r="B14" s="597"/>
      <c r="C14" s="610"/>
    </row>
    <row r="15" spans="1:8" ht="15">
      <c r="A15" s="596">
        <v>10</v>
      </c>
      <c r="B15" s="597"/>
      <c r="C15" s="610"/>
    </row>
    <row r="16" spans="1:8" ht="15">
      <c r="A16" s="596"/>
      <c r="B16" s="720"/>
      <c r="C16" s="721"/>
    </row>
    <row r="17" spans="1:3" ht="27">
      <c r="A17" s="596"/>
      <c r="B17" s="598" t="s">
        <v>151</v>
      </c>
      <c r="C17" s="599" t="s">
        <v>491</v>
      </c>
    </row>
    <row r="18" spans="1:3">
      <c r="A18" s="596">
        <v>1</v>
      </c>
      <c r="B18" s="600" t="s">
        <v>741</v>
      </c>
      <c r="C18" s="601" t="s">
        <v>750</v>
      </c>
    </row>
    <row r="19" spans="1:3">
      <c r="A19" s="596">
        <v>2</v>
      </c>
      <c r="B19" s="600" t="s">
        <v>751</v>
      </c>
      <c r="C19" s="601" t="s">
        <v>752</v>
      </c>
    </row>
    <row r="20" spans="1:3">
      <c r="A20" s="596">
        <v>3</v>
      </c>
      <c r="B20" s="600" t="s">
        <v>753</v>
      </c>
      <c r="C20" s="601" t="s">
        <v>754</v>
      </c>
    </row>
    <row r="21" spans="1:3">
      <c r="A21" s="596">
        <v>4</v>
      </c>
      <c r="B21" s="600" t="s">
        <v>755</v>
      </c>
      <c r="C21" s="601" t="s">
        <v>756</v>
      </c>
    </row>
    <row r="22" spans="1:3">
      <c r="A22" s="596">
        <v>5</v>
      </c>
      <c r="B22" s="600"/>
      <c r="C22" s="601"/>
    </row>
    <row r="23" spans="1:3">
      <c r="A23" s="596">
        <v>6</v>
      </c>
      <c r="B23" s="600"/>
      <c r="C23" s="601"/>
    </row>
    <row r="24" spans="1:3">
      <c r="A24" s="596">
        <v>7</v>
      </c>
      <c r="B24" s="600"/>
      <c r="C24" s="601"/>
    </row>
    <row r="25" spans="1:3">
      <c r="A25" s="596">
        <v>8</v>
      </c>
      <c r="B25" s="600"/>
      <c r="C25" s="601"/>
    </row>
    <row r="26" spans="1:3">
      <c r="A26" s="596">
        <v>9</v>
      </c>
      <c r="B26" s="600"/>
      <c r="C26" s="601"/>
    </row>
    <row r="27" spans="1:3" ht="15.75" customHeight="1">
      <c r="A27" s="596">
        <v>10</v>
      </c>
      <c r="B27" s="600"/>
      <c r="C27" s="602"/>
    </row>
    <row r="28" spans="1:3" ht="15.75" customHeight="1">
      <c r="A28" s="596"/>
      <c r="B28" s="600"/>
      <c r="C28" s="603"/>
    </row>
    <row r="29" spans="1:3" ht="30" customHeight="1">
      <c r="A29" s="596"/>
      <c r="B29" s="722" t="s">
        <v>152</v>
      </c>
      <c r="C29" s="723"/>
    </row>
    <row r="30" spans="1:3" ht="15">
      <c r="A30" s="596">
        <v>1</v>
      </c>
      <c r="B30" s="597" t="s">
        <v>757</v>
      </c>
      <c r="C30" s="604">
        <v>1</v>
      </c>
    </row>
    <row r="31" spans="1:3" ht="15.75" customHeight="1">
      <c r="A31" s="596"/>
      <c r="B31" s="597"/>
      <c r="C31" s="605"/>
    </row>
    <row r="32" spans="1:3" ht="29.25" customHeight="1">
      <c r="A32" s="596"/>
      <c r="B32" s="722" t="s">
        <v>272</v>
      </c>
      <c r="C32" s="723"/>
    </row>
    <row r="33" spans="1:3" ht="15">
      <c r="A33" s="596">
        <v>1</v>
      </c>
      <c r="B33" s="597" t="s">
        <v>758</v>
      </c>
      <c r="C33" s="606">
        <v>0.19189999999999999</v>
      </c>
    </row>
    <row r="34" spans="1:3" ht="15">
      <c r="A34" s="607">
        <v>2</v>
      </c>
      <c r="B34" s="608" t="s">
        <v>759</v>
      </c>
      <c r="C34" s="609">
        <v>0.35060000000000002</v>
      </c>
    </row>
    <row r="35" spans="1:3" ht="15">
      <c r="A35" s="607">
        <v>3</v>
      </c>
      <c r="B35" s="608" t="s">
        <v>760</v>
      </c>
      <c r="C35" s="609">
        <v>0.35060000000000002</v>
      </c>
    </row>
    <row r="36" spans="1:3" ht="15.5" thickBot="1">
      <c r="A36" s="14">
        <v>4</v>
      </c>
      <c r="B36" s="58" t="s">
        <v>761</v>
      </c>
      <c r="C36" s="578">
        <v>0.1069</v>
      </c>
    </row>
  </sheetData>
  <mergeCells count="4">
    <mergeCell ref="B16:C16"/>
    <mergeCell ref="B32:C32"/>
    <mergeCell ref="B29:C29"/>
    <mergeCell ref="B4:C4"/>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I37"/>
  <sheetViews>
    <sheetView zoomScale="90" zoomScaleNormal="90" workbookViewId="0">
      <pane xSplit="1" ySplit="5" topLeftCell="B6" activePane="bottomRight" state="frozen"/>
      <selection activeCell="H6" sqref="H6"/>
      <selection pane="topRight" activeCell="H6" sqref="H6"/>
      <selection pane="bottomLeft" activeCell="H6" sqref="H6"/>
      <selection pane="bottomRight" activeCell="B2" sqref="B2"/>
    </sheetView>
  </sheetViews>
  <sheetFormatPr defaultRowHeight="14.5"/>
  <cols>
    <col min="1" max="1" width="9.54296875" style="2" bestFit="1" customWidth="1"/>
    <col min="2" max="2" width="47.54296875" style="2" customWidth="1"/>
    <col min="3" max="3" width="28" style="2" customWidth="1"/>
    <col min="4" max="4" width="22.453125" style="2" customWidth="1"/>
    <col min="5" max="5" width="18.90625" style="2" customWidth="1"/>
    <col min="6" max="6" width="12" bestFit="1" customWidth="1"/>
    <col min="7" max="7" width="12.54296875" bestFit="1" customWidth="1"/>
  </cols>
  <sheetData>
    <row r="1" spans="1:9">
      <c r="A1" s="16" t="s">
        <v>188</v>
      </c>
      <c r="B1" s="15" t="str">
        <f>Info!C2</f>
        <v>სს " პაშა ბანკი საქართველო"</v>
      </c>
    </row>
    <row r="2" spans="1:9" s="20" customFormat="1" ht="15.75" customHeight="1">
      <c r="A2" s="20" t="s">
        <v>189</v>
      </c>
      <c r="B2" s="611">
        <f>'1. key ratios'!B2</f>
        <v>44469</v>
      </c>
    </row>
    <row r="3" spans="1:9" s="20" customFormat="1" ht="15.75" customHeight="1"/>
    <row r="4" spans="1:9" s="20" customFormat="1" ht="15.75" customHeight="1" thickBot="1">
      <c r="A4" s="221" t="s">
        <v>333</v>
      </c>
      <c r="B4" s="222" t="s">
        <v>262</v>
      </c>
      <c r="C4" s="184"/>
      <c r="D4" s="184"/>
      <c r="E4" s="185" t="s">
        <v>93</v>
      </c>
    </row>
    <row r="5" spans="1:9" s="114" customFormat="1" ht="17.399999999999999" customHeight="1">
      <c r="A5" s="342"/>
      <c r="B5" s="343"/>
      <c r="C5" s="183" t="s">
        <v>0</v>
      </c>
      <c r="D5" s="183" t="s">
        <v>1</v>
      </c>
      <c r="E5" s="344" t="s">
        <v>2</v>
      </c>
    </row>
    <row r="6" spans="1:9" s="149" customFormat="1" ht="14.4" customHeight="1">
      <c r="A6" s="345"/>
      <c r="B6" s="725" t="s">
        <v>231</v>
      </c>
      <c r="C6" s="725" t="s">
        <v>230</v>
      </c>
      <c r="D6" s="726" t="s">
        <v>229</v>
      </c>
      <c r="E6" s="727"/>
      <c r="G6"/>
    </row>
    <row r="7" spans="1:9" s="149" customFormat="1" ht="99.65" customHeight="1">
      <c r="A7" s="345"/>
      <c r="B7" s="725"/>
      <c r="C7" s="725"/>
      <c r="D7" s="340" t="s">
        <v>228</v>
      </c>
      <c r="E7" s="341" t="s">
        <v>393</v>
      </c>
      <c r="G7"/>
    </row>
    <row r="8" spans="1:9">
      <c r="A8" s="346">
        <v>1</v>
      </c>
      <c r="B8" s="347" t="s">
        <v>154</v>
      </c>
      <c r="C8" s="348">
        <v>5651974.6952999998</v>
      </c>
      <c r="D8" s="348"/>
      <c r="E8" s="349">
        <f>C8-D8</f>
        <v>5651974.6952999998</v>
      </c>
      <c r="I8" s="6"/>
    </row>
    <row r="9" spans="1:9">
      <c r="A9" s="346">
        <v>2</v>
      </c>
      <c r="B9" s="347" t="s">
        <v>155</v>
      </c>
      <c r="C9" s="348">
        <v>47121585.483899996</v>
      </c>
      <c r="D9" s="348"/>
      <c r="E9" s="349">
        <f t="shared" ref="E9:E20" si="0">C9-D9</f>
        <v>47121585.483899996</v>
      </c>
      <c r="I9" s="6"/>
    </row>
    <row r="10" spans="1:9">
      <c r="A10" s="346">
        <v>3</v>
      </c>
      <c r="B10" s="347" t="s">
        <v>227</v>
      </c>
      <c r="C10" s="348">
        <v>71199934.902999997</v>
      </c>
      <c r="D10" s="348"/>
      <c r="E10" s="349">
        <f t="shared" si="0"/>
        <v>71199934.902999997</v>
      </c>
      <c r="I10" s="6"/>
    </row>
    <row r="11" spans="1:9">
      <c r="A11" s="346">
        <v>4</v>
      </c>
      <c r="B11" s="347" t="s">
        <v>185</v>
      </c>
      <c r="C11" s="348">
        <v>0</v>
      </c>
      <c r="D11" s="348"/>
      <c r="E11" s="349">
        <f t="shared" si="0"/>
        <v>0</v>
      </c>
      <c r="I11" s="6"/>
    </row>
    <row r="12" spans="1:9">
      <c r="A12" s="346">
        <v>5</v>
      </c>
      <c r="B12" s="347" t="s">
        <v>157</v>
      </c>
      <c r="C12" s="348">
        <v>37736621.068399996</v>
      </c>
      <c r="D12" s="348"/>
      <c r="E12" s="349">
        <f t="shared" si="0"/>
        <v>37736621.068399996</v>
      </c>
      <c r="I12" s="6"/>
    </row>
    <row r="13" spans="1:9">
      <c r="A13" s="346">
        <v>6.1</v>
      </c>
      <c r="B13" s="347" t="s">
        <v>158</v>
      </c>
      <c r="C13" s="350">
        <v>284026273.80919999</v>
      </c>
      <c r="D13" s="348"/>
      <c r="E13" s="349">
        <f t="shared" si="0"/>
        <v>284026273.80919999</v>
      </c>
      <c r="I13" s="6"/>
    </row>
    <row r="14" spans="1:9">
      <c r="A14" s="346">
        <v>6.2</v>
      </c>
      <c r="B14" s="351" t="s">
        <v>159</v>
      </c>
      <c r="C14" s="350">
        <v>-17980066.2434</v>
      </c>
      <c r="D14" s="348"/>
      <c r="E14" s="349">
        <f t="shared" si="0"/>
        <v>-17980066.2434</v>
      </c>
      <c r="I14" s="6"/>
    </row>
    <row r="15" spans="1:9">
      <c r="A15" s="346">
        <v>6</v>
      </c>
      <c r="B15" s="347" t="s">
        <v>226</v>
      </c>
      <c r="C15" s="348">
        <v>266046207.56580001</v>
      </c>
      <c r="D15" s="348"/>
      <c r="E15" s="349">
        <f t="shared" si="0"/>
        <v>266046207.56580001</v>
      </c>
      <c r="I15" s="6"/>
    </row>
    <row r="16" spans="1:9">
      <c r="A16" s="346">
        <v>7</v>
      </c>
      <c r="B16" s="347" t="s">
        <v>161</v>
      </c>
      <c r="C16" s="348">
        <v>1967770.5468000001</v>
      </c>
      <c r="D16" s="348"/>
      <c r="E16" s="349">
        <f t="shared" si="0"/>
        <v>1967770.5468000001</v>
      </c>
      <c r="I16" s="6"/>
    </row>
    <row r="17" spans="1:9">
      <c r="A17" s="346">
        <v>8</v>
      </c>
      <c r="B17" s="347" t="s">
        <v>162</v>
      </c>
      <c r="C17" s="348">
        <v>98175</v>
      </c>
      <c r="D17" s="348"/>
      <c r="E17" s="349">
        <f t="shared" si="0"/>
        <v>98175</v>
      </c>
      <c r="F17" s="6"/>
      <c r="G17" s="6"/>
      <c r="I17" s="6"/>
    </row>
    <row r="18" spans="1:9">
      <c r="A18" s="346">
        <v>9</v>
      </c>
      <c r="B18" s="347" t="s">
        <v>163</v>
      </c>
      <c r="C18" s="348">
        <v>0</v>
      </c>
      <c r="D18" s="348"/>
      <c r="E18" s="349">
        <f t="shared" si="0"/>
        <v>0</v>
      </c>
      <c r="G18" s="6"/>
      <c r="I18" s="6"/>
    </row>
    <row r="19" spans="1:9" ht="26">
      <c r="A19" s="346">
        <v>10</v>
      </c>
      <c r="B19" s="347" t="s">
        <v>164</v>
      </c>
      <c r="C19" s="348">
        <v>15335810.289999999</v>
      </c>
      <c r="D19" s="348">
        <v>4187085.74</v>
      </c>
      <c r="E19" s="349">
        <f t="shared" si="0"/>
        <v>11148724.549999999</v>
      </c>
      <c r="G19" s="6"/>
      <c r="I19" s="6"/>
    </row>
    <row r="20" spans="1:9">
      <c r="A20" s="346">
        <v>11</v>
      </c>
      <c r="B20" s="347" t="s">
        <v>165</v>
      </c>
      <c r="C20" s="348">
        <v>3054955.7683000001</v>
      </c>
      <c r="D20" s="348"/>
      <c r="E20" s="349">
        <f t="shared" si="0"/>
        <v>3054955.7683000001</v>
      </c>
      <c r="I20" s="6"/>
    </row>
    <row r="21" spans="1:9" ht="39.5" thickBot="1">
      <c r="A21" s="352"/>
      <c r="B21" s="353" t="s">
        <v>368</v>
      </c>
      <c r="C21" s="310">
        <f>SUM(C8:C12, C15:C20)</f>
        <v>448213035.32150006</v>
      </c>
      <c r="D21" s="310">
        <f>SUM(D8:D12, D15:D20)</f>
        <v>4187085.74</v>
      </c>
      <c r="E21" s="354">
        <f>SUM(E8:E12, E15:E20)</f>
        <v>444025949.58150005</v>
      </c>
      <c r="I21" s="6"/>
    </row>
    <row r="22" spans="1:9">
      <c r="A22"/>
      <c r="B22"/>
      <c r="C22"/>
      <c r="D22"/>
      <c r="E22"/>
    </row>
    <row r="23" spans="1:9">
      <c r="A23"/>
      <c r="B23"/>
      <c r="C23"/>
      <c r="D23"/>
      <c r="E23"/>
    </row>
    <row r="25" spans="1:9" s="2" customFormat="1">
      <c r="B25" s="60"/>
      <c r="F25"/>
      <c r="G25"/>
    </row>
    <row r="26" spans="1:9" s="2" customFormat="1">
      <c r="B26" s="61"/>
      <c r="F26"/>
      <c r="G26"/>
    </row>
    <row r="27" spans="1:9" s="2" customFormat="1">
      <c r="B27" s="60"/>
      <c r="F27"/>
      <c r="G27"/>
    </row>
    <row r="28" spans="1:9" s="2" customFormat="1">
      <c r="B28" s="60"/>
      <c r="F28"/>
      <c r="G28"/>
    </row>
    <row r="29" spans="1:9" s="2" customFormat="1">
      <c r="B29" s="60"/>
      <c r="F29"/>
      <c r="G29"/>
    </row>
    <row r="30" spans="1:9" s="2" customFormat="1">
      <c r="B30" s="60"/>
      <c r="F30"/>
      <c r="G30"/>
    </row>
    <row r="31" spans="1:9" s="2" customFormat="1">
      <c r="B31" s="60"/>
      <c r="F31"/>
      <c r="G31"/>
    </row>
    <row r="32" spans="1:9" s="2" customFormat="1">
      <c r="B32" s="61"/>
      <c r="F32"/>
      <c r="G32"/>
    </row>
    <row r="33" spans="2:7" s="2" customFormat="1">
      <c r="B33" s="61"/>
      <c r="F33"/>
      <c r="G33"/>
    </row>
    <row r="34" spans="2:7" s="2" customFormat="1">
      <c r="B34" s="61"/>
      <c r="F34"/>
      <c r="G34"/>
    </row>
    <row r="35" spans="2:7" s="2" customFormat="1">
      <c r="B35" s="61"/>
      <c r="F35"/>
      <c r="G35"/>
    </row>
    <row r="36" spans="2:7" s="2" customFormat="1">
      <c r="B36" s="61"/>
      <c r="F36"/>
      <c r="G36"/>
    </row>
    <row r="37" spans="2:7" s="2" customFormat="1">
      <c r="B37" s="61"/>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B2" sqref="B2"/>
    </sheetView>
  </sheetViews>
  <sheetFormatPr defaultRowHeight="14.5" outlineLevelRow="1"/>
  <cols>
    <col min="1" max="1" width="9.54296875" style="2" bestFit="1" customWidth="1"/>
    <col min="2" max="2" width="114.36328125" style="2" customWidth="1"/>
    <col min="3" max="3" width="18.90625" customWidth="1"/>
    <col min="4" max="4" width="25.453125" customWidth="1"/>
    <col min="5" max="5" width="24.36328125" customWidth="1"/>
    <col min="6" max="6" width="24" customWidth="1"/>
    <col min="7" max="7" width="10" bestFit="1" customWidth="1"/>
    <col min="8" max="8" width="12" bestFit="1" customWidth="1"/>
    <col min="9" max="9" width="12.54296875" bestFit="1" customWidth="1"/>
  </cols>
  <sheetData>
    <row r="1" spans="1:6">
      <c r="A1" s="16" t="s">
        <v>188</v>
      </c>
      <c r="B1" s="15" t="str">
        <f>Info!C2</f>
        <v>სს " პაშა ბანკი საქართველო"</v>
      </c>
    </row>
    <row r="2" spans="1:6" s="20" customFormat="1" ht="15.75" customHeight="1">
      <c r="A2" s="20" t="s">
        <v>189</v>
      </c>
      <c r="B2" s="611">
        <f>'1. key ratios'!B2</f>
        <v>44469</v>
      </c>
      <c r="C2"/>
      <c r="D2"/>
      <c r="E2"/>
      <c r="F2"/>
    </row>
    <row r="3" spans="1:6" s="20" customFormat="1" ht="15.75" customHeight="1">
      <c r="C3"/>
      <c r="D3"/>
      <c r="E3"/>
      <c r="F3"/>
    </row>
    <row r="4" spans="1:6" s="20" customFormat="1" ht="26.5" thickBot="1">
      <c r="A4" s="20" t="s">
        <v>334</v>
      </c>
      <c r="B4" s="191" t="s">
        <v>265</v>
      </c>
      <c r="C4" s="185" t="s">
        <v>93</v>
      </c>
      <c r="D4"/>
      <c r="E4"/>
      <c r="F4"/>
    </row>
    <row r="5" spans="1:6" ht="26.5">
      <c r="A5" s="186">
        <v>1</v>
      </c>
      <c r="B5" s="187" t="s">
        <v>341</v>
      </c>
      <c r="C5" s="258">
        <f>'7. LI1'!E21</f>
        <v>444025949.58150005</v>
      </c>
    </row>
    <row r="6" spans="1:6" s="176" customFormat="1">
      <c r="A6" s="113">
        <v>2.1</v>
      </c>
      <c r="B6" s="193" t="s">
        <v>266</v>
      </c>
      <c r="C6" s="259">
        <v>54894675.403899997</v>
      </c>
    </row>
    <row r="7" spans="1:6" s="4" customFormat="1" ht="26" outlineLevel="1">
      <c r="A7" s="192">
        <v>2.2000000000000002</v>
      </c>
      <c r="B7" s="188" t="s">
        <v>267</v>
      </c>
      <c r="C7" s="260">
        <v>106937166.38259999</v>
      </c>
    </row>
    <row r="8" spans="1:6" s="4" customFormat="1" ht="26.5">
      <c r="A8" s="192">
        <v>3</v>
      </c>
      <c r="B8" s="189" t="s">
        <v>342</v>
      </c>
      <c r="C8" s="261">
        <f>SUM(C5:C7)</f>
        <v>605857791.36800003</v>
      </c>
    </row>
    <row r="9" spans="1:6" s="176" customFormat="1">
      <c r="A9" s="113">
        <v>4</v>
      </c>
      <c r="B9" s="196" t="s">
        <v>263</v>
      </c>
      <c r="C9" s="259">
        <v>5138395.9411000004</v>
      </c>
    </row>
    <row r="10" spans="1:6" s="4" customFormat="1" ht="26" outlineLevel="1">
      <c r="A10" s="192">
        <v>5.0999999999999996</v>
      </c>
      <c r="B10" s="188" t="s">
        <v>273</v>
      </c>
      <c r="C10" s="260">
        <v>-37039022.970299996</v>
      </c>
    </row>
    <row r="11" spans="1:6" s="4" customFormat="1" ht="26" outlineLevel="1">
      <c r="A11" s="192">
        <v>5.2</v>
      </c>
      <c r="B11" s="188" t="s">
        <v>274</v>
      </c>
      <c r="C11" s="260">
        <v>-104798423.054948</v>
      </c>
    </row>
    <row r="12" spans="1:6" s="4" customFormat="1">
      <c r="A12" s="192">
        <v>6</v>
      </c>
      <c r="B12" s="194" t="s">
        <v>477</v>
      </c>
      <c r="C12" s="355"/>
    </row>
    <row r="13" spans="1:6" s="4" customFormat="1" ht="15" thickBot="1">
      <c r="A13" s="195">
        <v>7</v>
      </c>
      <c r="B13" s="190" t="s">
        <v>264</v>
      </c>
      <c r="C13" s="262">
        <f>SUM(C8:C12)</f>
        <v>469158741.2838521</v>
      </c>
    </row>
    <row r="15" spans="1:6" ht="26.5">
      <c r="B15" s="22" t="s">
        <v>478</v>
      </c>
      <c r="C15" s="579"/>
    </row>
    <row r="17" spans="2:9" s="2" customFormat="1">
      <c r="B17" s="62"/>
      <c r="C17" s="580"/>
      <c r="D17"/>
      <c r="E17"/>
      <c r="F17"/>
      <c r="G17"/>
      <c r="H17"/>
      <c r="I17"/>
    </row>
    <row r="18" spans="2:9" s="2" customFormat="1">
      <c r="B18" s="59"/>
      <c r="C18"/>
      <c r="D18"/>
      <c r="E18"/>
      <c r="F18"/>
      <c r="G18"/>
      <c r="H18"/>
      <c r="I18"/>
    </row>
    <row r="19" spans="2:9" s="2" customFormat="1">
      <c r="B19" s="59"/>
      <c r="C19"/>
      <c r="D19"/>
      <c r="E19"/>
      <c r="F19"/>
      <c r="G19"/>
      <c r="H19"/>
      <c r="I19"/>
    </row>
    <row r="20" spans="2:9" s="2" customFormat="1">
      <c r="B20" s="61"/>
      <c r="C20"/>
      <c r="D20"/>
      <c r="E20"/>
      <c r="F20"/>
      <c r="G20"/>
      <c r="H20"/>
      <c r="I20"/>
    </row>
    <row r="21" spans="2:9" s="2" customFormat="1">
      <c r="B21" s="60"/>
      <c r="C21"/>
      <c r="D21"/>
      <c r="E21"/>
      <c r="F21"/>
      <c r="G21"/>
      <c r="H21"/>
      <c r="I21"/>
    </row>
    <row r="22" spans="2:9" s="2" customFormat="1">
      <c r="B22" s="61"/>
      <c r="C22"/>
      <c r="D22"/>
      <c r="E22"/>
      <c r="F22"/>
      <c r="G22"/>
      <c r="H22"/>
      <c r="I22"/>
    </row>
    <row r="23" spans="2:9" s="2" customFormat="1">
      <c r="B23" s="60"/>
      <c r="C23"/>
      <c r="D23"/>
      <c r="E23"/>
      <c r="F23"/>
      <c r="G23"/>
      <c r="H23"/>
      <c r="I23"/>
    </row>
    <row r="24" spans="2:9" s="2" customFormat="1">
      <c r="B24" s="60"/>
      <c r="C24"/>
      <c r="D24"/>
      <c r="E24"/>
      <c r="F24"/>
      <c r="G24"/>
      <c r="H24"/>
      <c r="I24"/>
    </row>
    <row r="25" spans="2:9" s="2" customFormat="1">
      <c r="B25" s="60"/>
      <c r="C25"/>
      <c r="D25"/>
      <c r="E25"/>
      <c r="F25"/>
      <c r="G25"/>
      <c r="H25"/>
      <c r="I25"/>
    </row>
    <row r="26" spans="2:9" s="2" customFormat="1">
      <c r="B26" s="60"/>
      <c r="C26"/>
      <c r="D26"/>
      <c r="E26"/>
      <c r="F26"/>
      <c r="G26"/>
      <c r="H26"/>
      <c r="I26"/>
    </row>
    <row r="27" spans="2:9" s="2" customFormat="1">
      <c r="B27" s="60"/>
      <c r="C27"/>
      <c r="D27"/>
      <c r="E27"/>
      <c r="F27"/>
      <c r="G27"/>
      <c r="H27"/>
      <c r="I27"/>
    </row>
    <row r="28" spans="2:9" s="2" customFormat="1">
      <c r="B28" s="61"/>
      <c r="C28"/>
      <c r="D28"/>
      <c r="E28"/>
      <c r="F28"/>
      <c r="G28"/>
      <c r="H28"/>
      <c r="I28"/>
    </row>
    <row r="29" spans="2:9" s="2" customFormat="1">
      <c r="B29" s="61"/>
      <c r="C29"/>
      <c r="D29"/>
      <c r="E29"/>
      <c r="F29"/>
      <c r="G29"/>
      <c r="H29"/>
      <c r="I29"/>
    </row>
    <row r="30" spans="2:9" s="2" customFormat="1">
      <c r="B30" s="61"/>
      <c r="C30"/>
      <c r="D30"/>
      <c r="E30"/>
      <c r="F30"/>
      <c r="G30"/>
      <c r="H30"/>
      <c r="I30"/>
    </row>
    <row r="31" spans="2:9" s="2" customFormat="1">
      <c r="B31" s="61"/>
      <c r="C31"/>
      <c r="D31"/>
      <c r="E31"/>
      <c r="F31"/>
      <c r="G31"/>
      <c r="H31"/>
      <c r="I31"/>
    </row>
    <row r="32" spans="2:9" s="2" customFormat="1">
      <c r="B32" s="61"/>
      <c r="C32"/>
      <c r="D32"/>
      <c r="E32"/>
      <c r="F32"/>
      <c r="G32"/>
      <c r="H32"/>
      <c r="I32"/>
    </row>
    <row r="33" spans="2:9" s="2" customFormat="1">
      <c r="B33" s="61"/>
      <c r="C33"/>
      <c r="D33"/>
      <c r="E33"/>
      <c r="F33"/>
      <c r="G33"/>
      <c r="H33"/>
      <c r="I33"/>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2023-02-21T11:54:46Z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1317e2df-f0fc-42be-bf1e-d46e41876333</vt:lpwstr>
  </property>
  <property fmtid="{D5CDD505-2E9C-101B-9397-08002B2CF9AE}" pid="13" name="MSIP_Label_706c7ad2-60a5-409e-8203-10f940b19acd_ContentBits">
    <vt:lpwstr>2</vt:lpwstr>
  </property>
</Properties>
</file>