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defaultThemeVersion="124226"/>
  <xr:revisionPtr revIDLastSave="0" documentId="13_ncr:201_{7FA7C029-6F1A-41C0-ACF1-93A83CBE9BEC}" xr6:coauthVersionLast="47" xr6:coauthVersionMax="47" xr10:uidLastSave="{00000000-0000-0000-0000-000000000000}"/>
  <bookViews>
    <workbookView xWindow="-110" yWindow="-110" windowWidth="19420" windowHeight="10420" tabRatio="919" firstSheet="20"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86" l="1"/>
  <c r="D15" i="86"/>
  <c r="E21" i="82" l="1"/>
  <c r="D34" i="83" l="1"/>
  <c r="E34" i="83"/>
  <c r="F34" i="83"/>
  <c r="H34" i="83"/>
  <c r="C34" i="83"/>
  <c r="H21" i="82" l="1"/>
  <c r="H14" i="82" s="1"/>
  <c r="H22" i="82"/>
  <c r="D12" i="84"/>
  <c r="C12" i="84"/>
  <c r="D7" i="84"/>
  <c r="D19" i="84" s="1"/>
  <c r="C7" i="84"/>
  <c r="B2" i="80"/>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37" i="80"/>
  <c r="C19" i="84"/>
  <c r="B3" i="89" l="1"/>
  <c r="B3" i="88"/>
  <c r="B3" i="87"/>
  <c r="B3" i="86"/>
  <c r="B3" i="85"/>
  <c r="B3" i="84"/>
  <c r="B3" i="83"/>
  <c r="I23" i="82"/>
  <c r="I22" i="82"/>
  <c r="F21" i="82"/>
  <c r="D21" i="82"/>
  <c r="C21" i="82"/>
  <c r="I20" i="82"/>
  <c r="I19" i="82"/>
  <c r="I18" i="82"/>
  <c r="I17" i="82"/>
  <c r="I16" i="82"/>
  <c r="I15" i="82"/>
  <c r="I14" i="82"/>
  <c r="I13" i="82"/>
  <c r="I12" i="82"/>
  <c r="I11" i="82"/>
  <c r="I10" i="82"/>
  <c r="I9" i="82"/>
  <c r="I8" i="82"/>
  <c r="I7" i="82"/>
  <c r="B3" i="82"/>
  <c r="G22" i="81"/>
  <c r="F22" i="81"/>
  <c r="E22" i="81"/>
  <c r="D22" i="81"/>
  <c r="C22" i="81"/>
  <c r="H21" i="81"/>
  <c r="H20" i="81"/>
  <c r="H19" i="81"/>
  <c r="H18" i="81"/>
  <c r="H17" i="81"/>
  <c r="H16" i="81"/>
  <c r="H15" i="81"/>
  <c r="H14" i="81"/>
  <c r="H13" i="81"/>
  <c r="H12" i="81"/>
  <c r="H11" i="81"/>
  <c r="H10" i="81"/>
  <c r="H9" i="81"/>
  <c r="H8" i="81"/>
  <c r="B3" i="81"/>
  <c r="C35" i="79"/>
  <c r="C30" i="79"/>
  <c r="C26" i="79"/>
  <c r="C8" i="79"/>
  <c r="B2" i="79"/>
  <c r="B1" i="79"/>
  <c r="N20" i="37"/>
  <c r="N19" i="37"/>
  <c r="E19" i="37"/>
  <c r="N18" i="37"/>
  <c r="E18" i="37"/>
  <c r="N17" i="37"/>
  <c r="E17" i="37"/>
  <c r="N16" i="37"/>
  <c r="E16" i="37"/>
  <c r="N15" i="37"/>
  <c r="E15" i="37"/>
  <c r="M14" i="37"/>
  <c r="L14" i="37"/>
  <c r="K14" i="37"/>
  <c r="J14" i="37"/>
  <c r="I14" i="37"/>
  <c r="I21" i="37" s="1"/>
  <c r="H14" i="37"/>
  <c r="G14" i="37"/>
  <c r="F14" i="37"/>
  <c r="C14" i="37"/>
  <c r="N13" i="37"/>
  <c r="N12" i="37"/>
  <c r="E12" i="37"/>
  <c r="N11" i="37"/>
  <c r="E11" i="37"/>
  <c r="N10" i="37"/>
  <c r="E10" i="37"/>
  <c r="N9" i="37"/>
  <c r="E9" i="37"/>
  <c r="N8" i="37"/>
  <c r="E8" i="37"/>
  <c r="M7" i="37"/>
  <c r="L7" i="37"/>
  <c r="L21" i="37" s="1"/>
  <c r="K7" i="37"/>
  <c r="J7" i="37"/>
  <c r="I7" i="37"/>
  <c r="H7" i="37"/>
  <c r="G7" i="37"/>
  <c r="F7" i="37"/>
  <c r="C7" i="37"/>
  <c r="B2" i="37"/>
  <c r="B1" i="37"/>
  <c r="B2" i="36"/>
  <c r="B1" i="36"/>
  <c r="F22" i="74"/>
  <c r="E22" i="74"/>
  <c r="D22" i="74"/>
  <c r="C22" i="74"/>
  <c r="G21" i="74"/>
  <c r="H21" i="74" s="1"/>
  <c r="G20" i="74"/>
  <c r="H20" i="74" s="1"/>
  <c r="G19" i="74"/>
  <c r="H19" i="74" s="1"/>
  <c r="G18" i="74"/>
  <c r="H18" i="74" s="1"/>
  <c r="G17" i="74"/>
  <c r="H17" i="74" s="1"/>
  <c r="G16" i="74"/>
  <c r="H16" i="74" s="1"/>
  <c r="G15" i="74"/>
  <c r="H15" i="74" s="1"/>
  <c r="G14" i="74"/>
  <c r="H14" i="74" s="1"/>
  <c r="G13" i="74"/>
  <c r="H13" i="74" s="1"/>
  <c r="G12" i="74"/>
  <c r="H12" i="74" s="1"/>
  <c r="G11" i="74"/>
  <c r="H11" i="74" s="1"/>
  <c r="G10" i="74"/>
  <c r="G9" i="74"/>
  <c r="H9" i="74" s="1"/>
  <c r="G8" i="74"/>
  <c r="H8" i="74" s="1"/>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45" i="69"/>
  <c r="C37" i="69"/>
  <c r="C15" i="69"/>
  <c r="C25" i="69" s="1"/>
  <c r="B2" i="69"/>
  <c r="B1" i="69"/>
  <c r="C21" i="77"/>
  <c r="C20" i="77"/>
  <c r="C19" i="77"/>
  <c r="B2" i="77"/>
  <c r="B1" i="77"/>
  <c r="C47" i="28"/>
  <c r="C43" i="28"/>
  <c r="C35" i="28"/>
  <c r="C31" i="28"/>
  <c r="C30" i="28" s="1"/>
  <c r="C12" i="28"/>
  <c r="C6" i="28"/>
  <c r="C28" i="28" s="1"/>
  <c r="B2" i="28"/>
  <c r="B1" i="28"/>
  <c r="B2" i="73"/>
  <c r="B1" i="73"/>
  <c r="E21" i="72"/>
  <c r="C5" i="73" s="1"/>
  <c r="C8" i="73" s="1"/>
  <c r="C13" i="73" s="1"/>
  <c r="D21" i="72"/>
  <c r="C21" i="72"/>
  <c r="B2" i="72"/>
  <c r="B1" i="72"/>
  <c r="B2" i="52"/>
  <c r="B1" i="52"/>
  <c r="G6" i="71"/>
  <c r="G13" i="71" s="1"/>
  <c r="F6" i="71"/>
  <c r="F13" i="71" s="1"/>
  <c r="E6" i="71"/>
  <c r="E13" i="71" s="1"/>
  <c r="D6" i="71"/>
  <c r="D13" i="71" s="1"/>
  <c r="C6" i="71"/>
  <c r="C13" i="71" s="1"/>
  <c r="B2" i="71"/>
  <c r="F5" i="71" s="1"/>
  <c r="B1" i="7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B2" i="75"/>
  <c r="B1" i="75"/>
  <c r="H66" i="53"/>
  <c r="E66" i="53"/>
  <c r="H64" i="53"/>
  <c r="E64" i="53"/>
  <c r="G61" i="53"/>
  <c r="F61" i="53"/>
  <c r="D61" i="53"/>
  <c r="C61" i="53"/>
  <c r="H60" i="53"/>
  <c r="E60" i="53"/>
  <c r="H59" i="53"/>
  <c r="E59" i="53"/>
  <c r="H58" i="53"/>
  <c r="E58" i="53"/>
  <c r="G53" i="53"/>
  <c r="F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C34" i="53"/>
  <c r="C45"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9" i="53"/>
  <c r="D22" i="53" s="1"/>
  <c r="D31" i="53" s="1"/>
  <c r="C9" i="53"/>
  <c r="C22" i="53" s="1"/>
  <c r="H8" i="53"/>
  <c r="E8" i="53"/>
  <c r="B2" i="53"/>
  <c r="B1" i="53"/>
  <c r="H40" i="62"/>
  <c r="E40" i="62"/>
  <c r="H39" i="62"/>
  <c r="E39" i="62"/>
  <c r="H38" i="62"/>
  <c r="E38" i="62"/>
  <c r="H37" i="62"/>
  <c r="E37" i="62"/>
  <c r="H36" i="62"/>
  <c r="E36" i="62"/>
  <c r="H35" i="62"/>
  <c r="E35" i="62"/>
  <c r="H34" i="62"/>
  <c r="E34" i="62"/>
  <c r="H33" i="62"/>
  <c r="E33" i="62"/>
  <c r="G31" i="62"/>
  <c r="G41" i="62" s="1"/>
  <c r="F31" i="62"/>
  <c r="F41" i="62" s="1"/>
  <c r="D31" i="62"/>
  <c r="D41" i="62" s="1"/>
  <c r="C31" i="62"/>
  <c r="E3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D20" i="62" s="1"/>
  <c r="C14" i="62"/>
  <c r="C20" i="62" s="1"/>
  <c r="E20" i="62" s="1"/>
  <c r="H13" i="62"/>
  <c r="E13" i="62"/>
  <c r="H12" i="62"/>
  <c r="E12" i="62"/>
  <c r="H11" i="62"/>
  <c r="E11" i="62"/>
  <c r="H10" i="62"/>
  <c r="E10" i="62"/>
  <c r="H9" i="62"/>
  <c r="E9" i="62"/>
  <c r="H8" i="62"/>
  <c r="E8" i="62"/>
  <c r="H7" i="62"/>
  <c r="E7" i="62"/>
  <c r="B2" i="62"/>
  <c r="B1" i="62"/>
  <c r="G5" i="6"/>
  <c r="F5" i="6"/>
  <c r="E5" i="6"/>
  <c r="D5" i="6"/>
  <c r="C5" i="6"/>
  <c r="B1" i="6"/>
  <c r="C41" i="28" l="1"/>
  <c r="S22" i="35"/>
  <c r="E30" i="53"/>
  <c r="E53" i="53"/>
  <c r="C52" i="28"/>
  <c r="F21" i="37"/>
  <c r="E7" i="37"/>
  <c r="J21" i="37"/>
  <c r="E14" i="37"/>
  <c r="E21" i="37" s="1"/>
  <c r="C12" i="79" s="1"/>
  <c r="C18" i="79" s="1"/>
  <c r="C36" i="79" s="1"/>
  <c r="C38" i="79" s="1"/>
  <c r="G21" i="37"/>
  <c r="K21" i="37"/>
  <c r="N14" i="37"/>
  <c r="C41" i="62"/>
  <c r="E41" i="62" s="1"/>
  <c r="H30" i="53"/>
  <c r="E61" i="53"/>
  <c r="H21" i="37"/>
  <c r="H41" i="62"/>
  <c r="H53" i="53"/>
  <c r="V21" i="64"/>
  <c r="N7" i="37"/>
  <c r="C21" i="37"/>
  <c r="M21" i="37"/>
  <c r="D54" i="53"/>
  <c r="H61" i="53"/>
  <c r="N21" i="37"/>
  <c r="H20" i="62"/>
  <c r="H31" i="62"/>
  <c r="G22" i="74"/>
  <c r="H22" i="74" s="1"/>
  <c r="D19" i="77"/>
  <c r="H45" i="53"/>
  <c r="F54" i="53"/>
  <c r="H54" i="53" s="1"/>
  <c r="D20" i="77"/>
  <c r="D17" i="77"/>
  <c r="D16" i="77"/>
  <c r="D15" i="77"/>
  <c r="D7" i="77"/>
  <c r="D13" i="77"/>
  <c r="D9" i="77"/>
  <c r="D12" i="77"/>
  <c r="D21" i="77"/>
  <c r="D11" i="77"/>
  <c r="D8" i="77"/>
  <c r="E45" i="53"/>
  <c r="C54" i="53"/>
  <c r="E22" i="53"/>
  <c r="C31" i="53"/>
  <c r="D56" i="53"/>
  <c r="D63" i="53" s="1"/>
  <c r="D65" i="53" s="1"/>
  <c r="D67" i="53" s="1"/>
  <c r="H22" i="53"/>
  <c r="F31" i="53"/>
  <c r="G56" i="53"/>
  <c r="G63" i="53" s="1"/>
  <c r="G65" i="53" s="1"/>
  <c r="G67" i="53" s="1"/>
  <c r="E14" i="62"/>
  <c r="E9" i="53"/>
  <c r="E34" i="53"/>
  <c r="G5" i="71"/>
  <c r="H10" i="74"/>
  <c r="H14" i="62"/>
  <c r="H9" i="53"/>
  <c r="H34" i="53"/>
  <c r="C5" i="71"/>
  <c r="D5" i="71"/>
  <c r="E5" i="71"/>
  <c r="I34" i="83"/>
  <c r="I21" i="82"/>
  <c r="H22" i="81"/>
  <c r="E54" i="53" l="1"/>
  <c r="F56" i="53"/>
  <c r="H31" i="53"/>
  <c r="C56" i="53"/>
  <c r="E31" i="53"/>
  <c r="E56" i="53" l="1"/>
  <c r="C63" i="53"/>
  <c r="H56" i="53"/>
  <c r="F63" i="53"/>
  <c r="H63" i="53" l="1"/>
  <c r="F65" i="53"/>
  <c r="C65" i="53"/>
  <c r="E63" i="53"/>
  <c r="C67" i="53" l="1"/>
  <c r="E67" i="53" s="1"/>
  <c r="E65" i="53"/>
  <c r="F67" i="53"/>
  <c r="H67" i="53" s="1"/>
  <c r="H65" i="53"/>
</calcChain>
</file>

<file path=xl/sharedStrings.xml><?xml version="1.0" encoding="utf-8"?>
<sst xmlns="http://schemas.openxmlformats.org/spreadsheetml/2006/main" count="1137" uniqueCount="745">
  <si>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</si>
  <si>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</si>
  <si>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</si>
  <si>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</si>
  <si>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</si>
  <si>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</si>
  <si>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</si>
  <si>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</si>
  <si>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</si>
  <si>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</si>
  <si>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</si>
  <si>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</si>
  <si>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</si>
  <si>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</si>
  <si>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</si>
  <si>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</si>
  <si>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</si>
  <si>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</si>
  <si>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</si>
  <si>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</si>
  <si>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</si>
  <si>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</si>
  <si>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</si>
  <si>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</si>
  <si>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</si>
  <si>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</si>
  <si>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</si>
  <si>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</si>
  <si>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</si>
  <si>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</si>
  <si>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</si>
  <si>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</si>
  <si>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</si>
  <si>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</si>
  <si>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</si>
  <si>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</si>
  <si>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</si>
  <si>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</si>
  <si>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</si>
  <si>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</si>
  <si>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</si>
  <si>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</si>
  <si>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</si>
  <si>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</si>
  <si>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</si>
  <si>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</si>
  <si>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</si>
  <si>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</si>
  <si>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</si>
  <si>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</si>
  <si>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</si>
  <si>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</si>
  <si>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</si>
  <si>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</si>
  <si>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</si>
  <si>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</si>
  <si>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</si>
  <si>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</si>
  <si>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</si>
  <si>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</si>
  <si>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</si>
  <si>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</si>
  <si>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</si>
  <si>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</si>
  <si>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</si>
  <si>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</si>
  <si>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</si>
  <si>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</si>
  <si>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</si>
  <si>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</si>
  <si>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</si>
  <si>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</si>
  <si>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</si>
  <si>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</si>
  <si>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</si>
  <si>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</si>
  <si>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</si>
  <si>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</si>
  <si>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</si>
  <si>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</si>
  <si>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</si>
  <si>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</si>
  <si>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</si>
  <si>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</si>
  <si>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</si>
  <si>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</si>
  <si>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</si>
  <si>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</si>
  <si>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</si>
  <si>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</si>
  <si>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</si>
  <si>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</si>
  <si>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</si>
  <si>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</si>
  <si>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</si>
  <si>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</si>
  <si>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</si>
  <si>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</si>
  <si>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</si>
  <si>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</si>
  <si>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</si>
  <si>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</si>
  <si>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</si>
  <si>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</si>
  <si>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</si>
  <si>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</si>
  <si>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</si>
  <si>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</si>
  <si>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</si>
  <si>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</si>
  <si>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</si>
  <si>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</si>
  <si>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</si>
  <si>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</si>
  <si>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</si>
  <si>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</si>
  <si>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</si>
  <si>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</si>
  <si>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</si>
  <si>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</si>
  <si>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</si>
  <si>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</si>
  <si>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</si>
  <si>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</si>
  <si>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</si>
  <si>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</si>
  <si>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</si>
  <si>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</si>
  <si>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</si>
  <si>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</si>
  <si>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</si>
  <si>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</si>
  <si>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</si>
  <si>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</si>
  <si>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</si>
  <si>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</si>
  <si>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</si>
  <si>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</si>
  <si>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</si>
  <si>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</si>
  <si>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</si>
  <si>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</si>
  <si>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</si>
  <si>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</si>
  <si>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</si>
  <si>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</si>
  <si>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</si>
  <si>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</si>
  <si>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</si>
  <si>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</si>
  <si>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</si>
  <si>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</si>
  <si>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</si>
  <si>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</si>
  <si>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</si>
  <si>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</si>
  <si>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</si>
  <si>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</si>
  <si>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</si>
  <si>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</si>
  <si>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</si>
  <si>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</si>
  <si>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</si>
  <si>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</si>
  <si>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</si>
  <si>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</si>
  <si>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</si>
  <si>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</si>
  <si>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</si>
  <si>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</si>
  <si>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</si>
  <si>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</si>
  <si>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</si>
  <si>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</si>
  <si>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</si>
  <si>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</si>
  <si>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</si>
  <si>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</si>
  <si>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</si>
  <si>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</si>
  <si>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</si>
  <si>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</si>
  <si>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</si>
  <si>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</si>
  <si>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</si>
  <si>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</si>
  <si>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</si>
  <si>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</si>
  <si>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</si>
  <si>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</si>
  <si>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</si>
  <si>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</si>
  <si>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</si>
  <si>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</si>
  <si>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</si>
  <si>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</si>
  <si>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</si>
  <si>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</si>
  <si>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</si>
  <si>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</si>
  <si>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</si>
  <si>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</si>
  <si>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</si>
  <si>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</si>
  <si>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</si>
  <si>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</si>
  <si>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</si>
  <si>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</si>
  <si>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</si>
  <si>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</si>
  <si>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</si>
  <si>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</si>
  <si>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</si>
  <si>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</si>
  <si>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</si>
  <si>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</si>
  <si>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</si>
  <si>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</si>
  <si>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</si>
  <si>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</si>
  <si>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</si>
  <si>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</si>
  <si>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</si>
  <si>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</si>
  <si>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</si>
  <si>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</si>
  <si>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</si>
  <si>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</si>
  <si>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</si>
  <si>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</si>
  <si>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</si>
  <si>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</si>
  <si>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</si>
  <si>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</si>
  <si>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</si>
  <si>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</si>
  <si>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</si>
  <si>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</si>
  <si>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</si>
  <si>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</si>
  <si>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</si>
  <si>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</si>
  <si>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</si>
  <si>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</si>
  <si>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</si>
  <si>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</si>
  <si>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</si>
  <si>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</si>
  <si>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</si>
  <si>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</si>
  <si>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</si>
  <si>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</si>
  <si>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</si>
  <si>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</si>
  <si>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</si>
  <si>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</si>
  <si>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</si>
  <si>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</si>
  <si>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</si>
  <si>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</si>
  <si>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</si>
  <si>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</si>
  <si>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</si>
  <si>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</si>
  <si>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</si>
  <si>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</si>
  <si>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</si>
  <si>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</si>
  <si>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</si>
  <si>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</si>
  <si>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</si>
  <si>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</si>
  <si>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</si>
  <si>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</si>
  <si>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</si>
  <si>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</si>
  <si>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</si>
  <si>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</si>
  <si>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</si>
  <si>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</si>
  <si>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</si>
  <si>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</si>
  <si>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</si>
  <si>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</si>
  <si>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</si>
  <si>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</si>
  <si>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</si>
  <si>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</si>
  <si>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</si>
  <si>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</si>
  <si>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</si>
  <si>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</si>
  <si>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</si>
  <si>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</si>
  <si>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</si>
  <si>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</si>
  <si>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</si>
  <si>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</si>
  <si>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</si>
  <si>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</si>
  <si>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</si>
  <si>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</si>
  <si>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</si>
  <si>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</si>
  <si>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</si>
  <si>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</si>
  <si>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</si>
  <si>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</si>
  <si>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</si>
  <si>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</si>
  <si>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</si>
  <si>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</si>
  <si>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</si>
  <si>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</si>
  <si>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</si>
  <si>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</si>
  <si>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</si>
  <si>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</si>
  <si>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</si>
  <si>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</si>
  <si>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</si>
  <si>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</si>
  <si>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</si>
  <si>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</si>
  <si>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</si>
  <si>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</si>
  <si>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</si>
  <si>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</si>
  <si>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</si>
  <si>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</si>
  <si>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</si>
  <si>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</si>
  <si>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</si>
  <si>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</si>
  <si>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</si>
  <si>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</si>
  <si>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</si>
  <si>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</si>
  <si>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</si>
  <si>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</si>
  <si>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</si>
  <si>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</si>
  <si>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</si>
  <si>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</si>
  <si>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</si>
  <si>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</si>
  <si>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</si>
  <si>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</si>
  <si>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</si>
  <si>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</si>
  <si>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</si>
  <si>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</si>
  <si>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</si>
  <si>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</si>
  <si>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</si>
  <si>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</si>
  <si>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</si>
  <si>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</si>
  <si>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</si>
  <si>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</si>
  <si>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</si>
  <si>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</si>
  <si>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</si>
  <si>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</si>
  <si>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</si>
  <si>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</si>
  <si>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</si>
  <si>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</si>
  <si>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</si>
  <si>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</si>
  <si>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</si>
  <si>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</si>
  <si>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</si>
  <si>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</si>
  <si>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</si>
  <si>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</si>
  <si>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</si>
  <si>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</si>
  <si>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</si>
  <si>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</si>
  <si>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</si>
  <si>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</si>
  <si>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</si>
  <si>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</si>
  <si>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</si>
  <si>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</si>
  <si>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</si>
  <si>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</si>
  <si>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</si>
  <si>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</si>
  <si>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</si>
  <si>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</si>
  <si>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</si>
  <si>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</si>
  <si>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</si>
  <si>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</si>
  <si>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</si>
  <si>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</si>
  <si>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</si>
  <si>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</si>
  <si>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</si>
  <si>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</si>
  <si>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</si>
  <si>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</si>
  <si>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</si>
  <si>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</si>
  <si>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</si>
  <si>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</si>
  <si>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</si>
  <si>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</si>
  <si>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</si>
  <si>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</si>
  <si>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</si>
  <si>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</si>
  <si>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</si>
  <si>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</si>
  <si>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</si>
  <si>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</si>
  <si>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</si>
  <si>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</si>
  <si>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</si>
  <si>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</si>
  <si>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</si>
  <si>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</si>
  <si>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</si>
  <si>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</si>
  <si>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</si>
  <si>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</si>
  <si>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</si>
  <si>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</si>
  <si>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</si>
  <si>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</si>
  <si>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</si>
  <si>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</si>
  <si>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</si>
  <si>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</si>
  <si>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</si>
  <si>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</si>
  <si>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</si>
  <si>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</si>
  <si>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</si>
  <si>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</si>
  <si>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</si>
  <si>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</si>
  <si>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</si>
  <si>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</si>
  <si>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</si>
  <si>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</si>
  <si>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</si>
  <si>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</si>
  <si>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</si>
  <si>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</si>
  <si>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</si>
  <si>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</si>
  <si>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</si>
  <si>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</si>
  <si>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</si>
  <si>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</si>
  <si>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</si>
  <si>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</si>
  <si>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</si>
  <si>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</si>
  <si>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</si>
  <si>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</si>
  <si>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</si>
  <si>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</si>
  <si>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</si>
  <si>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</si>
  <si>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</si>
  <si>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</si>
  <si>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</si>
  <si>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</si>
  <si>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</si>
  <si>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</si>
  <si>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</si>
  <si>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</si>
  <si>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</si>
  <si>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</si>
  <si>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</si>
  <si>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</si>
  <si>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</si>
  <si>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</si>
  <si>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</si>
  <si>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</si>
  <si>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</si>
  <si>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</si>
  <si>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</si>
  <si>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</si>
  <si>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</si>
  <si>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</si>
  <si>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</si>
  <si>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</si>
  <si>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</si>
  <si>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</si>
  <si>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</si>
  <si>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</si>
  <si>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</si>
  <si>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შეწონილი ღირებულება</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</si>
  <si>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</si>
  <si>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</si>
  <si>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</si>
  <si>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</si>
  <si>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</si>
  <si>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</si>
  <si>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</si>
  <si>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</si>
  <si>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</si>
  <si>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</si>
  <si>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</si>
  <si>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</si>
  <si>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</si>
  <si>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</si>
  <si>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</si>
  <si>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</si>
  <si>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</si>
  <si>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</si>
  <si>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</si>
  <si>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</si>
  <si>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</si>
  <si>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</si>
  <si>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</si>
  <si>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</si>
  <si>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</si>
  <si>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</si>
  <si>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</si>
  <si>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</si>
  <si>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</si>
  <si>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</si>
  <si>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</si>
  <si>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</si>
  <si>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</si>
  <si>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</si>
  <si>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</si>
  <si>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</si>
  <si>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</si>
  <si>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</si>
  <si>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</si>
  <si>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</si>
  <si>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</si>
  <si>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</si>
  <si>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</si>
  <si>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</si>
  <si>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</si>
  <si>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</si>
  <si>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</si>
  <si>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</si>
  <si>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</si>
  <si>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</si>
  <si>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</si>
  <si>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</si>
  <si>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</si>
  <si>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</si>
  <si>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</si>
  <si>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</si>
  <si>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</si>
  <si>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</si>
  <si>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</si>
  <si>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</si>
  <si>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</si>
  <si>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</si>
  <si>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</si>
  <si>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</si>
  <si>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</si>
  <si>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</si>
  <si>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</si>
  <si>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</si>
  <si>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</si>
  <si>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</si>
  <si>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</si>
  <si>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</si>
  <si>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</si>
  <si>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</si>
  <si>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</si>
  <si>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</si>
  <si>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</si>
  <si>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</si>
  <si>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</si>
  <si>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</si>
  <si>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</si>
  <si>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</si>
  <si>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</si>
  <si>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</si>
  <si>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</si>
  <si>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</si>
  <si>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</si>
  <si>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</si>
  <si>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</si>
  <si>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</si>
  <si>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</si>
  <si>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</si>
  <si>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</si>
  <si>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</si>
  <si>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</si>
  <si>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</si>
  <si>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</si>
  <si>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</si>
  <si>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</si>
  <si>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</si>
  <si>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</si>
  <si>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</si>
  <si>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</si>
  <si>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</si>
  <si>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</si>
  <si>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</si>
  <si>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</si>
  <si>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</si>
  <si>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</si>
  <si>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</si>
  <si>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</si>
  <si>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</si>
  <si>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</si>
  <si>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</si>
  <si>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</si>
  <si>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</si>
  <si>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</si>
  <si>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</si>
  <si>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</si>
  <si>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</si>
  <si>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</si>
  <si>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</si>
  <si>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</si>
  <si>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</si>
  <si>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</si>
  <si>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</si>
  <si>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</si>
  <si>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</si>
  <si>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</si>
  <si>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</si>
  <si>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</si>
  <si>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</si>
  <si>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</si>
  <si>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</si>
  <si>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</si>
  <si>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</si>
  <si>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</si>
  <si>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</si>
  <si>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</si>
  <si>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</si>
  <si>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</si>
  <si>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</si>
  <si>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</si>
  <si>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</si>
  <si>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</si>
  <si>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</si>
  <si>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</si>
  <si>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</si>
  <si>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</si>
  <si>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</si>
  <si>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</si>
  <si>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</si>
  <si>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</si>
  <si>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</si>
  <si>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</si>
  <si>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</si>
  <si>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</si>
  <si>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</si>
  <si>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</si>
  <si>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</si>
  <si>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</si>
  <si>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</si>
  <si>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</si>
  <si>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</si>
  <si>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</si>
  <si>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</si>
  <si>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</si>
  <si>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</si>
  <si>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</si>
  <si>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</si>
  <si>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</si>
  <si>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</si>
  <si>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</si>
  <si>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</si>
  <si>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</si>
  <si>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</si>
  <si>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</si>
  <si>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</si>
  <si>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</si>
  <si>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</si>
  <si>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</si>
  <si>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</si>
  <si>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</si>
  <si>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</si>
  <si>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</si>
  <si>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</si>
  <si>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</si>
  <si>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</si>
  <si>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</si>
  <si>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</si>
  <si>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</si>
  <si>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</si>
  <si>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</si>
  <si>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</si>
  <si>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</si>
  <si>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</si>
  <si>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</si>
  <si>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</si>
  <si>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</si>
  <si>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</si>
  <si>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</si>
  <si>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</si>
  <si>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</si>
  <si>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</si>
  <si>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</si>
  <si>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</si>
  <si>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</si>
  <si>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</si>
  <si>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</si>
  <si>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</si>
  <si>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</si>
  <si>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</si>
  <si>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</si>
  <si>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</si>
  <si>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</si>
  <si>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სს " პაშა ბანკი საქართველო"</t>
  </si>
  <si>
    <t>ფარიდ მამმადოვი</t>
  </si>
  <si>
    <t>www.pashabank.ge</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</si>
  <si>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</si>
  <si>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</si>
  <si>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</si>
  <si>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</si>
  <si>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</si>
  <si>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</si>
  <si>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</si>
  <si>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გენერალური დირექტორი</t>
  </si>
  <si>
    <t>სელიმ ბერენტ</t>
  </si>
  <si>
    <t>ფინანსური დირექტორი</t>
  </si>
  <si>
    <t>რისკების დირექტორი</t>
  </si>
  <si>
    <t>ღსს "პაშა ბანკი" (PASHA Bank OJSC) -</t>
  </si>
  <si>
    <t xml:space="preserve">არიფ პაშაევი </t>
  </si>
  <si>
    <t xml:space="preserve">არზუ ალიევა </t>
  </si>
  <si>
    <t xml:space="preserve">ლეილა ალიევა </t>
  </si>
  <si>
    <t>მირ ჯამალ პაშაევი</t>
  </si>
  <si>
    <t>ნიკოლოზ შურღაია</t>
  </si>
  <si>
    <t>ლევან ალადაშვილი</t>
  </si>
  <si>
    <t>ცხრილი 9 (Capital), N39</t>
  </si>
  <si>
    <t>ცხრილი 9 (Capital), N37</t>
  </si>
  <si>
    <t>ცხრილი 9 (Capital), N2</t>
  </si>
  <si>
    <t>ცხრილი 9 (Capital), N6</t>
  </si>
  <si>
    <t>გიორგი ჩანადირი</t>
  </si>
  <si>
    <t>ინფორმაციული ტექნოლოგიებისა და საოპერაციოს დირექტორი</t>
  </si>
  <si>
    <t xml:space="preserve"> </t>
  </si>
  <si>
    <t>შეუწონავი ღირ. ნარჩენი ვადიანობის მიხედვით</t>
  </si>
  <si>
    <t>უვადო</t>
  </si>
  <si>
    <t>საცხოვრებელი უძრავი ქონებით უზრუნველყოფილი მოთხოვნები, მათ შორის:</t>
  </si>
  <si>
    <t>დარიცხული სარგებლით მონაცემები ივსება მხოლოდ მე-17, მე-18 და მე-19 ცხრილებში, 21-25 ცხრილებში მონაცემები ივსება დარიცხული სარგებლის გარეშე.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</si>
</sst>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 numFmtId="195" formatCode="_(#,##0_);_(\(#,##0\);_(&quot; - &quot;_);_(@_)"/>
  </numFmts>
  <fonts count="13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indexed="8"/>
      <name val="Sylfaen"/>
      <family val="1"/>
      <charset val="1"/>
    </font>
    <font>
      <sz val="10"/>
      <color rgb="FFFF0000"/>
      <name val="Sylfaen"/>
      <family val="1"/>
    </font>
    <font>
      <sz val="9"/>
      <color rgb="FFFF0000"/>
      <name val="Sylfaen"/>
      <family val="1"/>
    </font>
    <font>
      <b/>
      <sz val="9"/>
      <color rgb="FFFF0000"/>
      <name val="Sylfaen"/>
      <family val="1"/>
    </font>
    <font>
      <b/>
      <sz val="9"/>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top style="thin">
        <color theme="6" tint="-0.499984740745262"/>
      </top>
      <bottom/>
      <diagonal/>
    </border>
    <border>
      <left style="thin">
        <color indexed="63"/>
      </left>
      <right style="medium">
        <color indexed="8"/>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9"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9"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3" fontId="2" fillId="75" borderId="87"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3" fontId="2" fillId="72" borderId="87" applyFont="0">
      <alignment horizontal="right" vertical="center"/>
      <protection locked="0"/>
    </xf>
    <xf numFmtId="0" fontId="68"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9"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9"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4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4" xfId="20" applyBorder="1"/>
    <xf numFmtId="169" fontId="28" fillId="37" borderId="98"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4" xfId="0" applyFont="1" applyFill="1" applyBorder="1" applyAlignment="1">
      <alignment vertical="center"/>
    </xf>
    <xf numFmtId="0" fontId="4" fillId="0" borderId="103"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4"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3"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3"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1"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3"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3"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1" xfId="0" applyNumberFormat="1" applyFont="1" applyFill="1" applyBorder="1" applyAlignment="1">
      <alignment horizontal="right" vertical="center" wrapText="1"/>
    </xf>
    <xf numFmtId="1" fontId="108" fillId="0" borderId="101" xfId="0" applyNumberFormat="1" applyFont="1" applyFill="1" applyBorder="1" applyAlignment="1">
      <alignment horizontal="right" vertical="center" wrapText="1"/>
    </xf>
    <xf numFmtId="1" fontId="6" fillId="36" borderId="101"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3" xfId="0" applyFont="1" applyBorder="1" applyAlignment="1">
      <alignment horizontal="right" vertical="center" wrapText="1"/>
    </xf>
    <xf numFmtId="0" fontId="9" fillId="0" borderId="103"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1" xfId="0" applyFont="1" applyBorder="1" applyAlignment="1"/>
    <xf numFmtId="0" fontId="9" fillId="0" borderId="101" xfId="0" applyFont="1" applyBorder="1" applyAlignment="1"/>
    <xf numFmtId="0" fontId="9" fillId="0" borderId="101" xfId="0" applyFont="1" applyBorder="1" applyAlignment="1">
      <alignment wrapText="1"/>
    </xf>
    <xf numFmtId="0" fontId="10" fillId="0" borderId="21" xfId="0" applyFont="1" applyBorder="1" applyAlignment="1">
      <alignment horizontal="center"/>
    </xf>
    <xf numFmtId="0" fontId="10" fillId="0" borderId="101"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3"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1"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3"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193" fontId="17" fillId="2" borderId="101" xfId="0" applyNumberFormat="1" applyFont="1" applyFill="1" applyBorder="1" applyAlignment="1" applyProtection="1">
      <alignment vertical="center"/>
      <protection locked="0"/>
    </xf>
    <xf numFmtId="193" fontId="9" fillId="2" borderId="101" xfId="0" applyNumberFormat="1" applyFont="1" applyFill="1" applyBorder="1" applyAlignment="1" applyProtection="1">
      <alignment vertical="center"/>
      <protection locked="0"/>
    </xf>
    <xf numFmtId="0" fontId="15" fillId="0" borderId="103"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10" fontId="4" fillId="0" borderId="101"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7" xfId="0" applyFont="1" applyFill="1" applyBorder="1"/>
    <xf numFmtId="0" fontId="4" fillId="3" borderId="71" xfId="0" applyFont="1" applyFill="1" applyBorder="1"/>
    <xf numFmtId="0" fontId="4" fillId="0" borderId="103" xfId="0" applyFont="1" applyBorder="1"/>
    <xf numFmtId="0" fontId="6" fillId="0" borderId="103" xfId="0" applyFont="1" applyBorder="1"/>
    <xf numFmtId="0" fontId="3" fillId="3" borderId="71" xfId="0" applyFont="1" applyFill="1" applyBorder="1" applyAlignment="1">
      <alignment horizontal="left"/>
    </xf>
    <xf numFmtId="164" fontId="4" fillId="3" borderId="0" xfId="7" applyNumberFormat="1" applyFont="1" applyFill="1" applyBorder="1" applyAlignment="1">
      <alignment vertical="center"/>
    </xf>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4" xfId="20" applyBorder="1"/>
    <xf numFmtId="0" fontId="9" fillId="2" borderId="94"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193" fontId="17" fillId="2" borderId="95"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7"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10" fontId="17" fillId="2" borderId="87" xfId="20961" applyNumberFormat="1" applyFont="1" applyFill="1" applyBorder="1" applyAlignment="1" applyProtection="1">
      <alignment vertical="center"/>
      <protection locked="0"/>
    </xf>
    <xf numFmtId="10" fontId="17" fillId="2" borderId="101" xfId="20961" applyNumberFormat="1" applyFont="1" applyFill="1" applyBorder="1" applyAlignment="1" applyProtection="1">
      <alignment vertical="center"/>
      <protection locked="0"/>
    </xf>
    <xf numFmtId="10" fontId="9" fillId="2" borderId="87" xfId="20961" applyNumberFormat="1" applyFont="1" applyFill="1" applyBorder="1" applyAlignment="1" applyProtection="1">
      <alignment vertical="center"/>
      <protection locked="0"/>
    </xf>
    <xf numFmtId="10" fontId="9" fillId="2" borderId="101"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4" fontId="4" fillId="0" borderId="0" xfId="0" applyNumberFormat="1" applyFont="1"/>
    <xf numFmtId="0" fontId="4" fillId="0" borderId="19" xfId="0" applyFont="1" applyBorder="1" applyAlignment="1">
      <alignment vertical="center" wrapText="1"/>
    </xf>
    <xf numFmtId="0" fontId="6" fillId="0" borderId="20" xfId="0" applyFont="1" applyBorder="1" applyAlignment="1">
      <alignment vertical="center" wrapText="1"/>
    </xf>
    <xf numFmtId="0" fontId="13" fillId="0" borderId="88" xfId="0" applyFont="1" applyBorder="1" applyAlignment="1">
      <alignment wrapText="1"/>
    </xf>
    <xf numFmtId="0" fontId="4" fillId="0" borderId="101" xfId="0" applyFont="1" applyBorder="1"/>
    <xf numFmtId="165" fontId="4" fillId="0" borderId="101" xfId="20961" applyNumberFormat="1" applyFont="1" applyBorder="1" applyAlignment="1"/>
    <xf numFmtId="0" fontId="13" fillId="0" borderId="83" xfId="0" applyFont="1" applyBorder="1" applyAlignment="1">
      <alignment wrapText="1"/>
    </xf>
    <xf numFmtId="0" fontId="9" fillId="0" borderId="25" xfId="0" applyFont="1" applyBorder="1" applyAlignment="1">
      <alignment vertical="center"/>
    </xf>
    <xf numFmtId="164" fontId="4" fillId="0" borderId="10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108" fillId="0" borderId="101" xfId="7" applyNumberFormat="1" applyFont="1" applyFill="1" applyBorder="1" applyAlignment="1">
      <alignment horizontal="right" vertical="center" wrapText="1"/>
    </xf>
    <xf numFmtId="193" fontId="25" fillId="0" borderId="121" xfId="0" applyNumberFormat="1" applyFont="1" applyBorder="1" applyAlignment="1">
      <alignment vertical="center"/>
    </xf>
    <xf numFmtId="193" fontId="19" fillId="0" borderId="121" xfId="0" applyNumberFormat="1" applyFont="1" applyBorder="1" applyAlignment="1">
      <alignment vertical="center"/>
    </xf>
    <xf numFmtId="167" fontId="25" fillId="0" borderId="87" xfId="0" applyNumberFormat="1" applyFont="1" applyBorder="1" applyAlignment="1">
      <alignment horizontal="center"/>
    </xf>
    <xf numFmtId="195" fontId="125" fillId="0" borderId="122" xfId="764" applyNumberFormat="1" applyFont="1" applyFill="1" applyBorder="1" applyAlignment="1">
      <alignment horizontal="center"/>
    </xf>
    <xf numFmtId="10" fontId="112" fillId="78" borderId="87" xfId="20961" applyNumberFormat="1" applyFont="1" applyFill="1" applyBorder="1" applyAlignment="1" applyProtection="1">
      <alignment horizontal="right" vertical="center"/>
    </xf>
    <xf numFmtId="43" fontId="4" fillId="36" borderId="27" xfId="7" applyFont="1" applyFill="1" applyBorder="1"/>
    <xf numFmtId="193" fontId="126" fillId="0" borderId="3" xfId="0" applyNumberFormat="1" applyFont="1" applyFill="1" applyBorder="1" applyAlignment="1" applyProtection="1">
      <alignment horizontal="right"/>
    </xf>
    <xf numFmtId="43" fontId="116" fillId="0" borderId="0" xfId="7" applyFont="1"/>
    <xf numFmtId="164" fontId="119" fillId="0" borderId="87" xfId="7" applyNumberFormat="1" applyFont="1" applyBorder="1"/>
    <xf numFmtId="164" fontId="119" fillId="0" borderId="87" xfId="0" applyNumberFormat="1" applyFont="1" applyBorder="1"/>
    <xf numFmtId="43" fontId="116" fillId="0" borderId="0" xfId="0" applyNumberFormat="1" applyFont="1" applyBorder="1"/>
    <xf numFmtId="0" fontId="4" fillId="0" borderId="87" xfId="0" applyFont="1" applyFill="1" applyBorder="1" applyAlignment="1">
      <alignment horizontal="center" vertical="center" wrapText="1"/>
    </xf>
    <xf numFmtId="0" fontId="104" fillId="0" borderId="123" xfId="0" applyFont="1" applyBorder="1"/>
    <xf numFmtId="0" fontId="4" fillId="3" borderId="106" xfId="0" applyFont="1" applyFill="1" applyBorder="1"/>
    <xf numFmtId="0" fontId="6" fillId="3" borderId="11" xfId="0" applyFont="1" applyFill="1" applyBorder="1" applyAlignment="1">
      <alignment horizontal="center"/>
    </xf>
    <xf numFmtId="0" fontId="4" fillId="0" borderId="123" xfId="0" applyFont="1" applyBorder="1" applyAlignment="1">
      <alignment horizontal="center"/>
    </xf>
    <xf numFmtId="0" fontId="6" fillId="3" borderId="0" xfId="0" applyFont="1" applyFill="1" applyAlignment="1">
      <alignment horizontal="center" wrapText="1"/>
    </xf>
    <xf numFmtId="0" fontId="4" fillId="3" borderId="0" xfId="0" applyFont="1" applyFill="1" applyAlignment="1">
      <alignment horizontal="center"/>
    </xf>
    <xf numFmtId="0" fontId="4" fillId="3" borderId="80" xfId="0" applyFont="1" applyFill="1" applyBorder="1" applyAlignment="1">
      <alignment horizontal="center" vertical="center"/>
    </xf>
    <xf numFmtId="0" fontId="4" fillId="0" borderId="123" xfId="0" applyFont="1" applyBorder="1" applyAlignment="1">
      <alignment wrapText="1"/>
    </xf>
    <xf numFmtId="164" fontId="4" fillId="0" borderId="123" xfId="7" applyNumberFormat="1" applyFont="1" applyBorder="1" applyAlignment="1"/>
    <xf numFmtId="164" fontId="4" fillId="0" borderId="124" xfId="7" applyNumberFormat="1" applyFont="1" applyBorder="1" applyAlignment="1"/>
    <xf numFmtId="0" fontId="14" fillId="0" borderId="123" xfId="0" applyFont="1" applyBorder="1" applyAlignment="1">
      <alignment horizontal="left" wrapText="1" indent="2"/>
    </xf>
    <xf numFmtId="169" fontId="28" fillId="37" borderId="123" xfId="20" applyBorder="1"/>
    <xf numFmtId="164" fontId="4" fillId="0" borderId="123" xfId="7" applyNumberFormat="1" applyFont="1" applyBorder="1" applyAlignment="1">
      <alignment vertical="center"/>
    </xf>
    <xf numFmtId="0" fontId="6" fillId="0" borderId="123" xfId="0" applyFont="1" applyBorder="1" applyAlignment="1">
      <alignment wrapText="1"/>
    </xf>
    <xf numFmtId="164" fontId="6" fillId="0" borderId="124" xfId="7" applyNumberFormat="1" applyFont="1" applyBorder="1" applyAlignment="1"/>
    <xf numFmtId="0" fontId="6" fillId="3" borderId="0" xfId="0" applyFont="1" applyFill="1" applyAlignment="1">
      <alignment horizontal="center"/>
    </xf>
    <xf numFmtId="164" fontId="4" fillId="3" borderId="0" xfId="7" applyNumberFormat="1" applyFont="1" applyFill="1" applyBorder="1" applyAlignment="1"/>
    <xf numFmtId="164" fontId="4" fillId="3" borderId="80" xfId="7" applyNumberFormat="1" applyFont="1" applyFill="1" applyBorder="1" applyAlignment="1"/>
    <xf numFmtId="164" fontId="4" fillId="0" borderId="123" xfId="7" applyNumberFormat="1" applyFont="1" applyFill="1" applyBorder="1" applyAlignment="1"/>
    <xf numFmtId="164" fontId="4" fillId="0" borderId="123" xfId="7" applyNumberFormat="1" applyFont="1" applyFill="1" applyBorder="1" applyAlignment="1">
      <alignment vertical="center"/>
    </xf>
    <xf numFmtId="0" fontId="14" fillId="0" borderId="123" xfId="0" applyFont="1" applyBorder="1" applyAlignment="1">
      <alignment horizontal="left" wrapText="1" indent="4"/>
    </xf>
    <xf numFmtId="0" fontId="4" fillId="3" borderId="0" xfId="0" applyFont="1" applyFill="1" applyAlignment="1">
      <alignment wrapText="1"/>
    </xf>
    <xf numFmtId="0" fontId="4" fillId="3" borderId="0" xfId="0" applyFont="1" applyFill="1"/>
    <xf numFmtId="10" fontId="6" fillId="0" borderId="27" xfId="20961" applyNumberFormat="1" applyFont="1" applyBorder="1" applyAlignment="1"/>
    <xf numFmtId="164" fontId="116" fillId="0" borderId="87" xfId="7" applyNumberFormat="1" applyFont="1" applyFill="1" applyBorder="1"/>
    <xf numFmtId="164" fontId="115" fillId="36" borderId="87" xfId="7" applyNumberFormat="1" applyFont="1" applyFill="1" applyBorder="1"/>
    <xf numFmtId="164" fontId="116" fillId="0" borderId="87" xfId="7" applyNumberFormat="1" applyFont="1" applyBorder="1"/>
    <xf numFmtId="164" fontId="6" fillId="0" borderId="123" xfId="7" applyNumberFormat="1" applyFont="1" applyBorder="1" applyAlignment="1">
      <alignment vertical="center"/>
    </xf>
    <xf numFmtId="164" fontId="4" fillId="0" borderId="59" xfId="7" applyNumberFormat="1" applyFont="1" applyBorder="1" applyAlignment="1">
      <alignment vertical="center"/>
    </xf>
    <xf numFmtId="164" fontId="4" fillId="0" borderId="72" xfId="7" applyNumberFormat="1" applyFont="1" applyBorder="1" applyAlignment="1">
      <alignment vertical="center"/>
    </xf>
    <xf numFmtId="164" fontId="4" fillId="3" borderId="125" xfId="7" applyNumberFormat="1" applyFont="1" applyFill="1" applyBorder="1" applyAlignment="1">
      <alignment vertical="center"/>
    </xf>
    <xf numFmtId="164" fontId="4" fillId="3" borderId="126" xfId="7" applyNumberFormat="1" applyFont="1" applyFill="1" applyBorder="1" applyAlignment="1">
      <alignment vertical="center"/>
    </xf>
    <xf numFmtId="164" fontId="4" fillId="0" borderId="127" xfId="7" applyNumberFormat="1" applyFont="1" applyBorder="1" applyAlignment="1">
      <alignment vertical="center"/>
    </xf>
    <xf numFmtId="164" fontId="4" fillId="0" borderId="124" xfId="7" applyNumberFormat="1" applyFont="1" applyBorder="1" applyAlignment="1">
      <alignment vertical="center"/>
    </xf>
    <xf numFmtId="164" fontId="4" fillId="0" borderId="28" xfId="7" applyNumberFormat="1" applyFont="1" applyBorder="1" applyAlignment="1">
      <alignment vertical="center"/>
    </xf>
    <xf numFmtId="164" fontId="4" fillId="0" borderId="27" xfId="7" applyNumberFormat="1" applyFont="1" applyBorder="1" applyAlignment="1">
      <alignment vertical="center"/>
    </xf>
    <xf numFmtId="164" fontId="4" fillId="0" borderId="30" xfId="7" applyNumberFormat="1" applyFont="1" applyBorder="1" applyAlignment="1">
      <alignment vertical="center"/>
    </xf>
    <xf numFmtId="164" fontId="4" fillId="0" borderId="21" xfId="7" applyNumberFormat="1" applyFont="1" applyBorder="1" applyAlignment="1">
      <alignment vertical="center"/>
    </xf>
    <xf numFmtId="10" fontId="4" fillId="0" borderId="81" xfId="20961" applyNumberFormat="1" applyFont="1" applyBorder="1" applyAlignment="1">
      <alignment vertical="center"/>
    </xf>
    <xf numFmtId="10" fontId="4" fillId="0" borderId="97" xfId="20961" applyNumberFormat="1" applyFont="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82" borderId="125" xfId="7" applyNumberFormat="1" applyFont="1" applyFill="1" applyBorder="1" applyAlignment="1">
      <alignment vertical="center"/>
    </xf>
    <xf numFmtId="164" fontId="4" fillId="0" borderId="125" xfId="7" applyNumberFormat="1" applyFont="1" applyFill="1" applyBorder="1" applyAlignment="1">
      <alignment vertical="center"/>
    </xf>
    <xf numFmtId="164" fontId="4" fillId="0" borderId="1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82" borderId="0" xfId="7" applyNumberFormat="1" applyFont="1" applyFill="1" applyBorder="1" applyAlignment="1">
      <alignment vertical="center"/>
    </xf>
    <xf numFmtId="164" fontId="28" fillId="37" borderId="61" xfId="7" applyNumberFormat="1" applyFont="1" applyFill="1" applyBorder="1"/>
    <xf numFmtId="164" fontId="4" fillId="0" borderId="30" xfId="7" applyNumberFormat="1" applyFont="1" applyFill="1" applyBorder="1" applyAlignment="1">
      <alignment vertical="center"/>
    </xf>
    <xf numFmtId="164" fontId="28" fillId="37" borderId="28" xfId="7" applyNumberFormat="1" applyFont="1" applyFill="1" applyBorder="1"/>
    <xf numFmtId="164" fontId="28" fillId="37" borderId="98" xfId="7" applyNumberFormat="1" applyFont="1" applyFill="1" applyBorder="1"/>
    <xf numFmtId="164" fontId="28" fillId="37" borderId="104" xfId="7" applyNumberFormat="1" applyFont="1" applyFill="1" applyBorder="1"/>
    <xf numFmtId="164" fontId="0" fillId="0" borderId="123" xfId="7" applyNumberFormat="1" applyFont="1" applyBorder="1"/>
    <xf numFmtId="10" fontId="4" fillId="0" borderId="81" xfId="20961" applyNumberFormat="1" applyFont="1" applyFill="1" applyBorder="1" applyAlignment="1">
      <alignment vertical="center"/>
    </xf>
    <xf numFmtId="10" fontId="4" fillId="0" borderId="97" xfId="20961" applyNumberFormat="1" applyFont="1" applyFill="1" applyBorder="1" applyAlignment="1">
      <alignment vertical="center"/>
    </xf>
    <xf numFmtId="164" fontId="0" fillId="0" borderId="127" xfId="7" applyNumberFormat="1" applyFont="1" applyBorder="1"/>
    <xf numFmtId="164" fontId="4" fillId="0" borderId="105" xfId="7" applyNumberFormat="1" applyFont="1" applyBorder="1" applyAlignment="1">
      <alignment vertical="center"/>
    </xf>
    <xf numFmtId="164" fontId="4" fillId="0" borderId="128" xfId="7" applyNumberFormat="1" applyFont="1" applyBorder="1" applyAlignment="1">
      <alignment vertical="center"/>
    </xf>
    <xf numFmtId="10" fontId="9" fillId="2" borderId="26" xfId="20961" applyNumberFormat="1" applyFont="1" applyFill="1" applyBorder="1" applyAlignment="1" applyProtection="1">
      <alignment vertical="center"/>
      <protection locked="0"/>
    </xf>
    <xf numFmtId="9" fontId="4" fillId="0" borderId="0" xfId="20961" applyFont="1"/>
    <xf numFmtId="9" fontId="0" fillId="0" borderId="0" xfId="20961" applyFont="1"/>
    <xf numFmtId="10" fontId="4" fillId="0" borderId="124" xfId="20961" applyNumberFormat="1" applyFont="1" applyBorder="1" applyAlignment="1"/>
    <xf numFmtId="10" fontId="4" fillId="0" borderId="27" xfId="20961" applyNumberFormat="1" applyFont="1" applyBorder="1" applyAlignment="1"/>
    <xf numFmtId="0" fontId="13" fillId="0" borderId="127" xfId="0" applyFont="1" applyBorder="1" applyAlignment="1">
      <alignment wrapText="1"/>
    </xf>
    <xf numFmtId="0" fontId="4" fillId="0" borderId="124" xfId="0" applyFont="1" applyBorder="1"/>
    <xf numFmtId="0" fontId="9" fillId="0" borderId="127" xfId="0" applyFont="1" applyBorder="1" applyAlignment="1">
      <alignment wrapText="1"/>
    </xf>
    <xf numFmtId="0" fontId="9" fillId="0" borderId="124" xfId="0" applyFont="1" applyBorder="1"/>
    <xf numFmtId="10" fontId="9" fillId="0" borderId="87" xfId="20961" applyNumberFormat="1" applyFont="1" applyFill="1" applyBorder="1" applyAlignment="1" applyProtection="1">
      <alignment vertical="center"/>
      <protection locked="0"/>
    </xf>
    <xf numFmtId="164" fontId="116" fillId="0" borderId="87" xfId="7" applyNumberFormat="1" applyFont="1" applyBorder="1" applyAlignment="1">
      <alignment horizontal="left" indent="1"/>
    </xf>
    <xf numFmtId="164" fontId="116" fillId="80" borderId="87" xfId="7" applyNumberFormat="1" applyFont="1" applyFill="1" applyBorder="1"/>
    <xf numFmtId="164" fontId="116" fillId="0" borderId="87" xfId="7" applyNumberFormat="1" applyFont="1" applyBorder="1" applyAlignment="1">
      <alignment horizontal="left" indent="2"/>
    </xf>
    <xf numFmtId="164" fontId="116" fillId="0" borderId="87" xfId="7" applyNumberFormat="1" applyFont="1" applyFill="1" applyBorder="1" applyAlignment="1">
      <alignment horizontal="left" indent="3"/>
    </xf>
    <xf numFmtId="164" fontId="116" fillId="0" borderId="87" xfId="7" applyNumberFormat="1" applyFont="1" applyFill="1" applyBorder="1" applyAlignment="1">
      <alignment horizontal="left" indent="1"/>
    </xf>
    <xf numFmtId="164" fontId="116" fillId="81" borderId="87" xfId="7" applyNumberFormat="1" applyFont="1" applyFill="1" applyBorder="1"/>
    <xf numFmtId="164" fontId="116" fillId="0" borderId="87" xfId="7" applyNumberFormat="1" applyFont="1" applyFill="1" applyBorder="1" applyAlignment="1">
      <alignment horizontal="left" vertical="top" wrapText="1" indent="2"/>
    </xf>
    <xf numFmtId="164" fontId="116" fillId="0" borderId="87" xfId="7" applyNumberFormat="1" applyFont="1" applyFill="1" applyBorder="1" applyAlignment="1">
      <alignment horizontal="left" wrapText="1" indent="3"/>
    </xf>
    <xf numFmtId="164" fontId="116" fillId="0" borderId="87" xfId="7" applyNumberFormat="1" applyFont="1" applyFill="1" applyBorder="1" applyAlignment="1">
      <alignment horizontal="left" wrapText="1" indent="2"/>
    </xf>
    <xf numFmtId="164" fontId="116" fillId="0" borderId="87" xfId="7" applyNumberFormat="1" applyFont="1" applyFill="1" applyBorder="1" applyAlignment="1">
      <alignment horizontal="left" wrapText="1" indent="1"/>
    </xf>
    <xf numFmtId="164" fontId="116" fillId="0" borderId="0" xfId="0" applyNumberFormat="1" applyFont="1" applyBorder="1"/>
    <xf numFmtId="164" fontId="119" fillId="0" borderId="123" xfId="7" applyNumberFormat="1" applyFont="1" applyBorder="1"/>
    <xf numFmtId="0" fontId="116" fillId="0" borderId="0" xfId="0" applyFont="1" applyFill="1" applyAlignment="1">
      <alignment wrapText="1"/>
    </xf>
    <xf numFmtId="164" fontId="116" fillId="0" borderId="0" xfId="0" applyNumberFormat="1" applyFont="1" applyFill="1"/>
    <xf numFmtId="164" fontId="127" fillId="80" borderId="87" xfId="7" applyNumberFormat="1" applyFont="1" applyFill="1" applyBorder="1"/>
    <xf numFmtId="164" fontId="115" fillId="0" borderId="87" xfId="7" applyNumberFormat="1" applyFont="1" applyBorder="1"/>
    <xf numFmtId="164" fontId="116" fillId="0" borderId="0" xfId="0" applyNumberFormat="1" applyFont="1" applyFill="1" applyAlignment="1">
      <alignment wrapText="1"/>
    </xf>
    <xf numFmtId="0" fontId="119"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164" fontId="116" fillId="0" borderId="0" xfId="0" applyNumberFormat="1" applyFont="1"/>
    <xf numFmtId="0" fontId="129" fillId="3" borderId="87" xfId="13" applyFont="1" applyFill="1" applyBorder="1" applyAlignment="1" applyProtection="1">
      <alignment horizontal="left" vertical="center" wrapText="1"/>
      <protection locked="0"/>
    </xf>
    <xf numFmtId="0" fontId="129" fillId="0" borderId="87" xfId="13" applyFont="1" applyFill="1" applyBorder="1" applyAlignment="1" applyProtection="1">
      <alignment horizontal="left" vertical="center" wrapText="1"/>
      <protection locked="0"/>
    </xf>
    <xf numFmtId="164" fontId="119" fillId="0" borderId="87" xfId="7" applyNumberFormat="1" applyFont="1" applyFill="1" applyBorder="1"/>
    <xf numFmtId="0" fontId="115" fillId="0" borderId="87" xfId="0" applyFont="1" applyBorder="1"/>
    <xf numFmtId="0" fontId="115" fillId="0" borderId="87" xfId="0" applyFont="1" applyBorder="1" applyAlignment="1">
      <alignment horizontal="left" indent="1"/>
    </xf>
    <xf numFmtId="164" fontId="115" fillId="0" borderId="87" xfId="7" applyNumberFormat="1" applyFont="1" applyBorder="1" applyAlignment="1">
      <alignment horizontal="left" indent="1"/>
    </xf>
    <xf numFmtId="164" fontId="115" fillId="80" borderId="87" xfId="7" applyNumberFormat="1" applyFont="1" applyFill="1" applyBorder="1"/>
    <xf numFmtId="0" fontId="115" fillId="0" borderId="0" xfId="0" applyFont="1" applyBorder="1"/>
    <xf numFmtId="0" fontId="115" fillId="0" borderId="0" xfId="0" applyFont="1"/>
    <xf numFmtId="164" fontId="116" fillId="0" borderId="129" xfId="7" applyNumberFormat="1" applyFont="1" applyBorder="1"/>
    <xf numFmtId="164" fontId="116" fillId="0" borderId="129" xfId="7" applyNumberFormat="1" applyFont="1" applyBorder="1" applyAlignment="1">
      <alignment horizontal="center" vertical="center" wrapText="1"/>
    </xf>
    <xf numFmtId="164" fontId="116" fillId="0" borderId="129" xfId="7" applyNumberFormat="1" applyFont="1" applyBorder="1" applyAlignment="1">
      <alignment horizontal="center" vertical="center"/>
    </xf>
    <xf numFmtId="164" fontId="118" fillId="0" borderId="129" xfId="7" applyNumberFormat="1" applyFont="1" applyBorder="1" applyAlignment="1">
      <alignment horizontal="left" vertical="center" wrapText="1"/>
    </xf>
    <xf numFmtId="164" fontId="119" fillId="0" borderId="129" xfId="7" applyNumberFormat="1" applyFont="1" applyBorder="1"/>
    <xf numFmtId="0" fontId="119" fillId="0" borderId="0" xfId="0" applyFont="1" applyFill="1" applyBorder="1"/>
    <xf numFmtId="164" fontId="119" fillId="0" borderId="0" xfId="7" applyNumberFormat="1" applyFont="1" applyBorder="1"/>
    <xf numFmtId="164" fontId="116" fillId="0" borderId="0" xfId="7" applyNumberFormat="1" applyFont="1" applyBorder="1"/>
    <xf numFmtId="164" fontId="116" fillId="0" borderId="0" xfId="7" applyNumberFormat="1" applyFont="1" applyAlignment="1">
      <alignment horizontal="center" vertical="center"/>
    </xf>
    <xf numFmtId="164" fontId="119" fillId="0" borderId="0" xfId="7" applyNumberFormat="1" applyFont="1" applyBorder="1" applyAlignment="1">
      <alignment horizontal="left"/>
    </xf>
    <xf numFmtId="164" fontId="116" fillId="0" borderId="0" xfId="7" applyNumberFormat="1" applyFont="1" applyBorder="1" applyAlignment="1">
      <alignment horizontal="left"/>
    </xf>
    <xf numFmtId="0" fontId="116" fillId="0" borderId="87" xfId="0" applyFont="1" applyFill="1" applyBorder="1" applyAlignment="1">
      <alignment horizontal="center" vertical="center"/>
    </xf>
    <xf numFmtId="0" fontId="128" fillId="0" borderId="0" xfId="0" applyFont="1" applyFill="1"/>
    <xf numFmtId="0" fontId="116" fillId="0" borderId="0" xfId="0" applyFont="1" applyFill="1" applyAlignment="1">
      <alignment horizontal="center" vertical="top" wrapText="1"/>
    </xf>
    <xf numFmtId="43" fontId="116" fillId="0" borderId="0" xfId="0" applyNumberFormat="1" applyFont="1" applyFill="1"/>
    <xf numFmtId="164" fontId="116" fillId="0" borderId="0" xfId="7" applyNumberFormat="1" applyFont="1" applyFill="1"/>
    <xf numFmtId="0" fontId="0" fillId="0" borderId="0" xfId="0" applyFill="1" applyAlignment="1">
      <alignment vertical="center"/>
    </xf>
    <xf numFmtId="49" fontId="116" fillId="0" borderId="87" xfId="0" applyNumberFormat="1" applyFont="1" applyFill="1" applyBorder="1" applyAlignment="1">
      <alignment horizontal="left" vertical="center" wrapText="1"/>
    </xf>
    <xf numFmtId="164" fontId="116" fillId="0" borderId="87" xfId="7" applyNumberFormat="1" applyFont="1" applyFill="1" applyBorder="1" applyAlignment="1">
      <alignment horizontal="left" vertical="center" wrapText="1"/>
    </xf>
    <xf numFmtId="164" fontId="116" fillId="0" borderId="87" xfId="7" applyNumberFormat="1" applyFont="1" applyFill="1" applyBorder="1" applyAlignment="1">
      <alignment vertical="center"/>
    </xf>
    <xf numFmtId="0" fontId="116" fillId="0" borderId="0" xfId="0" applyFont="1" applyFill="1" applyBorder="1" applyAlignment="1">
      <alignment vertical="center"/>
    </xf>
    <xf numFmtId="0" fontId="116" fillId="0" borderId="0" xfId="0" applyFont="1" applyFill="1" applyAlignment="1">
      <alignment vertical="center"/>
    </xf>
    <xf numFmtId="0" fontId="119" fillId="0" borderId="7" xfId="0" applyFont="1" applyFill="1" applyBorder="1"/>
    <xf numFmtId="164" fontId="119" fillId="0" borderId="7" xfId="7" applyNumberFormat="1" applyFont="1" applyFill="1" applyBorder="1"/>
    <xf numFmtId="0" fontId="118" fillId="0" borderId="87" xfId="0" applyNumberFormat="1" applyFont="1" applyFill="1" applyBorder="1" applyAlignment="1">
      <alignment horizontal="left" vertical="center" wrapText="1"/>
    </xf>
    <xf numFmtId="164" fontId="118" fillId="0" borderId="129" xfId="7" applyNumberFormat="1" applyFont="1" applyFill="1" applyBorder="1" applyAlignment="1">
      <alignment horizontal="left" vertical="center" wrapText="1"/>
    </xf>
    <xf numFmtId="164" fontId="119" fillId="0" borderId="129" xfId="7" applyNumberFormat="1" applyFont="1" applyFill="1" applyBorder="1"/>
    <xf numFmtId="164" fontId="119" fillId="0" borderId="129" xfId="7" applyNumberFormat="1" applyFont="1" applyFill="1" applyBorder="1" applyAlignment="1">
      <alignment horizontal="center" vertical="center"/>
    </xf>
    <xf numFmtId="0" fontId="119" fillId="0" borderId="0" xfId="0" applyFont="1" applyFill="1"/>
    <xf numFmtId="0" fontId="124" fillId="0" borderId="0" xfId="0" applyFont="1" applyFill="1"/>
    <xf numFmtId="164" fontId="115" fillId="0" borderId="87" xfId="7" applyNumberFormat="1" applyFont="1" applyFill="1" applyBorder="1"/>
    <xf numFmtId="164" fontId="118" fillId="36" borderId="87" xfId="7" applyNumberFormat="1" applyFont="1" applyFill="1" applyBorder="1"/>
    <xf numFmtId="164" fontId="0" fillId="0" borderId="0" xfId="0" applyNumberFormat="1"/>
    <xf numFmtId="43" fontId="119" fillId="0" borderId="0" xfId="7" applyFont="1"/>
    <xf numFmtId="164" fontId="118" fillId="0" borderId="87"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8" xfId="7" applyNumberFormat="1" applyFont="1" applyFill="1" applyBorder="1" applyAlignment="1">
      <alignment horizontal="center" vertical="center" wrapText="1"/>
    </xf>
    <xf numFmtId="164" fontId="4" fillId="0" borderId="61" xfId="7" applyNumberFormat="1" applyFont="1" applyFill="1" applyBorder="1" applyAlignment="1">
      <alignment horizontal="center" vertical="center" wrapText="1"/>
    </xf>
    <xf numFmtId="164" fontId="4" fillId="0" borderId="93" xfId="7" applyNumberFormat="1" applyFont="1" applyFill="1" applyBorder="1" applyAlignment="1">
      <alignment horizontal="center" vertical="center" wrapText="1"/>
    </xf>
    <xf numFmtId="164" fontId="4" fillId="0" borderId="68" xfId="7" applyNumberFormat="1" applyFont="1" applyBorder="1" applyAlignment="1">
      <alignment horizontal="center" vertical="center" wrapText="1"/>
    </xf>
    <xf numFmtId="164" fontId="4" fillId="0" borderId="61" xfId="7" applyNumberFormat="1" applyFont="1" applyBorder="1" applyAlignment="1">
      <alignment horizontal="center" vertical="center" wrapText="1"/>
    </xf>
    <xf numFmtId="164" fontId="4" fillId="0" borderId="93" xfId="7" applyNumberFormat="1" applyFont="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3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xf>
    <xf numFmtId="0" fontId="4" fillId="0" borderId="124" xfId="0" applyFont="1" applyBorder="1" applyAlignment="1">
      <alignment horizontal="center" vertical="center"/>
    </xf>
    <xf numFmtId="0" fontId="118" fillId="0" borderId="108"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2"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8" fillId="0" borderId="115"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100" xfId="0" applyFont="1" applyFill="1" applyBorder="1" applyAlignment="1">
      <alignment horizontal="center" vertical="center" wrapText="1"/>
    </xf>
    <xf numFmtId="0" fontId="119" fillId="0" borderId="110"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0" xfId="0" applyFont="1" applyFill="1" applyAlignment="1">
      <alignment horizontal="center"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87"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10"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11" xfId="0" applyFont="1" applyFill="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10"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117"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100" xfId="0" applyFont="1" applyFill="1" applyBorder="1" applyAlignment="1">
      <alignment horizontal="center" vertical="center"/>
    </xf>
    <xf numFmtId="0" fontId="116" fillId="0" borderId="110"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100"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100" xfId="0" applyFont="1" applyBorder="1" applyAlignment="1">
      <alignment horizontal="center" vertical="top" wrapText="1"/>
    </xf>
    <xf numFmtId="0" fontId="116" fillId="0" borderId="110"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9" fillId="0" borderId="82" xfId="0" applyFont="1" applyBorder="1" applyAlignment="1">
      <alignment horizontal="center" vertical="top" wrapText="1"/>
    </xf>
    <xf numFmtId="0" fontId="119" fillId="0" borderId="7" xfId="0" applyFont="1" applyBorder="1" applyAlignment="1">
      <alignment horizontal="center" vertical="top" wrapText="1"/>
    </xf>
    <xf numFmtId="0" fontId="118" fillId="0" borderId="119" xfId="0" applyNumberFormat="1" applyFont="1" applyFill="1" applyBorder="1" applyAlignment="1">
      <alignment horizontal="left" vertical="top" wrapText="1"/>
    </xf>
    <xf numFmtId="0" fontId="118" fillId="0" borderId="120" xfId="0" applyNumberFormat="1" applyFont="1" applyFill="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zoomScale="70" zoomScaleNormal="70" workbookViewId="0">
      <pane xSplit="1" ySplit="7" topLeftCell="B8" activePane="bottomRight" state="frozen"/>
      <selection pane="topRight" activeCell="B1" sqref="B1"/>
      <selection pane="bottomLeft" activeCell="A8" sqref="A8"/>
      <selection pane="bottomRight" activeCell="C19" sqref="C19"/>
    </sheetView>
  </sheetViews>
  <sheetFormatPr defaultRowHeight="14.5"/>
  <cols>
    <col min="1" max="1" width="10.1796875" style="2" customWidth="1"/>
    <col min="2" max="2" width="153" bestFit="1" customWidth="1"/>
    <col min="3" max="3" width="39.453125" customWidth="1"/>
    <col min="7" max="7" width="25" customWidth="1"/>
  </cols>
  <sheetData>
    <row r="1" spans="1:3">
      <c r="A1" s="10"/>
      <c r="B1" s="185" t="s">
        <v>254</v>
      </c>
      <c r="C1" s="93"/>
    </row>
    <row r="2" spans="1:3" s="182" customFormat="1">
      <c r="A2" s="226">
        <v>1</v>
      </c>
      <c r="B2" s="183" t="s">
        <v>255</v>
      </c>
      <c r="C2" s="597" t="s">
        <v>713</v>
      </c>
    </row>
    <row r="3" spans="1:3" s="182" customFormat="1">
      <c r="A3" s="226">
        <v>2</v>
      </c>
      <c r="B3" s="184" t="s">
        <v>256</v>
      </c>
      <c r="C3" s="597" t="s">
        <v>714</v>
      </c>
    </row>
    <row r="4" spans="1:3" s="182" customFormat="1">
      <c r="A4" s="226">
        <v>3</v>
      </c>
      <c r="B4" s="184" t="s">
        <v>257</v>
      </c>
      <c r="C4" s="597" t="s">
        <v>732</v>
      </c>
    </row>
    <row r="5" spans="1:3" s="182" customFormat="1">
      <c r="A5" s="227">
        <v>4</v>
      </c>
      <c r="B5" s="187" t="s">
        <v>258</v>
      </c>
      <c r="C5" s="597" t="s">
        <v>715</v>
      </c>
    </row>
    <row r="6" spans="1:3" s="186" customFormat="1" ht="65.25" customHeight="1">
      <c r="A6" s="730" t="s">
        <v>373</v>
      </c>
      <c r="B6" s="731"/>
      <c r="C6" s="731"/>
    </row>
    <row r="7" spans="1:3">
      <c r="A7" s="386" t="s">
        <v>327</v>
      </c>
      <c r="B7" s="387" t="s">
        <v>259</v>
      </c>
    </row>
    <row r="8" spans="1:3">
      <c r="A8" s="388">
        <v>1</v>
      </c>
      <c r="B8" s="384" t="s">
        <v>223</v>
      </c>
    </row>
    <row r="9" spans="1:3">
      <c r="A9" s="388">
        <v>2</v>
      </c>
      <c r="B9" s="384" t="s">
        <v>260</v>
      </c>
    </row>
    <row r="10" spans="1:3">
      <c r="A10" s="388">
        <v>3</v>
      </c>
      <c r="B10" s="384" t="s">
        <v>261</v>
      </c>
    </row>
    <row r="11" spans="1:3">
      <c r="A11" s="388">
        <v>4</v>
      </c>
      <c r="B11" s="384" t="s">
        <v>262</v>
      </c>
      <c r="C11" s="181"/>
    </row>
    <row r="12" spans="1:3">
      <c r="A12" s="388">
        <v>5</v>
      </c>
      <c r="B12" s="384" t="s">
        <v>187</v>
      </c>
    </row>
    <row r="13" spans="1:3">
      <c r="A13" s="388">
        <v>6</v>
      </c>
      <c r="B13" s="389" t="s">
        <v>149</v>
      </c>
    </row>
    <row r="14" spans="1:3">
      <c r="A14" s="388">
        <v>7</v>
      </c>
      <c r="B14" s="384" t="s">
        <v>263</v>
      </c>
    </row>
    <row r="15" spans="1:3">
      <c r="A15" s="388">
        <v>8</v>
      </c>
      <c r="B15" s="384" t="s">
        <v>266</v>
      </c>
    </row>
    <row r="16" spans="1:3">
      <c r="A16" s="388">
        <v>9</v>
      </c>
      <c r="B16" s="384" t="s">
        <v>88</v>
      </c>
    </row>
    <row r="17" spans="1:2">
      <c r="A17" s="390" t="s">
        <v>419</v>
      </c>
      <c r="B17" s="384" t="s">
        <v>399</v>
      </c>
    </row>
    <row r="18" spans="1:2">
      <c r="A18" s="388">
        <v>10</v>
      </c>
      <c r="B18" s="384" t="s">
        <v>269</v>
      </c>
    </row>
    <row r="19" spans="1:2">
      <c r="A19" s="388">
        <v>11</v>
      </c>
      <c r="B19" s="389" t="s">
        <v>250</v>
      </c>
    </row>
    <row r="20" spans="1:2">
      <c r="A20" s="388">
        <v>12</v>
      </c>
      <c r="B20" s="389" t="s">
        <v>247</v>
      </c>
    </row>
    <row r="21" spans="1:2">
      <c r="A21" s="388">
        <v>13</v>
      </c>
      <c r="B21" s="391" t="s">
        <v>363</v>
      </c>
    </row>
    <row r="22" spans="1:2">
      <c r="A22" s="388">
        <v>14</v>
      </c>
      <c r="B22" s="392" t="s">
        <v>393</v>
      </c>
    </row>
    <row r="23" spans="1:2">
      <c r="A23" s="393">
        <v>15</v>
      </c>
      <c r="B23" s="389" t="s">
        <v>77</v>
      </c>
    </row>
    <row r="24" spans="1:2">
      <c r="A24" s="393">
        <v>15.1</v>
      </c>
      <c r="B24" s="384" t="s">
        <v>428</v>
      </c>
    </row>
    <row r="25" spans="1:2">
      <c r="A25" s="393">
        <v>16</v>
      </c>
      <c r="B25" s="384" t="s">
        <v>496</v>
      </c>
    </row>
    <row r="26" spans="1:2">
      <c r="A26" s="393">
        <v>17</v>
      </c>
      <c r="B26" s="384" t="s">
        <v>702</v>
      </c>
    </row>
    <row r="27" spans="1:2">
      <c r="A27" s="393">
        <v>18</v>
      </c>
      <c r="B27" s="384" t="s">
        <v>711</v>
      </c>
    </row>
    <row r="28" spans="1:2">
      <c r="A28" s="393">
        <v>19</v>
      </c>
      <c r="B28" s="384" t="s">
        <v>712</v>
      </c>
    </row>
    <row r="29" spans="1:2">
      <c r="A29" s="393">
        <v>20</v>
      </c>
      <c r="B29" s="392" t="s">
        <v>588</v>
      </c>
    </row>
    <row r="30" spans="1:2">
      <c r="A30" s="393">
        <v>21</v>
      </c>
      <c r="B30" s="384" t="s">
        <v>606</v>
      </c>
    </row>
    <row r="31" spans="1:2">
      <c r="A31" s="393">
        <v>22</v>
      </c>
      <c r="B31" s="558" t="s">
        <v>623</v>
      </c>
    </row>
    <row r="32" spans="1:2" ht="26">
      <c r="A32" s="393">
        <v>23</v>
      </c>
      <c r="B32" s="558" t="s">
        <v>703</v>
      </c>
    </row>
    <row r="33" spans="1:2">
      <c r="A33" s="393">
        <v>24</v>
      </c>
      <c r="B33" s="384" t="s">
        <v>704</v>
      </c>
    </row>
    <row r="34" spans="1:2">
      <c r="A34" s="393">
        <v>25</v>
      </c>
      <c r="B34" s="384" t="s">
        <v>705</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0" zoomScaleNormal="80" workbookViewId="0">
      <pane xSplit="1" ySplit="5" topLeftCell="B6" activePane="bottomRight" state="frozen"/>
      <selection pane="topRight" activeCell="B1" sqref="B1"/>
      <selection pane="bottomLeft" activeCell="A5" sqref="A5"/>
      <selection pane="bottomRight" activeCell="C15" sqref="C15"/>
    </sheetView>
  </sheetViews>
  <sheetFormatPr defaultRowHeight="14.5"/>
  <cols>
    <col min="1" max="1" width="9.54296875" style="5" bestFit="1" customWidth="1"/>
    <col min="2" max="2" width="132.453125" style="2" customWidth="1"/>
    <col min="3" max="3" width="18.453125" style="2" customWidth="1"/>
  </cols>
  <sheetData>
    <row r="1" spans="1:6">
      <c r="A1" s="17" t="s">
        <v>188</v>
      </c>
      <c r="B1" s="16" t="str">
        <f>Info!C2</f>
        <v>სს " პაშა ბანკი საქართველო"</v>
      </c>
      <c r="D1" s="2"/>
      <c r="E1" s="2"/>
      <c r="F1" s="2"/>
    </row>
    <row r="2" spans="1:6" s="21" customFormat="1" ht="15.75" customHeight="1">
      <c r="A2" s="21" t="s">
        <v>189</v>
      </c>
      <c r="B2" s="471">
        <f>'1. key ratios'!B2</f>
        <v>44377</v>
      </c>
    </row>
    <row r="3" spans="1:6" s="21" customFormat="1" ht="15.75" customHeight="1"/>
    <row r="4" spans="1:6" ht="15" thickBot="1">
      <c r="A4" s="5" t="s">
        <v>336</v>
      </c>
      <c r="B4" s="60" t="s">
        <v>88</v>
      </c>
    </row>
    <row r="5" spans="1:6">
      <c r="A5" s="134" t="s">
        <v>26</v>
      </c>
      <c r="B5" s="135"/>
      <c r="C5" s="136" t="s">
        <v>27</v>
      </c>
    </row>
    <row r="6" spans="1:6">
      <c r="A6" s="137">
        <v>1</v>
      </c>
      <c r="B6" s="82" t="s">
        <v>28</v>
      </c>
      <c r="C6" s="266">
        <f>SUM(C7:C11)</f>
        <v>74591212.219999999</v>
      </c>
    </row>
    <row r="7" spans="1:6">
      <c r="A7" s="137">
        <v>2</v>
      </c>
      <c r="B7" s="79" t="s">
        <v>29</v>
      </c>
      <c r="C7" s="267">
        <v>103000000</v>
      </c>
    </row>
    <row r="8" spans="1:6">
      <c r="A8" s="137">
        <v>3</v>
      </c>
      <c r="B8" s="73" t="s">
        <v>30</v>
      </c>
      <c r="C8" s="267"/>
    </row>
    <row r="9" spans="1:6">
      <c r="A9" s="137">
        <v>4</v>
      </c>
      <c r="B9" s="73" t="s">
        <v>31</v>
      </c>
      <c r="C9" s="267"/>
    </row>
    <row r="10" spans="1:6">
      <c r="A10" s="137">
        <v>5</v>
      </c>
      <c r="B10" s="73" t="s">
        <v>32</v>
      </c>
      <c r="C10" s="267"/>
    </row>
    <row r="11" spans="1:6">
      <c r="A11" s="137">
        <v>6</v>
      </c>
      <c r="B11" s="80" t="s">
        <v>33</v>
      </c>
      <c r="C11" s="267">
        <v>-28408787.780000001</v>
      </c>
    </row>
    <row r="12" spans="1:6" s="4" customFormat="1">
      <c r="A12" s="137">
        <v>7</v>
      </c>
      <c r="B12" s="82" t="s">
        <v>34</v>
      </c>
      <c r="C12" s="268">
        <f>SUM(C13:C27)</f>
        <v>4458054.1100000003</v>
      </c>
    </row>
    <row r="13" spans="1:6" s="4" customFormat="1">
      <c r="A13" s="137">
        <v>8</v>
      </c>
      <c r="B13" s="81" t="s">
        <v>35</v>
      </c>
      <c r="C13" s="269"/>
    </row>
    <row r="14" spans="1:6" s="4" customFormat="1" ht="26">
      <c r="A14" s="137">
        <v>9</v>
      </c>
      <c r="B14" s="74" t="s">
        <v>36</v>
      </c>
      <c r="C14" s="269"/>
    </row>
    <row r="15" spans="1:6" s="4" customFormat="1">
      <c r="A15" s="137">
        <v>10</v>
      </c>
      <c r="B15" s="75" t="s">
        <v>37</v>
      </c>
      <c r="C15" s="269">
        <v>4458054.1100000003</v>
      </c>
    </row>
    <row r="16" spans="1:6" s="4" customFormat="1">
      <c r="A16" s="137">
        <v>11</v>
      </c>
      <c r="B16" s="76" t="s">
        <v>38</v>
      </c>
      <c r="C16" s="269"/>
    </row>
    <row r="17" spans="1:3" s="4" customFormat="1">
      <c r="A17" s="137">
        <v>12</v>
      </c>
      <c r="B17" s="75" t="s">
        <v>39</v>
      </c>
      <c r="C17" s="269"/>
    </row>
    <row r="18" spans="1:3" s="4" customFormat="1">
      <c r="A18" s="137">
        <v>13</v>
      </c>
      <c r="B18" s="75" t="s">
        <v>40</v>
      </c>
      <c r="C18" s="269"/>
    </row>
    <row r="19" spans="1:3" s="4" customFormat="1">
      <c r="A19" s="137">
        <v>14</v>
      </c>
      <c r="B19" s="75" t="s">
        <v>41</v>
      </c>
      <c r="C19" s="269"/>
    </row>
    <row r="20" spans="1:3" s="4" customFormat="1" ht="26">
      <c r="A20" s="137">
        <v>15</v>
      </c>
      <c r="B20" s="75" t="s">
        <v>42</v>
      </c>
      <c r="C20" s="269"/>
    </row>
    <row r="21" spans="1:3" s="4" customFormat="1" ht="26">
      <c r="A21" s="137">
        <v>16</v>
      </c>
      <c r="B21" s="74" t="s">
        <v>43</v>
      </c>
      <c r="C21" s="269"/>
    </row>
    <row r="22" spans="1:3" s="4" customFormat="1">
      <c r="A22" s="137">
        <v>17</v>
      </c>
      <c r="B22" s="138" t="s">
        <v>44</v>
      </c>
      <c r="C22" s="269">
        <v>0</v>
      </c>
    </row>
    <row r="23" spans="1:3" s="4" customFormat="1" ht="26">
      <c r="A23" s="137">
        <v>18</v>
      </c>
      <c r="B23" s="74" t="s">
        <v>45</v>
      </c>
      <c r="C23" s="269"/>
    </row>
    <row r="24" spans="1:3" s="4" customFormat="1" ht="26">
      <c r="A24" s="137">
        <v>19</v>
      </c>
      <c r="B24" s="74" t="s">
        <v>46</v>
      </c>
      <c r="C24" s="269"/>
    </row>
    <row r="25" spans="1:3" s="4" customFormat="1" ht="26">
      <c r="A25" s="137">
        <v>20</v>
      </c>
      <c r="B25" s="77" t="s">
        <v>47</v>
      </c>
      <c r="C25" s="269"/>
    </row>
    <row r="26" spans="1:3" s="4" customFormat="1">
      <c r="A26" s="137">
        <v>21</v>
      </c>
      <c r="B26" s="77" t="s">
        <v>48</v>
      </c>
      <c r="C26" s="269"/>
    </row>
    <row r="27" spans="1:3" s="4" customFormat="1" ht="26">
      <c r="A27" s="137">
        <v>22</v>
      </c>
      <c r="B27" s="77" t="s">
        <v>49</v>
      </c>
      <c r="C27" s="269"/>
    </row>
    <row r="28" spans="1:3" s="4" customFormat="1">
      <c r="A28" s="137">
        <v>23</v>
      </c>
      <c r="B28" s="83" t="s">
        <v>23</v>
      </c>
      <c r="C28" s="268">
        <f>C6-C12</f>
        <v>70133158.109999999</v>
      </c>
    </row>
    <row r="29" spans="1:3" s="4" customFormat="1">
      <c r="A29" s="139"/>
      <c r="B29" s="78"/>
      <c r="C29" s="269"/>
    </row>
    <row r="30" spans="1:3" s="4" customFormat="1">
      <c r="A30" s="139">
        <v>24</v>
      </c>
      <c r="B30" s="83" t="s">
        <v>50</v>
      </c>
      <c r="C30" s="268">
        <f>C31+C34</f>
        <v>0</v>
      </c>
    </row>
    <row r="31" spans="1:3" s="4" customFormat="1">
      <c r="A31" s="139">
        <v>25</v>
      </c>
      <c r="B31" s="73" t="s">
        <v>51</v>
      </c>
      <c r="C31" s="270">
        <f>C32+C33</f>
        <v>0</v>
      </c>
    </row>
    <row r="32" spans="1:3" s="4" customFormat="1">
      <c r="A32" s="139">
        <v>26</v>
      </c>
      <c r="B32" s="179" t="s">
        <v>52</v>
      </c>
      <c r="C32" s="269"/>
    </row>
    <row r="33" spans="1:3" s="4" customFormat="1">
      <c r="A33" s="139">
        <v>27</v>
      </c>
      <c r="B33" s="179" t="s">
        <v>53</v>
      </c>
      <c r="C33" s="269"/>
    </row>
    <row r="34" spans="1:3" s="4" customFormat="1">
      <c r="A34" s="139">
        <v>28</v>
      </c>
      <c r="B34" s="73" t="s">
        <v>54</v>
      </c>
      <c r="C34" s="269"/>
    </row>
    <row r="35" spans="1:3" s="4" customFormat="1">
      <c r="A35" s="139">
        <v>29</v>
      </c>
      <c r="B35" s="83" t="s">
        <v>55</v>
      </c>
      <c r="C35" s="268">
        <f>SUM(C36:C40)</f>
        <v>0</v>
      </c>
    </row>
    <row r="36" spans="1:3" s="4" customFormat="1">
      <c r="A36" s="139">
        <v>30</v>
      </c>
      <c r="B36" s="74" t="s">
        <v>56</v>
      </c>
      <c r="C36" s="269"/>
    </row>
    <row r="37" spans="1:3" s="4" customFormat="1">
      <c r="A37" s="139">
        <v>31</v>
      </c>
      <c r="B37" s="75" t="s">
        <v>57</v>
      </c>
      <c r="C37" s="269"/>
    </row>
    <row r="38" spans="1:3" s="4" customFormat="1" ht="26">
      <c r="A38" s="139">
        <v>32</v>
      </c>
      <c r="B38" s="74" t="s">
        <v>58</v>
      </c>
      <c r="C38" s="269"/>
    </row>
    <row r="39" spans="1:3" s="4" customFormat="1" ht="26">
      <c r="A39" s="139">
        <v>33</v>
      </c>
      <c r="B39" s="74" t="s">
        <v>46</v>
      </c>
      <c r="C39" s="269"/>
    </row>
    <row r="40" spans="1:3" s="4" customFormat="1" ht="26">
      <c r="A40" s="139">
        <v>34</v>
      </c>
      <c r="B40" s="77" t="s">
        <v>59</v>
      </c>
      <c r="C40" s="269"/>
    </row>
    <row r="41" spans="1:3" s="4" customFormat="1">
      <c r="A41" s="139">
        <v>35</v>
      </c>
      <c r="B41" s="83" t="s">
        <v>24</v>
      </c>
      <c r="C41" s="268">
        <f>C30-C35</f>
        <v>0</v>
      </c>
    </row>
    <row r="42" spans="1:3" s="4" customFormat="1">
      <c r="A42" s="139"/>
      <c r="B42" s="78"/>
      <c r="C42" s="269"/>
    </row>
    <row r="43" spans="1:3" s="4" customFormat="1">
      <c r="A43" s="139">
        <v>36</v>
      </c>
      <c r="B43" s="84" t="s">
        <v>60</v>
      </c>
      <c r="C43" s="268">
        <f>SUM(C44:C46)</f>
        <v>33273538.985199999</v>
      </c>
    </row>
    <row r="44" spans="1:3" s="4" customFormat="1">
      <c r="A44" s="139">
        <v>37</v>
      </c>
      <c r="B44" s="73" t="s">
        <v>61</v>
      </c>
      <c r="C44" s="269">
        <v>28262704.8193</v>
      </c>
    </row>
    <row r="45" spans="1:3" s="4" customFormat="1">
      <c r="A45" s="139">
        <v>38</v>
      </c>
      <c r="B45" s="73" t="s">
        <v>62</v>
      </c>
      <c r="C45" s="269"/>
    </row>
    <row r="46" spans="1:3" s="4" customFormat="1">
      <c r="A46" s="139">
        <v>39</v>
      </c>
      <c r="B46" s="73" t="s">
        <v>63</v>
      </c>
      <c r="C46" s="269">
        <v>5010834.1659000004</v>
      </c>
    </row>
    <row r="47" spans="1:3" s="4" customFormat="1">
      <c r="A47" s="139">
        <v>40</v>
      </c>
      <c r="B47" s="84" t="s">
        <v>64</v>
      </c>
      <c r="C47" s="268">
        <f>SUM(C48:C51)</f>
        <v>0</v>
      </c>
    </row>
    <row r="48" spans="1:3" s="4" customFormat="1">
      <c r="A48" s="139">
        <v>41</v>
      </c>
      <c r="B48" s="74" t="s">
        <v>65</v>
      </c>
      <c r="C48" s="269"/>
    </row>
    <row r="49" spans="1:3" s="4" customFormat="1">
      <c r="A49" s="139">
        <v>42</v>
      </c>
      <c r="B49" s="75" t="s">
        <v>66</v>
      </c>
      <c r="C49" s="269"/>
    </row>
    <row r="50" spans="1:3" s="4" customFormat="1" ht="26">
      <c r="A50" s="139">
        <v>43</v>
      </c>
      <c r="B50" s="74" t="s">
        <v>67</v>
      </c>
      <c r="C50" s="269"/>
    </row>
    <row r="51" spans="1:3" s="4" customFormat="1" ht="26">
      <c r="A51" s="139">
        <v>44</v>
      </c>
      <c r="B51" s="74" t="s">
        <v>46</v>
      </c>
      <c r="C51" s="269"/>
    </row>
    <row r="52" spans="1:3" s="4" customFormat="1" ht="15" thickBot="1">
      <c r="A52" s="140">
        <v>45</v>
      </c>
      <c r="B52" s="141" t="s">
        <v>25</v>
      </c>
      <c r="C52" s="271">
        <f>C43-C47</f>
        <v>33273538.985199999</v>
      </c>
    </row>
    <row r="55" spans="1:3">
      <c r="B55" s="2"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headerFooter>
    <oddFooter>&amp;C_x000D_&amp;1#&amp;"Calibri"&amp;10&amp;K000000 C1 - FOR INTERNAL USE ONLY</oddFooter>
  </headerFooter>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zoomScale="80" zoomScaleNormal="80" workbookViewId="0">
      <selection activeCell="G21" sqref="G21"/>
    </sheetView>
  </sheetViews>
  <sheetFormatPr defaultColWidth="9.1796875" defaultRowHeight="13"/>
  <cols>
    <col min="1" max="1" width="10.81640625" style="335" bestFit="1" customWidth="1"/>
    <col min="2" max="2" width="59" style="335" customWidth="1"/>
    <col min="3" max="3" width="16.81640625" style="335" bestFit="1" customWidth="1"/>
    <col min="4" max="4" width="22.1796875" style="335" customWidth="1"/>
    <col min="5" max="16384" width="9.1796875" style="335"/>
  </cols>
  <sheetData>
    <row r="1" spans="1:4" ht="13.5">
      <c r="A1" s="17" t="s">
        <v>188</v>
      </c>
      <c r="B1" s="16" t="str">
        <f>Info!C2</f>
        <v>სს " პაშა ბანკი საქართველო"</v>
      </c>
    </row>
    <row r="2" spans="1:4" s="21" customFormat="1" ht="15.75" customHeight="1">
      <c r="A2" s="21" t="s">
        <v>189</v>
      </c>
      <c r="B2" s="471">
        <f>'1. key ratios'!B2</f>
        <v>44377</v>
      </c>
    </row>
    <row r="3" spans="1:4" s="21" customFormat="1" ht="15.75" customHeight="1"/>
    <row r="4" spans="1:4" ht="13.5" thickBot="1">
      <c r="A4" s="336" t="s">
        <v>398</v>
      </c>
      <c r="B4" s="371" t="s">
        <v>399</v>
      </c>
    </row>
    <row r="5" spans="1:4" s="372" customFormat="1">
      <c r="A5" s="749" t="s">
        <v>400</v>
      </c>
      <c r="B5" s="750"/>
      <c r="C5" s="361" t="s">
        <v>401</v>
      </c>
      <c r="D5" s="362" t="s">
        <v>402</v>
      </c>
    </row>
    <row r="6" spans="1:4" s="373" customFormat="1">
      <c r="A6" s="363">
        <v>1</v>
      </c>
      <c r="B6" s="364" t="s">
        <v>403</v>
      </c>
      <c r="C6" s="364"/>
      <c r="D6" s="365"/>
    </row>
    <row r="7" spans="1:4" s="373" customFormat="1">
      <c r="A7" s="366" t="s">
        <v>404</v>
      </c>
      <c r="B7" s="367" t="s">
        <v>405</v>
      </c>
      <c r="C7" s="423">
        <v>4.4999999999999998E-2</v>
      </c>
      <c r="D7" s="582">
        <f>C7*'5. RWA'!$C$13</f>
        <v>20017755.76202257</v>
      </c>
    </row>
    <row r="8" spans="1:4" s="373" customFormat="1">
      <c r="A8" s="366" t="s">
        <v>406</v>
      </c>
      <c r="B8" s="367" t="s">
        <v>407</v>
      </c>
      <c r="C8" s="424">
        <v>0.06</v>
      </c>
      <c r="D8" s="582">
        <f>C8*'5. RWA'!$C$13</f>
        <v>26690341.016030092</v>
      </c>
    </row>
    <row r="9" spans="1:4" s="373" customFormat="1">
      <c r="A9" s="366" t="s">
        <v>408</v>
      </c>
      <c r="B9" s="367" t="s">
        <v>409</v>
      </c>
      <c r="C9" s="424">
        <v>0.08</v>
      </c>
      <c r="D9" s="582">
        <f>C9*'5. RWA'!$C$13</f>
        <v>35587121.354706794</v>
      </c>
    </row>
    <row r="10" spans="1:4" s="373" customFormat="1">
      <c r="A10" s="363" t="s">
        <v>410</v>
      </c>
      <c r="B10" s="364" t="s">
        <v>411</v>
      </c>
      <c r="C10" s="425"/>
      <c r="D10" s="420"/>
    </row>
    <row r="11" spans="1:4" s="374" customFormat="1">
      <c r="A11" s="368" t="s">
        <v>412</v>
      </c>
      <c r="B11" s="369" t="s">
        <v>474</v>
      </c>
      <c r="C11" s="426">
        <v>0</v>
      </c>
      <c r="D11" s="421">
        <f>C11*'5. RWA'!$C$13</f>
        <v>0</v>
      </c>
    </row>
    <row r="12" spans="1:4" s="374" customFormat="1">
      <c r="A12" s="368" t="s">
        <v>413</v>
      </c>
      <c r="B12" s="369" t="s">
        <v>414</v>
      </c>
      <c r="C12" s="426">
        <v>0</v>
      </c>
      <c r="D12" s="421">
        <f>C12*'5. RWA'!$C$13</f>
        <v>0</v>
      </c>
    </row>
    <row r="13" spans="1:4" s="374" customFormat="1">
      <c r="A13" s="368" t="s">
        <v>415</v>
      </c>
      <c r="B13" s="369" t="s">
        <v>416</v>
      </c>
      <c r="C13" s="426">
        <v>0</v>
      </c>
      <c r="D13" s="421">
        <f>C13*'5. RWA'!$C$13</f>
        <v>0</v>
      </c>
    </row>
    <row r="14" spans="1:4" s="373" customFormat="1">
      <c r="A14" s="363" t="s">
        <v>417</v>
      </c>
      <c r="B14" s="364" t="s">
        <v>472</v>
      </c>
      <c r="C14" s="427"/>
      <c r="D14" s="420"/>
    </row>
    <row r="15" spans="1:4" s="373" customFormat="1">
      <c r="A15" s="385" t="s">
        <v>420</v>
      </c>
      <c r="B15" s="369" t="s">
        <v>473</v>
      </c>
      <c r="C15" s="426">
        <v>2.0352422827332621E-2</v>
      </c>
      <c r="D15" s="584">
        <f>C15*'5. RWA'!$C$13</f>
        <v>9053551.7627323847</v>
      </c>
    </row>
    <row r="16" spans="1:4" s="373" customFormat="1">
      <c r="A16" s="385" t="s">
        <v>421</v>
      </c>
      <c r="B16" s="369" t="s">
        <v>423</v>
      </c>
      <c r="C16" s="426">
        <v>2.716634541926042E-2</v>
      </c>
      <c r="D16" s="584">
        <f>C16*'5. RWA'!$C$13</f>
        <v>12084650.389988795</v>
      </c>
    </row>
    <row r="17" spans="1:6" s="373" customFormat="1">
      <c r="A17" s="385" t="s">
        <v>422</v>
      </c>
      <c r="B17" s="369" t="s">
        <v>470</v>
      </c>
      <c r="C17" s="426">
        <v>6.0098180558709587E-2</v>
      </c>
      <c r="D17" s="584">
        <f>C17*'5. RWA'!$C$13</f>
        <v>26734015.559248481</v>
      </c>
    </row>
    <row r="18" spans="1:6" s="372" customFormat="1">
      <c r="A18" s="751" t="s">
        <v>471</v>
      </c>
      <c r="B18" s="752"/>
      <c r="C18" s="428" t="s">
        <v>401</v>
      </c>
      <c r="D18" s="422" t="s">
        <v>402</v>
      </c>
    </row>
    <row r="19" spans="1:6" s="373" customFormat="1">
      <c r="A19" s="370">
        <v>4</v>
      </c>
      <c r="B19" s="369" t="s">
        <v>23</v>
      </c>
      <c r="C19" s="426">
        <f>C7+C11+C12+C13+C15</f>
        <v>6.5352422827332612E-2</v>
      </c>
      <c r="D19" s="582">
        <f>C19*'5. RWA'!$C$13</f>
        <v>29071307.524754953</v>
      </c>
    </row>
    <row r="20" spans="1:6" s="373" customFormat="1">
      <c r="A20" s="370">
        <v>5</v>
      </c>
      <c r="B20" s="369" t="s">
        <v>89</v>
      </c>
      <c r="C20" s="426">
        <f>C8+C11+C12+C13+C16</f>
        <v>8.716634541926041E-2</v>
      </c>
      <c r="D20" s="582">
        <f>C20*'5. RWA'!$C$13</f>
        <v>38774991.406018883</v>
      </c>
    </row>
    <row r="21" spans="1:6" s="373" customFormat="1" ht="13.5" thickBot="1">
      <c r="A21" s="375" t="s">
        <v>418</v>
      </c>
      <c r="B21" s="376" t="s">
        <v>88</v>
      </c>
      <c r="C21" s="429">
        <f>C9+C11+C12+C13+C17</f>
        <v>0.1400981805587096</v>
      </c>
      <c r="D21" s="583">
        <f>C21*'5. RWA'!$C$13</f>
        <v>62321136.913955279</v>
      </c>
    </row>
    <row r="22" spans="1:6">
      <c r="F22" s="336"/>
    </row>
    <row r="23" spans="1:6" ht="65">
      <c r="B23" s="23" t="s">
        <v>475</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80" zoomScaleNormal="80" workbookViewId="0">
      <pane xSplit="1" ySplit="5" topLeftCell="B6" activePane="bottomRight" state="frozen"/>
      <selection pane="topRight" activeCell="B1" sqref="B1"/>
      <selection pane="bottomLeft" activeCell="A5" sqref="A5"/>
      <selection pane="bottomRight" activeCell="C37" activeCellId="1" sqref="C45 C37"/>
    </sheetView>
  </sheetViews>
  <sheetFormatPr defaultRowHeight="14.5"/>
  <cols>
    <col min="1" max="1" width="10.81640625" style="69" customWidth="1"/>
    <col min="2" max="2" width="91.81640625" style="69" customWidth="1"/>
    <col min="3" max="3" width="53.1796875" style="69" customWidth="1"/>
    <col min="4" max="4" width="32.1796875" style="69" customWidth="1"/>
    <col min="5" max="5" width="9.453125" customWidth="1"/>
  </cols>
  <sheetData>
    <row r="1" spans="1:6">
      <c r="A1" s="17" t="s">
        <v>188</v>
      </c>
      <c r="B1" s="19" t="str">
        <f>Info!C2</f>
        <v>სს " პაშა ბანკი საქართველო"</v>
      </c>
      <c r="E1" s="2"/>
      <c r="F1" s="2"/>
    </row>
    <row r="2" spans="1:6" s="21" customFormat="1" ht="15.75" customHeight="1">
      <c r="A2" s="21" t="s">
        <v>189</v>
      </c>
      <c r="B2" s="471">
        <f>'1. key ratios'!B2</f>
        <v>44377</v>
      </c>
    </row>
    <row r="3" spans="1:6" s="21" customFormat="1" ht="15.75" customHeight="1">
      <c r="A3" s="26"/>
    </row>
    <row r="4" spans="1:6" s="21" customFormat="1" ht="15.75" customHeight="1" thickBot="1">
      <c r="A4" s="21" t="s">
        <v>337</v>
      </c>
      <c r="B4" s="202" t="s">
        <v>269</v>
      </c>
      <c r="D4" s="204" t="s">
        <v>93</v>
      </c>
    </row>
    <row r="5" spans="1:6" ht="39">
      <c r="A5" s="152" t="s">
        <v>26</v>
      </c>
      <c r="B5" s="153" t="s">
        <v>231</v>
      </c>
      <c r="C5" s="154" t="s">
        <v>237</v>
      </c>
      <c r="D5" s="203" t="s">
        <v>270</v>
      </c>
    </row>
    <row r="6" spans="1:6">
      <c r="A6" s="142">
        <v>1</v>
      </c>
      <c r="B6" s="85" t="s">
        <v>154</v>
      </c>
      <c r="C6" s="272">
        <v>5147427.1094000004</v>
      </c>
      <c r="D6" s="143"/>
      <c r="E6" s="8"/>
    </row>
    <row r="7" spans="1:6">
      <c r="A7" s="142">
        <v>2</v>
      </c>
      <c r="B7" s="86" t="s">
        <v>155</v>
      </c>
      <c r="C7" s="273">
        <v>41350846.208100006</v>
      </c>
      <c r="D7" s="144"/>
      <c r="E7" s="8"/>
    </row>
    <row r="8" spans="1:6">
      <c r="A8" s="142">
        <v>3</v>
      </c>
      <c r="B8" s="86" t="s">
        <v>156</v>
      </c>
      <c r="C8" s="273">
        <v>35808401.683000006</v>
      </c>
      <c r="D8" s="144"/>
      <c r="E8" s="8"/>
    </row>
    <row r="9" spans="1:6">
      <c r="A9" s="142">
        <v>4</v>
      </c>
      <c r="B9" s="86" t="s">
        <v>185</v>
      </c>
      <c r="C9" s="273">
        <v>0</v>
      </c>
      <c r="D9" s="144"/>
      <c r="E9" s="8"/>
    </row>
    <row r="10" spans="1:6">
      <c r="A10" s="142">
        <v>5</v>
      </c>
      <c r="B10" s="86" t="s">
        <v>157</v>
      </c>
      <c r="C10" s="273">
        <v>39848224.087400004</v>
      </c>
      <c r="D10" s="144"/>
      <c r="E10" s="8"/>
    </row>
    <row r="11" spans="1:6">
      <c r="A11" s="142">
        <v>6.1</v>
      </c>
      <c r="B11" s="86" t="s">
        <v>158</v>
      </c>
      <c r="C11" s="274">
        <v>288145994.40129995</v>
      </c>
      <c r="D11" s="145"/>
      <c r="E11" s="9"/>
    </row>
    <row r="12" spans="1:6">
      <c r="A12" s="142">
        <v>6.2</v>
      </c>
      <c r="B12" s="87" t="s">
        <v>159</v>
      </c>
      <c r="C12" s="274">
        <v>-18744068.477299999</v>
      </c>
      <c r="D12" s="145"/>
      <c r="E12" s="9"/>
    </row>
    <row r="13" spans="1:6">
      <c r="A13" s="142" t="s">
        <v>371</v>
      </c>
      <c r="B13" s="88" t="s">
        <v>372</v>
      </c>
      <c r="C13" s="274">
        <v>4377705.6698000003</v>
      </c>
      <c r="D13" s="145" t="s">
        <v>734</v>
      </c>
      <c r="E13" s="9"/>
    </row>
    <row r="14" spans="1:6">
      <c r="A14" s="142" t="s">
        <v>494</v>
      </c>
      <c r="B14" s="88" t="s">
        <v>483</v>
      </c>
      <c r="C14" s="274">
        <v>3242689</v>
      </c>
      <c r="D14" s="145"/>
      <c r="E14" s="9"/>
    </row>
    <row r="15" spans="1:6">
      <c r="A15" s="142">
        <v>6</v>
      </c>
      <c r="B15" s="86" t="s">
        <v>160</v>
      </c>
      <c r="C15" s="279">
        <f>C11+C12</f>
        <v>269401925.92399997</v>
      </c>
      <c r="D15" s="145"/>
      <c r="E15" s="8"/>
    </row>
    <row r="16" spans="1:6">
      <c r="A16" s="142">
        <v>7</v>
      </c>
      <c r="B16" s="86" t="s">
        <v>161</v>
      </c>
      <c r="C16" s="273">
        <v>3011804.5333000002</v>
      </c>
      <c r="D16" s="144"/>
      <c r="E16" s="8"/>
    </row>
    <row r="17" spans="1:5">
      <c r="A17" s="142">
        <v>8</v>
      </c>
      <c r="B17" s="86" t="s">
        <v>162</v>
      </c>
      <c r="C17" s="273">
        <v>98175</v>
      </c>
      <c r="D17" s="144"/>
      <c r="E17" s="8"/>
    </row>
    <row r="18" spans="1:5">
      <c r="A18" s="142">
        <v>9</v>
      </c>
      <c r="B18" s="86" t="s">
        <v>163</v>
      </c>
      <c r="C18" s="273">
        <v>0</v>
      </c>
      <c r="D18" s="144"/>
      <c r="E18" s="8"/>
    </row>
    <row r="19" spans="1:5">
      <c r="A19" s="142">
        <v>9.1</v>
      </c>
      <c r="B19" s="88" t="s">
        <v>246</v>
      </c>
      <c r="C19" s="274"/>
      <c r="D19" s="144"/>
      <c r="E19" s="8"/>
    </row>
    <row r="20" spans="1:5">
      <c r="A20" s="142">
        <v>9.1999999999999993</v>
      </c>
      <c r="B20" s="88" t="s">
        <v>236</v>
      </c>
      <c r="C20" s="274"/>
      <c r="D20" s="144"/>
      <c r="E20" s="8"/>
    </row>
    <row r="21" spans="1:5">
      <c r="A21" s="142">
        <v>9.3000000000000007</v>
      </c>
      <c r="B21" s="88" t="s">
        <v>235</v>
      </c>
      <c r="C21" s="274"/>
      <c r="D21" s="144"/>
      <c r="E21" s="8"/>
    </row>
    <row r="22" spans="1:5">
      <c r="A22" s="142">
        <v>10</v>
      </c>
      <c r="B22" s="86" t="s">
        <v>164</v>
      </c>
      <c r="C22" s="273">
        <v>16641424.84</v>
      </c>
      <c r="D22" s="144"/>
      <c r="E22" s="8"/>
    </row>
    <row r="23" spans="1:5">
      <c r="A23" s="142">
        <v>10.1</v>
      </c>
      <c r="B23" s="88" t="s">
        <v>234</v>
      </c>
      <c r="C23" s="273">
        <v>4458054.1100000003</v>
      </c>
      <c r="D23" s="228" t="s">
        <v>344</v>
      </c>
      <c r="E23" s="8"/>
    </row>
    <row r="24" spans="1:5">
      <c r="A24" s="142">
        <v>11</v>
      </c>
      <c r="B24" s="89" t="s">
        <v>165</v>
      </c>
      <c r="C24" s="275">
        <v>2233407.0188000002</v>
      </c>
      <c r="D24" s="146"/>
      <c r="E24" s="8"/>
    </row>
    <row r="25" spans="1:5">
      <c r="A25" s="142">
        <v>12</v>
      </c>
      <c r="B25" s="91" t="s">
        <v>166</v>
      </c>
      <c r="C25" s="276">
        <f>SUM(C6:C10,C15:C18,C22,C24)</f>
        <v>413541636.40399998</v>
      </c>
      <c r="D25" s="147"/>
      <c r="E25" s="7"/>
    </row>
    <row r="26" spans="1:5">
      <c r="A26" s="142">
        <v>13</v>
      </c>
      <c r="B26" s="86" t="s">
        <v>167</v>
      </c>
      <c r="C26" s="277">
        <v>70580297.369800001</v>
      </c>
      <c r="D26" s="148"/>
      <c r="E26" s="8"/>
    </row>
    <row r="27" spans="1:5">
      <c r="A27" s="142">
        <v>14</v>
      </c>
      <c r="B27" s="86" t="s">
        <v>168</v>
      </c>
      <c r="C27" s="273">
        <v>43452383.1127</v>
      </c>
      <c r="D27" s="144"/>
      <c r="E27" s="8"/>
    </row>
    <row r="28" spans="1:5">
      <c r="A28" s="142">
        <v>15</v>
      </c>
      <c r="B28" s="86" t="s">
        <v>169</v>
      </c>
      <c r="C28" s="273">
        <v>1277608.2307000002</v>
      </c>
      <c r="D28" s="144"/>
      <c r="E28" s="8"/>
    </row>
    <row r="29" spans="1:5">
      <c r="A29" s="142">
        <v>16</v>
      </c>
      <c r="B29" s="86" t="s">
        <v>170</v>
      </c>
      <c r="C29" s="273">
        <v>138030738.59119999</v>
      </c>
      <c r="D29" s="144"/>
      <c r="E29" s="8"/>
    </row>
    <row r="30" spans="1:5">
      <c r="A30" s="142">
        <v>17</v>
      </c>
      <c r="B30" s="86" t="s">
        <v>171</v>
      </c>
      <c r="C30" s="273">
        <v>0</v>
      </c>
      <c r="D30" s="144"/>
      <c r="E30" s="8"/>
    </row>
    <row r="31" spans="1:5">
      <c r="A31" s="142">
        <v>18</v>
      </c>
      <c r="B31" s="86" t="s">
        <v>172</v>
      </c>
      <c r="C31" s="273">
        <v>35815031.772299998</v>
      </c>
      <c r="D31" s="144"/>
      <c r="E31" s="8"/>
    </row>
    <row r="32" spans="1:5">
      <c r="A32" s="142">
        <v>19</v>
      </c>
      <c r="B32" s="86" t="s">
        <v>173</v>
      </c>
      <c r="C32" s="273">
        <v>6471906.4545999998</v>
      </c>
      <c r="D32" s="144"/>
      <c r="E32" s="8"/>
    </row>
    <row r="33" spans="1:5">
      <c r="A33" s="142">
        <v>20</v>
      </c>
      <c r="B33" s="86" t="s">
        <v>95</v>
      </c>
      <c r="C33" s="273">
        <v>11719458.6072</v>
      </c>
      <c r="D33" s="144"/>
      <c r="E33" s="8"/>
    </row>
    <row r="34" spans="1:5">
      <c r="A34" s="142">
        <v>20.100000000000001</v>
      </c>
      <c r="B34" s="90" t="s">
        <v>370</v>
      </c>
      <c r="C34" s="275">
        <v>633128.49609999999</v>
      </c>
      <c r="D34" s="588" t="s">
        <v>734</v>
      </c>
      <c r="E34" s="8"/>
    </row>
    <row r="35" spans="1:5">
      <c r="A35" s="142">
        <v>21</v>
      </c>
      <c r="B35" s="89" t="s">
        <v>174</v>
      </c>
      <c r="C35" s="585">
        <v>31603000</v>
      </c>
      <c r="D35" s="588" t="s">
        <v>735</v>
      </c>
      <c r="E35" s="8"/>
    </row>
    <row r="36" spans="1:5">
      <c r="A36" s="142">
        <v>21.1</v>
      </c>
      <c r="B36" s="90" t="s">
        <v>233</v>
      </c>
      <c r="C36" s="586"/>
      <c r="D36" s="587"/>
      <c r="E36" s="8"/>
    </row>
    <row r="37" spans="1:5">
      <c r="A37" s="142">
        <v>22</v>
      </c>
      <c r="B37" s="91" t="s">
        <v>175</v>
      </c>
      <c r="C37" s="276">
        <f>SUM(C26:C33)+C35</f>
        <v>338950424.13849998</v>
      </c>
      <c r="D37" s="147"/>
      <c r="E37" s="7"/>
    </row>
    <row r="38" spans="1:5">
      <c r="A38" s="142">
        <v>23</v>
      </c>
      <c r="B38" s="89" t="s">
        <v>176</v>
      </c>
      <c r="C38" s="273">
        <v>103000000</v>
      </c>
      <c r="D38" s="144" t="s">
        <v>736</v>
      </c>
      <c r="E38" s="8"/>
    </row>
    <row r="39" spans="1:5">
      <c r="A39" s="142">
        <v>24</v>
      </c>
      <c r="B39" s="89" t="s">
        <v>177</v>
      </c>
      <c r="C39" s="273">
        <v>0</v>
      </c>
      <c r="D39" s="144"/>
      <c r="E39" s="8"/>
    </row>
    <row r="40" spans="1:5">
      <c r="A40" s="142">
        <v>25</v>
      </c>
      <c r="B40" s="89" t="s">
        <v>232</v>
      </c>
      <c r="C40" s="273">
        <v>0</v>
      </c>
      <c r="D40" s="144"/>
      <c r="E40" s="8"/>
    </row>
    <row r="41" spans="1:5">
      <c r="A41" s="142">
        <v>26</v>
      </c>
      <c r="B41" s="89" t="s">
        <v>179</v>
      </c>
      <c r="C41" s="273">
        <v>0</v>
      </c>
      <c r="D41" s="144"/>
      <c r="E41" s="8"/>
    </row>
    <row r="42" spans="1:5">
      <c r="A42" s="142">
        <v>27</v>
      </c>
      <c r="B42" s="89" t="s">
        <v>180</v>
      </c>
      <c r="C42" s="273">
        <v>0</v>
      </c>
      <c r="D42" s="144"/>
      <c r="E42" s="8"/>
    </row>
    <row r="43" spans="1:5">
      <c r="A43" s="142">
        <v>28</v>
      </c>
      <c r="B43" s="89" t="s">
        <v>181</v>
      </c>
      <c r="C43" s="273">
        <v>-28408787.73</v>
      </c>
      <c r="D43" s="144" t="s">
        <v>737</v>
      </c>
      <c r="E43" s="8"/>
    </row>
    <row r="44" spans="1:5">
      <c r="A44" s="142">
        <v>29</v>
      </c>
      <c r="B44" s="89" t="s">
        <v>35</v>
      </c>
      <c r="C44" s="273">
        <v>0</v>
      </c>
      <c r="D44" s="144"/>
      <c r="E44" s="8"/>
    </row>
    <row r="45" spans="1:5" ht="15" thickBot="1">
      <c r="A45" s="149">
        <v>30</v>
      </c>
      <c r="B45" s="150" t="s">
        <v>182</v>
      </c>
      <c r="C45" s="278">
        <f>SUM(C38:C44)</f>
        <v>74591212.269999996</v>
      </c>
      <c r="D45" s="151"/>
      <c r="E45" s="7"/>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0" zoomScaleNormal="80" workbookViewId="0">
      <pane xSplit="2" ySplit="7" topLeftCell="N8" activePane="bottomRight" state="frozen"/>
      <selection pane="topRight" activeCell="C1" sqref="C1"/>
      <selection pane="bottomLeft" activeCell="A8" sqref="A8"/>
      <selection pane="bottomRight" activeCell="F15" sqref="F15"/>
    </sheetView>
  </sheetViews>
  <sheetFormatPr defaultColWidth="9.1796875" defaultRowHeight="13"/>
  <cols>
    <col min="1" max="1" width="10.54296875" style="2" bestFit="1" customWidth="1"/>
    <col min="2" max="2" width="95" style="2" customWidth="1"/>
    <col min="3" max="3" width="10.36328125" style="2" bestFit="1" customWidth="1"/>
    <col min="4" max="4" width="13.1796875" style="2" bestFit="1" customWidth="1"/>
    <col min="5" max="5" width="10.36328125" style="2" bestFit="1" customWidth="1"/>
    <col min="6" max="6" width="13.1796875" style="2" bestFit="1" customWidth="1"/>
    <col min="7" max="7" width="9.453125" style="2" bestFit="1" customWidth="1"/>
    <col min="8" max="8" width="13.1796875" style="2" bestFit="1" customWidth="1"/>
    <col min="9" max="9" width="9.453125" style="2" bestFit="1" customWidth="1"/>
    <col min="10" max="10" width="13.1796875" style="2" bestFit="1" customWidth="1"/>
    <col min="11" max="11" width="9.453125" style="2" bestFit="1" customWidth="1"/>
    <col min="12" max="12" width="13.1796875" style="2" bestFit="1" customWidth="1"/>
    <col min="13" max="13" width="11.36328125" style="2" bestFit="1" customWidth="1"/>
    <col min="14" max="14" width="13.1796875" style="2" bestFit="1" customWidth="1"/>
    <col min="15" max="15" width="9.453125" style="2" bestFit="1" customWidth="1"/>
    <col min="16" max="16" width="13.1796875" style="2" bestFit="1" customWidth="1"/>
    <col min="17" max="17" width="9.453125" style="2" bestFit="1" customWidth="1"/>
    <col min="18" max="18" width="13.1796875" style="2" bestFit="1" customWidth="1"/>
    <col min="19" max="19" width="31.54296875" style="2" bestFit="1" customWidth="1"/>
    <col min="20" max="16384" width="9.1796875" style="13"/>
  </cols>
  <sheetData>
    <row r="1" spans="1:19">
      <c r="A1" s="2" t="s">
        <v>188</v>
      </c>
      <c r="B1" s="335" t="str">
        <f>Info!C2</f>
        <v>სს " პაშა ბანკი საქართველო"</v>
      </c>
    </row>
    <row r="2" spans="1:19">
      <c r="A2" s="2" t="s">
        <v>189</v>
      </c>
      <c r="B2" s="471">
        <f>'1. key ratios'!B2</f>
        <v>44377</v>
      </c>
    </row>
    <row r="4" spans="1:19" ht="26.5" thickBot="1">
      <c r="A4" s="68" t="s">
        <v>338</v>
      </c>
      <c r="B4" s="307" t="s">
        <v>360</v>
      </c>
    </row>
    <row r="5" spans="1:19">
      <c r="A5" s="131"/>
      <c r="B5" s="133"/>
      <c r="C5" s="117" t="s">
        <v>0</v>
      </c>
      <c r="D5" s="117" t="s">
        <v>1</v>
      </c>
      <c r="E5" s="117" t="s">
        <v>2</v>
      </c>
      <c r="F5" s="117" t="s">
        <v>3</v>
      </c>
      <c r="G5" s="117" t="s">
        <v>4</v>
      </c>
      <c r="H5" s="117" t="s">
        <v>5</v>
      </c>
      <c r="I5" s="117" t="s">
        <v>238</v>
      </c>
      <c r="J5" s="117" t="s">
        <v>239</v>
      </c>
      <c r="K5" s="117" t="s">
        <v>240</v>
      </c>
      <c r="L5" s="117" t="s">
        <v>241</v>
      </c>
      <c r="M5" s="117" t="s">
        <v>242</v>
      </c>
      <c r="N5" s="117" t="s">
        <v>243</v>
      </c>
      <c r="O5" s="117" t="s">
        <v>347</v>
      </c>
      <c r="P5" s="117" t="s">
        <v>348</v>
      </c>
      <c r="Q5" s="117" t="s">
        <v>349</v>
      </c>
      <c r="R5" s="298" t="s">
        <v>350</v>
      </c>
      <c r="S5" s="118" t="s">
        <v>351</v>
      </c>
    </row>
    <row r="6" spans="1:19" ht="46.5" customHeight="1">
      <c r="A6" s="156"/>
      <c r="B6" s="757" t="s">
        <v>352</v>
      </c>
      <c r="C6" s="755">
        <v>0</v>
      </c>
      <c r="D6" s="756"/>
      <c r="E6" s="755">
        <v>0.2</v>
      </c>
      <c r="F6" s="756"/>
      <c r="G6" s="755">
        <v>0.35</v>
      </c>
      <c r="H6" s="756"/>
      <c r="I6" s="755">
        <v>0.5</v>
      </c>
      <c r="J6" s="756"/>
      <c r="K6" s="755">
        <v>0.75</v>
      </c>
      <c r="L6" s="756"/>
      <c r="M6" s="755">
        <v>1</v>
      </c>
      <c r="N6" s="756"/>
      <c r="O6" s="755">
        <v>1.5</v>
      </c>
      <c r="P6" s="756"/>
      <c r="Q6" s="755">
        <v>2.5</v>
      </c>
      <c r="R6" s="756"/>
      <c r="S6" s="753" t="s">
        <v>251</v>
      </c>
    </row>
    <row r="7" spans="1:19">
      <c r="A7" s="156"/>
      <c r="B7" s="758"/>
      <c r="C7" s="306" t="s">
        <v>345</v>
      </c>
      <c r="D7" s="306" t="s">
        <v>346</v>
      </c>
      <c r="E7" s="306" t="s">
        <v>345</v>
      </c>
      <c r="F7" s="306" t="s">
        <v>346</v>
      </c>
      <c r="G7" s="306" t="s">
        <v>345</v>
      </c>
      <c r="H7" s="306" t="s">
        <v>346</v>
      </c>
      <c r="I7" s="306" t="s">
        <v>345</v>
      </c>
      <c r="J7" s="306" t="s">
        <v>346</v>
      </c>
      <c r="K7" s="306" t="s">
        <v>345</v>
      </c>
      <c r="L7" s="306" t="s">
        <v>346</v>
      </c>
      <c r="M7" s="306" t="s">
        <v>345</v>
      </c>
      <c r="N7" s="306" t="s">
        <v>346</v>
      </c>
      <c r="O7" s="306" t="s">
        <v>345</v>
      </c>
      <c r="P7" s="306" t="s">
        <v>346</v>
      </c>
      <c r="Q7" s="306" t="s">
        <v>345</v>
      </c>
      <c r="R7" s="306" t="s">
        <v>346</v>
      </c>
      <c r="S7" s="754"/>
    </row>
    <row r="8" spans="1:19" s="160" customFormat="1">
      <c r="A8" s="121">
        <v>1</v>
      </c>
      <c r="B8" s="178" t="s">
        <v>216</v>
      </c>
      <c r="C8" s="280">
        <v>6457822.3600000003</v>
      </c>
      <c r="D8" s="280"/>
      <c r="E8" s="280">
        <v>0</v>
      </c>
      <c r="F8" s="299"/>
      <c r="G8" s="280">
        <v>0</v>
      </c>
      <c r="H8" s="280"/>
      <c r="I8" s="280">
        <v>0</v>
      </c>
      <c r="J8" s="280"/>
      <c r="K8" s="280">
        <v>0</v>
      </c>
      <c r="L8" s="280"/>
      <c r="M8" s="280">
        <v>40362247.6197</v>
      </c>
      <c r="N8" s="280"/>
      <c r="O8" s="280">
        <v>0</v>
      </c>
      <c r="P8" s="280"/>
      <c r="Q8" s="280">
        <v>0</v>
      </c>
      <c r="R8" s="299"/>
      <c r="S8" s="312">
        <f>$C$6*SUM(C8:D8)+$E$6*SUM(E8:F8)+$G$6*SUM(G8:H8)+$I$6*SUM(I8:J8)+$K$6*SUM(K8:L8)+$M$6*SUM(M8:N8)+$O$6*SUM(O8:P8)+$Q$6*SUM(Q8:R8)</f>
        <v>40362247.6197</v>
      </c>
    </row>
    <row r="9" spans="1:19" s="160" customFormat="1">
      <c r="A9" s="121">
        <v>2</v>
      </c>
      <c r="B9" s="178" t="s">
        <v>217</v>
      </c>
      <c r="C9" s="280">
        <v>0</v>
      </c>
      <c r="D9" s="280"/>
      <c r="E9" s="280">
        <v>0</v>
      </c>
      <c r="F9" s="280"/>
      <c r="G9" s="280">
        <v>0</v>
      </c>
      <c r="H9" s="280"/>
      <c r="I9" s="280">
        <v>0</v>
      </c>
      <c r="J9" s="280"/>
      <c r="K9" s="280">
        <v>0</v>
      </c>
      <c r="L9" s="280"/>
      <c r="M9" s="280">
        <v>0</v>
      </c>
      <c r="N9" s="280"/>
      <c r="O9" s="280">
        <v>0</v>
      </c>
      <c r="P9" s="280"/>
      <c r="Q9" s="280">
        <v>0</v>
      </c>
      <c r="R9" s="299"/>
      <c r="S9" s="312">
        <f t="shared" ref="S9:S21" si="0">$C$6*SUM(C9:D9)+$E$6*SUM(E9:F9)+$G$6*SUM(G9:H9)+$I$6*SUM(I9:J9)+$K$6*SUM(K9:L9)+$M$6*SUM(M9:N9)+$O$6*SUM(O9:P9)+$Q$6*SUM(Q9:R9)</f>
        <v>0</v>
      </c>
    </row>
    <row r="10" spans="1:19" s="160" customFormat="1">
      <c r="A10" s="121">
        <v>3</v>
      </c>
      <c r="B10" s="178" t="s">
        <v>218</v>
      </c>
      <c r="C10" s="280">
        <v>0</v>
      </c>
      <c r="D10" s="280"/>
      <c r="E10" s="280">
        <v>0</v>
      </c>
      <c r="F10" s="280"/>
      <c r="G10" s="280">
        <v>0</v>
      </c>
      <c r="H10" s="280"/>
      <c r="I10" s="280">
        <v>0</v>
      </c>
      <c r="J10" s="280"/>
      <c r="K10" s="280">
        <v>0</v>
      </c>
      <c r="L10" s="280"/>
      <c r="M10" s="280">
        <v>0</v>
      </c>
      <c r="N10" s="280"/>
      <c r="O10" s="280">
        <v>0</v>
      </c>
      <c r="P10" s="280"/>
      <c r="Q10" s="280">
        <v>0</v>
      </c>
      <c r="R10" s="299"/>
      <c r="S10" s="312">
        <f t="shared" si="0"/>
        <v>0</v>
      </c>
    </row>
    <row r="11" spans="1:19" s="160" customFormat="1">
      <c r="A11" s="121">
        <v>4</v>
      </c>
      <c r="B11" s="178" t="s">
        <v>219</v>
      </c>
      <c r="C11" s="280">
        <v>0</v>
      </c>
      <c r="D11" s="280"/>
      <c r="E11" s="280">
        <v>0</v>
      </c>
      <c r="F11" s="280"/>
      <c r="G11" s="280">
        <v>0</v>
      </c>
      <c r="H11" s="280"/>
      <c r="I11" s="280">
        <v>0</v>
      </c>
      <c r="J11" s="280"/>
      <c r="K11" s="280">
        <v>0</v>
      </c>
      <c r="L11" s="280"/>
      <c r="M11" s="280">
        <v>0</v>
      </c>
      <c r="N11" s="280"/>
      <c r="O11" s="280">
        <v>0</v>
      </c>
      <c r="P11" s="280"/>
      <c r="Q11" s="280">
        <v>0</v>
      </c>
      <c r="R11" s="299"/>
      <c r="S11" s="312">
        <f t="shared" si="0"/>
        <v>0</v>
      </c>
    </row>
    <row r="12" spans="1:19" s="160" customFormat="1">
      <c r="A12" s="121">
        <v>5</v>
      </c>
      <c r="B12" s="178" t="s">
        <v>220</v>
      </c>
      <c r="C12" s="280">
        <v>0</v>
      </c>
      <c r="D12" s="280"/>
      <c r="E12" s="280">
        <v>0</v>
      </c>
      <c r="F12" s="280"/>
      <c r="G12" s="280">
        <v>0</v>
      </c>
      <c r="H12" s="280"/>
      <c r="I12" s="280">
        <v>0</v>
      </c>
      <c r="J12" s="280"/>
      <c r="K12" s="280">
        <v>0</v>
      </c>
      <c r="L12" s="280"/>
      <c r="M12" s="280">
        <v>0</v>
      </c>
      <c r="N12" s="280"/>
      <c r="O12" s="280">
        <v>0</v>
      </c>
      <c r="P12" s="280"/>
      <c r="Q12" s="280">
        <v>0</v>
      </c>
      <c r="R12" s="299"/>
      <c r="S12" s="312">
        <f t="shared" si="0"/>
        <v>0</v>
      </c>
    </row>
    <row r="13" spans="1:19" s="160" customFormat="1">
      <c r="A13" s="121">
        <v>6</v>
      </c>
      <c r="B13" s="178" t="s">
        <v>221</v>
      </c>
      <c r="C13" s="280">
        <v>0</v>
      </c>
      <c r="D13" s="280"/>
      <c r="E13" s="280">
        <v>28997570.593400002</v>
      </c>
      <c r="F13" s="280"/>
      <c r="G13" s="280">
        <v>0</v>
      </c>
      <c r="H13" s="280"/>
      <c r="I13" s="280">
        <v>7049367.4923999999</v>
      </c>
      <c r="J13" s="280"/>
      <c r="K13" s="280">
        <v>0</v>
      </c>
      <c r="L13" s="280"/>
      <c r="M13" s="280">
        <v>0</v>
      </c>
      <c r="N13" s="280">
        <v>147000</v>
      </c>
      <c r="O13" s="280">
        <v>0</v>
      </c>
      <c r="P13" s="280"/>
      <c r="Q13" s="280">
        <v>0</v>
      </c>
      <c r="R13" s="299"/>
      <c r="S13" s="312">
        <f t="shared" si="0"/>
        <v>9471197.8648799993</v>
      </c>
    </row>
    <row r="14" spans="1:19" s="160" customFormat="1">
      <c r="A14" s="121">
        <v>7</v>
      </c>
      <c r="B14" s="178" t="s">
        <v>73</v>
      </c>
      <c r="C14" s="280">
        <v>0</v>
      </c>
      <c r="D14" s="280"/>
      <c r="E14" s="280">
        <v>0</v>
      </c>
      <c r="F14" s="280"/>
      <c r="G14" s="280">
        <v>0</v>
      </c>
      <c r="H14" s="280"/>
      <c r="I14" s="280">
        <v>0</v>
      </c>
      <c r="J14" s="280"/>
      <c r="K14" s="280">
        <v>0</v>
      </c>
      <c r="L14" s="280"/>
      <c r="M14" s="280">
        <v>252353618.24329999</v>
      </c>
      <c r="N14" s="280">
        <v>17085705.100699998</v>
      </c>
      <c r="O14" s="280">
        <v>0</v>
      </c>
      <c r="P14" s="280"/>
      <c r="Q14" s="280">
        <v>0</v>
      </c>
      <c r="R14" s="299"/>
      <c r="S14" s="312">
        <f t="shared" si="0"/>
        <v>269439323.34399998</v>
      </c>
    </row>
    <row r="15" spans="1:19" s="160" customFormat="1">
      <c r="A15" s="121">
        <v>8</v>
      </c>
      <c r="B15" s="178" t="s">
        <v>74</v>
      </c>
      <c r="C15" s="280">
        <v>0</v>
      </c>
      <c r="D15" s="280"/>
      <c r="E15" s="280">
        <v>0</v>
      </c>
      <c r="F15" s="280"/>
      <c r="G15" s="280">
        <v>0</v>
      </c>
      <c r="H15" s="280"/>
      <c r="I15" s="280">
        <v>0</v>
      </c>
      <c r="J15" s="280"/>
      <c r="K15" s="280">
        <v>0</v>
      </c>
      <c r="L15" s="280"/>
      <c r="M15" s="280">
        <v>15014877.2837</v>
      </c>
      <c r="N15" s="280">
        <v>2167955.1301000002</v>
      </c>
      <c r="O15" s="280">
        <v>0</v>
      </c>
      <c r="P15" s="280"/>
      <c r="Q15" s="280">
        <v>0</v>
      </c>
      <c r="R15" s="299"/>
      <c r="S15" s="312">
        <f t="shared" si="0"/>
        <v>17182832.413800001</v>
      </c>
    </row>
    <row r="16" spans="1:19" s="160" customFormat="1">
      <c r="A16" s="121">
        <v>9</v>
      </c>
      <c r="B16" s="178" t="s">
        <v>75</v>
      </c>
      <c r="C16" s="280">
        <v>0</v>
      </c>
      <c r="D16" s="280"/>
      <c r="E16" s="280">
        <v>0</v>
      </c>
      <c r="F16" s="280"/>
      <c r="G16" s="280">
        <v>0</v>
      </c>
      <c r="H16" s="280"/>
      <c r="I16" s="280">
        <v>0</v>
      </c>
      <c r="J16" s="280"/>
      <c r="K16" s="280">
        <v>0</v>
      </c>
      <c r="L16" s="280"/>
      <c r="M16" s="280">
        <v>0</v>
      </c>
      <c r="N16" s="280"/>
      <c r="O16" s="280">
        <v>0</v>
      </c>
      <c r="P16" s="280"/>
      <c r="Q16" s="280">
        <v>0</v>
      </c>
      <c r="R16" s="299"/>
      <c r="S16" s="312">
        <f t="shared" si="0"/>
        <v>0</v>
      </c>
    </row>
    <row r="17" spans="1:19" s="160" customFormat="1">
      <c r="A17" s="121">
        <v>10</v>
      </c>
      <c r="B17" s="178" t="s">
        <v>69</v>
      </c>
      <c r="C17" s="280">
        <v>0</v>
      </c>
      <c r="D17" s="280"/>
      <c r="E17" s="280">
        <v>0</v>
      </c>
      <c r="F17" s="280"/>
      <c r="G17" s="280">
        <v>0</v>
      </c>
      <c r="H17" s="280"/>
      <c r="I17" s="280">
        <v>0</v>
      </c>
      <c r="J17" s="280"/>
      <c r="K17" s="280">
        <v>0</v>
      </c>
      <c r="L17" s="280"/>
      <c r="M17" s="280">
        <v>48150783.622500002</v>
      </c>
      <c r="N17" s="280"/>
      <c r="O17" s="280">
        <v>0</v>
      </c>
      <c r="P17" s="280"/>
      <c r="Q17" s="280">
        <v>0</v>
      </c>
      <c r="R17" s="299"/>
      <c r="S17" s="312">
        <f t="shared" si="0"/>
        <v>48150783.622500002</v>
      </c>
    </row>
    <row r="18" spans="1:19" s="160" customFormat="1">
      <c r="A18" s="121">
        <v>11</v>
      </c>
      <c r="B18" s="178" t="s">
        <v>70</v>
      </c>
      <c r="C18" s="280">
        <v>0</v>
      </c>
      <c r="D18" s="280"/>
      <c r="E18" s="280">
        <v>0</v>
      </c>
      <c r="F18" s="280"/>
      <c r="G18" s="280">
        <v>0</v>
      </c>
      <c r="H18" s="280"/>
      <c r="I18" s="280">
        <v>0</v>
      </c>
      <c r="J18" s="280"/>
      <c r="K18" s="280">
        <v>0</v>
      </c>
      <c r="L18" s="280"/>
      <c r="M18" s="280">
        <v>0</v>
      </c>
      <c r="N18" s="280"/>
      <c r="O18" s="280">
        <v>0</v>
      </c>
      <c r="P18" s="280"/>
      <c r="Q18" s="280">
        <v>0</v>
      </c>
      <c r="R18" s="299"/>
      <c r="S18" s="312">
        <f t="shared" si="0"/>
        <v>0</v>
      </c>
    </row>
    <row r="19" spans="1:19" s="160" customFormat="1">
      <c r="A19" s="121">
        <v>12</v>
      </c>
      <c r="B19" s="178" t="s">
        <v>71</v>
      </c>
      <c r="C19" s="280">
        <v>0</v>
      </c>
      <c r="D19" s="280"/>
      <c r="E19" s="280">
        <v>0</v>
      </c>
      <c r="F19" s="280"/>
      <c r="G19" s="280">
        <v>0</v>
      </c>
      <c r="H19" s="280"/>
      <c r="I19" s="280">
        <v>0</v>
      </c>
      <c r="J19" s="280"/>
      <c r="K19" s="280">
        <v>0</v>
      </c>
      <c r="L19" s="280"/>
      <c r="M19" s="280">
        <v>0</v>
      </c>
      <c r="N19" s="280"/>
      <c r="O19" s="280">
        <v>0</v>
      </c>
      <c r="P19" s="280"/>
      <c r="Q19" s="280">
        <v>0</v>
      </c>
      <c r="R19" s="299"/>
      <c r="S19" s="312">
        <f t="shared" si="0"/>
        <v>0</v>
      </c>
    </row>
    <row r="20" spans="1:19" s="160" customFormat="1">
      <c r="A20" s="121">
        <v>13</v>
      </c>
      <c r="B20" s="178" t="s">
        <v>72</v>
      </c>
      <c r="C20" s="280">
        <v>0</v>
      </c>
      <c r="D20" s="280"/>
      <c r="E20" s="280">
        <v>0</v>
      </c>
      <c r="F20" s="280"/>
      <c r="G20" s="280">
        <v>0</v>
      </c>
      <c r="H20" s="280"/>
      <c r="I20" s="280">
        <v>0</v>
      </c>
      <c r="J20" s="280"/>
      <c r="K20" s="280">
        <v>0</v>
      </c>
      <c r="L20" s="280"/>
      <c r="M20" s="280">
        <v>0</v>
      </c>
      <c r="N20" s="280"/>
      <c r="O20" s="280">
        <v>0</v>
      </c>
      <c r="P20" s="280"/>
      <c r="Q20" s="280">
        <v>0</v>
      </c>
      <c r="R20" s="299"/>
      <c r="S20" s="312">
        <f t="shared" si="0"/>
        <v>0</v>
      </c>
    </row>
    <row r="21" spans="1:19" s="160" customFormat="1">
      <c r="A21" s="121">
        <v>14</v>
      </c>
      <c r="B21" s="178" t="s">
        <v>249</v>
      </c>
      <c r="C21" s="280">
        <v>5147427.1094000004</v>
      </c>
      <c r="D21" s="280"/>
      <c r="E21" s="280">
        <v>0</v>
      </c>
      <c r="F21" s="280"/>
      <c r="G21" s="280">
        <v>0</v>
      </c>
      <c r="H21" s="280"/>
      <c r="I21" s="280">
        <v>0</v>
      </c>
      <c r="J21" s="280"/>
      <c r="K21" s="280">
        <v>0</v>
      </c>
      <c r="L21" s="280"/>
      <c r="M21" s="280">
        <v>14265663.398800001</v>
      </c>
      <c r="N21" s="280"/>
      <c r="O21" s="280">
        <v>0</v>
      </c>
      <c r="P21" s="280"/>
      <c r="Q21" s="280">
        <v>0</v>
      </c>
      <c r="R21" s="299"/>
      <c r="S21" s="312">
        <f t="shared" si="0"/>
        <v>14265663.398800001</v>
      </c>
    </row>
    <row r="22" spans="1:19" ht="13.5" thickBot="1">
      <c r="A22" s="103"/>
      <c r="B22" s="162" t="s">
        <v>68</v>
      </c>
      <c r="C22" s="281">
        <f>SUM(C8:C21)</f>
        <v>11605249.4694</v>
      </c>
      <c r="D22" s="281">
        <f t="shared" ref="D22:S22" si="1">SUM(D8:D21)</f>
        <v>0</v>
      </c>
      <c r="E22" s="281">
        <f t="shared" si="1"/>
        <v>28997570.593400002</v>
      </c>
      <c r="F22" s="281">
        <f t="shared" si="1"/>
        <v>0</v>
      </c>
      <c r="G22" s="281">
        <f t="shared" si="1"/>
        <v>0</v>
      </c>
      <c r="H22" s="281">
        <f t="shared" si="1"/>
        <v>0</v>
      </c>
      <c r="I22" s="281">
        <f t="shared" si="1"/>
        <v>7049367.4923999999</v>
      </c>
      <c r="J22" s="281">
        <f t="shared" si="1"/>
        <v>0</v>
      </c>
      <c r="K22" s="281">
        <f t="shared" si="1"/>
        <v>0</v>
      </c>
      <c r="L22" s="281">
        <f t="shared" si="1"/>
        <v>0</v>
      </c>
      <c r="M22" s="281">
        <f t="shared" si="1"/>
        <v>370147190.16799998</v>
      </c>
      <c r="N22" s="281">
        <f t="shared" si="1"/>
        <v>19400660.230799999</v>
      </c>
      <c r="O22" s="281">
        <f t="shared" si="1"/>
        <v>0</v>
      </c>
      <c r="P22" s="281">
        <f t="shared" si="1"/>
        <v>0</v>
      </c>
      <c r="Q22" s="281">
        <f t="shared" si="1"/>
        <v>0</v>
      </c>
      <c r="R22" s="281">
        <f t="shared" si="1"/>
        <v>0</v>
      </c>
      <c r="S22" s="590">
        <f t="shared" si="1"/>
        <v>398872048.26367998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0" zoomScaleNormal="80" workbookViewId="0">
      <pane xSplit="2" ySplit="6" topLeftCell="C7" activePane="bottomRight" state="frozen"/>
      <selection pane="topRight" activeCell="C1" sqref="C1"/>
      <selection pane="bottomLeft" activeCell="A6" sqref="A6"/>
      <selection pane="bottomRight" activeCell="K20" sqref="K20"/>
    </sheetView>
  </sheetViews>
  <sheetFormatPr defaultColWidth="9.1796875" defaultRowHeight="13"/>
  <cols>
    <col min="1" max="1" width="10.54296875" style="2" bestFit="1" customWidth="1"/>
    <col min="2" max="2" width="74.54296875" style="2" customWidth="1"/>
    <col min="3" max="3" width="19" style="2" customWidth="1"/>
    <col min="4" max="4" width="19.54296875" style="2" customWidth="1"/>
    <col min="5" max="5" width="31.1796875" style="2" customWidth="1"/>
    <col min="6" max="6" width="29.1796875" style="2" customWidth="1"/>
    <col min="7" max="7" width="28.54296875" style="2" customWidth="1"/>
    <col min="8" max="8" width="26.453125" style="2" customWidth="1"/>
    <col min="9" max="9" width="23.81640625" style="2" customWidth="1"/>
    <col min="10" max="10" width="21.54296875" style="2" customWidth="1"/>
    <col min="11" max="11" width="15.81640625" style="2" customWidth="1"/>
    <col min="12" max="12" width="13.1796875" style="2" customWidth="1"/>
    <col min="13" max="13" width="20.81640625" style="2" customWidth="1"/>
    <col min="14" max="14" width="19.1796875" style="2" customWidth="1"/>
    <col min="15" max="15" width="18.453125" style="2" customWidth="1"/>
    <col min="16" max="16" width="19" style="2" customWidth="1"/>
    <col min="17" max="17" width="20.1796875" style="2" customWidth="1"/>
    <col min="18" max="18" width="18" style="2" customWidth="1"/>
    <col min="19" max="19" width="36" style="2" customWidth="1"/>
    <col min="20" max="20" width="19.453125" style="2" customWidth="1"/>
    <col min="21" max="21" width="19.1796875" style="2" customWidth="1"/>
    <col min="22" max="22" width="20" style="2" customWidth="1"/>
    <col min="23" max="16384" width="9.1796875" style="13"/>
  </cols>
  <sheetData>
    <row r="1" spans="1:22">
      <c r="A1" s="2" t="s">
        <v>188</v>
      </c>
      <c r="B1" s="335" t="str">
        <f>Info!C2</f>
        <v>სს " პაშა ბანკი საქართველო"</v>
      </c>
    </row>
    <row r="2" spans="1:22">
      <c r="A2" s="2" t="s">
        <v>189</v>
      </c>
      <c r="B2" s="471">
        <f>'1. key ratios'!B2</f>
        <v>44377</v>
      </c>
    </row>
    <row r="4" spans="1:22" ht="27" thickBot="1">
      <c r="A4" s="2" t="s">
        <v>339</v>
      </c>
      <c r="B4" s="308" t="s">
        <v>361</v>
      </c>
      <c r="V4" s="204" t="s">
        <v>93</v>
      </c>
    </row>
    <row r="5" spans="1:22">
      <c r="A5" s="101"/>
      <c r="B5" s="102"/>
      <c r="C5" s="759" t="s">
        <v>198</v>
      </c>
      <c r="D5" s="760"/>
      <c r="E5" s="760"/>
      <c r="F5" s="760"/>
      <c r="G5" s="760"/>
      <c r="H5" s="760"/>
      <c r="I5" s="760"/>
      <c r="J5" s="760"/>
      <c r="K5" s="760"/>
      <c r="L5" s="761"/>
      <c r="M5" s="759" t="s">
        <v>199</v>
      </c>
      <c r="N5" s="760"/>
      <c r="O5" s="760"/>
      <c r="P5" s="760"/>
      <c r="Q5" s="760"/>
      <c r="R5" s="760"/>
      <c r="S5" s="761"/>
      <c r="T5" s="764" t="s">
        <v>359</v>
      </c>
      <c r="U5" s="764" t="s">
        <v>358</v>
      </c>
      <c r="V5" s="762" t="s">
        <v>200</v>
      </c>
    </row>
    <row r="6" spans="1:22" s="68" customFormat="1" ht="130">
      <c r="A6" s="119"/>
      <c r="B6" s="180"/>
      <c r="C6" s="99" t="s">
        <v>201</v>
      </c>
      <c r="D6" s="98" t="s">
        <v>202</v>
      </c>
      <c r="E6" s="95" t="s">
        <v>203</v>
      </c>
      <c r="F6" s="309" t="s">
        <v>353</v>
      </c>
      <c r="G6" s="98" t="s">
        <v>204</v>
      </c>
      <c r="H6" s="98" t="s">
        <v>205</v>
      </c>
      <c r="I6" s="98" t="s">
        <v>206</v>
      </c>
      <c r="J6" s="98" t="s">
        <v>248</v>
      </c>
      <c r="K6" s="98" t="s">
        <v>207</v>
      </c>
      <c r="L6" s="100" t="s">
        <v>208</v>
      </c>
      <c r="M6" s="99" t="s">
        <v>209</v>
      </c>
      <c r="N6" s="98" t="s">
        <v>210</v>
      </c>
      <c r="O6" s="98" t="s">
        <v>211</v>
      </c>
      <c r="P6" s="98" t="s">
        <v>212</v>
      </c>
      <c r="Q6" s="98" t="s">
        <v>213</v>
      </c>
      <c r="R6" s="98" t="s">
        <v>214</v>
      </c>
      <c r="S6" s="100" t="s">
        <v>215</v>
      </c>
      <c r="T6" s="765"/>
      <c r="U6" s="765"/>
      <c r="V6" s="763"/>
    </row>
    <row r="7" spans="1:22" s="160" customFormat="1">
      <c r="A7" s="161">
        <v>1</v>
      </c>
      <c r="B7" s="159" t="s">
        <v>216</v>
      </c>
      <c r="C7" s="282"/>
      <c r="D7" s="280"/>
      <c r="E7" s="280"/>
      <c r="F7" s="280"/>
      <c r="G7" s="280"/>
      <c r="H7" s="280"/>
      <c r="I7" s="280"/>
      <c r="J7" s="280"/>
      <c r="K7" s="280"/>
      <c r="L7" s="283"/>
      <c r="M7" s="282"/>
      <c r="N7" s="280"/>
      <c r="O7" s="280"/>
      <c r="P7" s="280"/>
      <c r="Q7" s="280"/>
      <c r="R7" s="280"/>
      <c r="S7" s="283"/>
      <c r="T7" s="303"/>
      <c r="U7" s="302"/>
      <c r="V7" s="284">
        <f>SUM(C7:S7)</f>
        <v>0</v>
      </c>
    </row>
    <row r="8" spans="1:22" s="160" customFormat="1">
      <c r="A8" s="161">
        <v>2</v>
      </c>
      <c r="B8" s="159" t="s">
        <v>217</v>
      </c>
      <c r="C8" s="282"/>
      <c r="D8" s="280"/>
      <c r="E8" s="280"/>
      <c r="F8" s="280"/>
      <c r="G8" s="280"/>
      <c r="H8" s="280"/>
      <c r="I8" s="280"/>
      <c r="J8" s="280"/>
      <c r="K8" s="280"/>
      <c r="L8" s="283"/>
      <c r="M8" s="282"/>
      <c r="N8" s="280"/>
      <c r="O8" s="280"/>
      <c r="P8" s="280"/>
      <c r="Q8" s="280"/>
      <c r="R8" s="280"/>
      <c r="S8" s="283"/>
      <c r="T8" s="302"/>
      <c r="U8" s="302"/>
      <c r="V8" s="284">
        <f t="shared" ref="V8:V20" si="0">SUM(C8:S8)</f>
        <v>0</v>
      </c>
    </row>
    <row r="9" spans="1:22" s="160" customFormat="1">
      <c r="A9" s="161">
        <v>3</v>
      </c>
      <c r="B9" s="159" t="s">
        <v>218</v>
      </c>
      <c r="C9" s="282"/>
      <c r="D9" s="280"/>
      <c r="E9" s="280"/>
      <c r="F9" s="280"/>
      <c r="G9" s="280"/>
      <c r="H9" s="280"/>
      <c r="I9" s="280"/>
      <c r="J9" s="280"/>
      <c r="K9" s="280"/>
      <c r="L9" s="283"/>
      <c r="M9" s="282"/>
      <c r="N9" s="280"/>
      <c r="O9" s="280"/>
      <c r="P9" s="280"/>
      <c r="Q9" s="280"/>
      <c r="R9" s="280"/>
      <c r="S9" s="283"/>
      <c r="T9" s="302"/>
      <c r="U9" s="302"/>
      <c r="V9" s="284">
        <f>SUM(C9:S9)</f>
        <v>0</v>
      </c>
    </row>
    <row r="10" spans="1:22" s="160" customFormat="1">
      <c r="A10" s="161">
        <v>4</v>
      </c>
      <c r="B10" s="159" t="s">
        <v>219</v>
      </c>
      <c r="C10" s="282"/>
      <c r="D10" s="280"/>
      <c r="E10" s="280"/>
      <c r="F10" s="280"/>
      <c r="G10" s="280"/>
      <c r="H10" s="280"/>
      <c r="I10" s="280"/>
      <c r="J10" s="280"/>
      <c r="K10" s="280"/>
      <c r="L10" s="283"/>
      <c r="M10" s="282"/>
      <c r="N10" s="280"/>
      <c r="O10" s="280"/>
      <c r="P10" s="280"/>
      <c r="Q10" s="280"/>
      <c r="R10" s="280"/>
      <c r="S10" s="283"/>
      <c r="T10" s="302"/>
      <c r="U10" s="302"/>
      <c r="V10" s="284">
        <f t="shared" si="0"/>
        <v>0</v>
      </c>
    </row>
    <row r="11" spans="1:22" s="160" customFormat="1">
      <c r="A11" s="161">
        <v>5</v>
      </c>
      <c r="B11" s="159" t="s">
        <v>220</v>
      </c>
      <c r="C11" s="282"/>
      <c r="D11" s="280"/>
      <c r="E11" s="280"/>
      <c r="F11" s="280"/>
      <c r="G11" s="280"/>
      <c r="H11" s="280"/>
      <c r="I11" s="280"/>
      <c r="J11" s="280"/>
      <c r="K11" s="280"/>
      <c r="L11" s="283"/>
      <c r="M11" s="282"/>
      <c r="N11" s="280"/>
      <c r="O11" s="280"/>
      <c r="P11" s="280"/>
      <c r="Q11" s="280"/>
      <c r="R11" s="280"/>
      <c r="S11" s="283"/>
      <c r="T11" s="302"/>
      <c r="U11" s="302"/>
      <c r="V11" s="284">
        <f t="shared" si="0"/>
        <v>0</v>
      </c>
    </row>
    <row r="12" spans="1:22" s="160" customFormat="1">
      <c r="A12" s="161">
        <v>6</v>
      </c>
      <c r="B12" s="159" t="s">
        <v>221</v>
      </c>
      <c r="C12" s="282"/>
      <c r="D12" s="280"/>
      <c r="E12" s="280"/>
      <c r="F12" s="280"/>
      <c r="G12" s="280"/>
      <c r="H12" s="280"/>
      <c r="I12" s="280"/>
      <c r="J12" s="280"/>
      <c r="K12" s="280"/>
      <c r="L12" s="283"/>
      <c r="M12" s="282"/>
      <c r="N12" s="280"/>
      <c r="O12" s="280"/>
      <c r="P12" s="280"/>
      <c r="Q12" s="280"/>
      <c r="R12" s="280"/>
      <c r="S12" s="283"/>
      <c r="T12" s="302"/>
      <c r="U12" s="302"/>
      <c r="V12" s="284">
        <f t="shared" si="0"/>
        <v>0</v>
      </c>
    </row>
    <row r="13" spans="1:22" s="160" customFormat="1">
      <c r="A13" s="161">
        <v>7</v>
      </c>
      <c r="B13" s="159" t="s">
        <v>73</v>
      </c>
      <c r="C13" s="282"/>
      <c r="D13" s="280"/>
      <c r="E13" s="280"/>
      <c r="F13" s="280"/>
      <c r="G13" s="280"/>
      <c r="H13" s="280"/>
      <c r="I13" s="280"/>
      <c r="J13" s="280"/>
      <c r="K13" s="280"/>
      <c r="L13" s="283"/>
      <c r="M13" s="282"/>
      <c r="N13" s="280"/>
      <c r="O13" s="280"/>
      <c r="P13" s="280"/>
      <c r="Q13" s="280"/>
      <c r="R13" s="280"/>
      <c r="S13" s="283"/>
      <c r="T13" s="302"/>
      <c r="U13" s="302"/>
      <c r="V13" s="284">
        <f t="shared" si="0"/>
        <v>0</v>
      </c>
    </row>
    <row r="14" spans="1:22" s="160" customFormat="1">
      <c r="A14" s="161">
        <v>8</v>
      </c>
      <c r="B14" s="159" t="s">
        <v>74</v>
      </c>
      <c r="C14" s="282"/>
      <c r="D14" s="280"/>
      <c r="E14" s="280"/>
      <c r="F14" s="280"/>
      <c r="G14" s="280"/>
      <c r="H14" s="280"/>
      <c r="I14" s="280"/>
      <c r="J14" s="280"/>
      <c r="K14" s="280"/>
      <c r="L14" s="283"/>
      <c r="M14" s="282"/>
      <c r="N14" s="280"/>
      <c r="O14" s="280"/>
      <c r="P14" s="280"/>
      <c r="Q14" s="280"/>
      <c r="R14" s="280"/>
      <c r="S14" s="283"/>
      <c r="T14" s="302"/>
      <c r="U14" s="302"/>
      <c r="V14" s="284">
        <f t="shared" si="0"/>
        <v>0</v>
      </c>
    </row>
    <row r="15" spans="1:22" s="160" customFormat="1">
      <c r="A15" s="161">
        <v>9</v>
      </c>
      <c r="B15" s="159" t="s">
        <v>75</v>
      </c>
      <c r="C15" s="282"/>
      <c r="D15" s="280"/>
      <c r="E15" s="280"/>
      <c r="F15" s="280"/>
      <c r="G15" s="280"/>
      <c r="H15" s="280"/>
      <c r="I15" s="280"/>
      <c r="J15" s="280"/>
      <c r="K15" s="280"/>
      <c r="L15" s="283"/>
      <c r="M15" s="282"/>
      <c r="N15" s="280"/>
      <c r="O15" s="280"/>
      <c r="P15" s="280"/>
      <c r="Q15" s="280"/>
      <c r="R15" s="280"/>
      <c r="S15" s="283"/>
      <c r="T15" s="302"/>
      <c r="U15" s="302"/>
      <c r="V15" s="284">
        <f t="shared" si="0"/>
        <v>0</v>
      </c>
    </row>
    <row r="16" spans="1:22" s="160" customFormat="1">
      <c r="A16" s="161">
        <v>10</v>
      </c>
      <c r="B16" s="159" t="s">
        <v>69</v>
      </c>
      <c r="C16" s="282"/>
      <c r="D16" s="280"/>
      <c r="E16" s="280"/>
      <c r="F16" s="280"/>
      <c r="G16" s="280"/>
      <c r="H16" s="280"/>
      <c r="I16" s="280"/>
      <c r="J16" s="280"/>
      <c r="K16" s="280"/>
      <c r="L16" s="283"/>
      <c r="M16" s="282"/>
      <c r="N16" s="280"/>
      <c r="O16" s="280"/>
      <c r="P16" s="280"/>
      <c r="Q16" s="280"/>
      <c r="R16" s="280"/>
      <c r="S16" s="283"/>
      <c r="T16" s="302"/>
      <c r="U16" s="302"/>
      <c r="V16" s="284">
        <f t="shared" si="0"/>
        <v>0</v>
      </c>
    </row>
    <row r="17" spans="1:22" s="160" customFormat="1">
      <c r="A17" s="161">
        <v>11</v>
      </c>
      <c r="B17" s="159" t="s">
        <v>70</v>
      </c>
      <c r="C17" s="282"/>
      <c r="D17" s="280"/>
      <c r="E17" s="280"/>
      <c r="F17" s="280"/>
      <c r="G17" s="280"/>
      <c r="H17" s="280"/>
      <c r="I17" s="280"/>
      <c r="J17" s="280"/>
      <c r="K17" s="280"/>
      <c r="L17" s="283"/>
      <c r="M17" s="282"/>
      <c r="N17" s="280"/>
      <c r="O17" s="280"/>
      <c r="P17" s="280"/>
      <c r="Q17" s="280"/>
      <c r="R17" s="280"/>
      <c r="S17" s="283"/>
      <c r="T17" s="302"/>
      <c r="U17" s="302"/>
      <c r="V17" s="284">
        <f t="shared" si="0"/>
        <v>0</v>
      </c>
    </row>
    <row r="18" spans="1:22" s="160" customFormat="1">
      <c r="A18" s="161">
        <v>12</v>
      </c>
      <c r="B18" s="159" t="s">
        <v>71</v>
      </c>
      <c r="C18" s="282"/>
      <c r="D18" s="280"/>
      <c r="E18" s="280"/>
      <c r="F18" s="280"/>
      <c r="G18" s="280"/>
      <c r="H18" s="280"/>
      <c r="I18" s="280"/>
      <c r="J18" s="280"/>
      <c r="K18" s="280"/>
      <c r="L18" s="283"/>
      <c r="M18" s="282"/>
      <c r="N18" s="280"/>
      <c r="O18" s="280"/>
      <c r="P18" s="280"/>
      <c r="Q18" s="280"/>
      <c r="R18" s="280"/>
      <c r="S18" s="283"/>
      <c r="T18" s="302"/>
      <c r="U18" s="302"/>
      <c r="V18" s="284">
        <f t="shared" si="0"/>
        <v>0</v>
      </c>
    </row>
    <row r="19" spans="1:22" s="160" customFormat="1">
      <c r="A19" s="161">
        <v>13</v>
      </c>
      <c r="B19" s="159" t="s">
        <v>72</v>
      </c>
      <c r="C19" s="282"/>
      <c r="D19" s="280"/>
      <c r="E19" s="280"/>
      <c r="F19" s="280"/>
      <c r="G19" s="280"/>
      <c r="H19" s="280"/>
      <c r="I19" s="280"/>
      <c r="J19" s="280"/>
      <c r="K19" s="280"/>
      <c r="L19" s="283"/>
      <c r="M19" s="282"/>
      <c r="N19" s="280"/>
      <c r="O19" s="280"/>
      <c r="P19" s="280"/>
      <c r="Q19" s="280"/>
      <c r="R19" s="280"/>
      <c r="S19" s="283"/>
      <c r="T19" s="302"/>
      <c r="U19" s="302"/>
      <c r="V19" s="284">
        <f t="shared" si="0"/>
        <v>0</v>
      </c>
    </row>
    <row r="20" spans="1:22" s="160" customFormat="1">
      <c r="A20" s="161">
        <v>14</v>
      </c>
      <c r="B20" s="159" t="s">
        <v>249</v>
      </c>
      <c r="C20" s="282"/>
      <c r="D20" s="280"/>
      <c r="E20" s="280"/>
      <c r="F20" s="280"/>
      <c r="G20" s="280"/>
      <c r="H20" s="280"/>
      <c r="I20" s="280"/>
      <c r="J20" s="280"/>
      <c r="K20" s="280"/>
      <c r="L20" s="283"/>
      <c r="M20" s="282"/>
      <c r="N20" s="280"/>
      <c r="O20" s="280"/>
      <c r="P20" s="280"/>
      <c r="Q20" s="280"/>
      <c r="R20" s="280"/>
      <c r="S20" s="283"/>
      <c r="T20" s="302"/>
      <c r="U20" s="302"/>
      <c r="V20" s="284">
        <f t="shared" si="0"/>
        <v>0</v>
      </c>
    </row>
    <row r="21" spans="1:22" ht="13.5" thickBot="1">
      <c r="A21" s="103"/>
      <c r="B21" s="104" t="s">
        <v>68</v>
      </c>
      <c r="C21" s="285">
        <f>SUM(C7:C20)</f>
        <v>0</v>
      </c>
      <c r="D21" s="281">
        <f t="shared" ref="D21:V21" si="1">SUM(D7:D20)</f>
        <v>0</v>
      </c>
      <c r="E21" s="281">
        <f t="shared" si="1"/>
        <v>0</v>
      </c>
      <c r="F21" s="281">
        <f t="shared" si="1"/>
        <v>0</v>
      </c>
      <c r="G21" s="281">
        <f t="shared" si="1"/>
        <v>0</v>
      </c>
      <c r="H21" s="281">
        <f t="shared" si="1"/>
        <v>0</v>
      </c>
      <c r="I21" s="281">
        <f t="shared" si="1"/>
        <v>0</v>
      </c>
      <c r="J21" s="281">
        <f t="shared" si="1"/>
        <v>0</v>
      </c>
      <c r="K21" s="281">
        <f t="shared" si="1"/>
        <v>0</v>
      </c>
      <c r="L21" s="286">
        <f t="shared" si="1"/>
        <v>0</v>
      </c>
      <c r="M21" s="285">
        <f t="shared" si="1"/>
        <v>0</v>
      </c>
      <c r="N21" s="281">
        <f t="shared" si="1"/>
        <v>0</v>
      </c>
      <c r="O21" s="281">
        <f t="shared" si="1"/>
        <v>0</v>
      </c>
      <c r="P21" s="281">
        <f t="shared" si="1"/>
        <v>0</v>
      </c>
      <c r="Q21" s="281">
        <f t="shared" si="1"/>
        <v>0</v>
      </c>
      <c r="R21" s="281">
        <f t="shared" si="1"/>
        <v>0</v>
      </c>
      <c r="S21" s="286">
        <f t="shared" si="1"/>
        <v>0</v>
      </c>
      <c r="T21" s="286">
        <f>SUM(T7:T20)</f>
        <v>0</v>
      </c>
      <c r="U21" s="286">
        <f t="shared" si="1"/>
        <v>0</v>
      </c>
      <c r="V21" s="287">
        <f t="shared" si="1"/>
        <v>0</v>
      </c>
    </row>
    <row r="24" spans="1:22">
      <c r="A24" s="18"/>
      <c r="B24" s="18"/>
      <c r="C24" s="72"/>
      <c r="D24" s="72"/>
      <c r="E24" s="72"/>
    </row>
    <row r="25" spans="1:22">
      <c r="A25" s="96"/>
      <c r="B25" s="96"/>
      <c r="C25" s="18"/>
      <c r="D25" s="72"/>
      <c r="E25" s="72"/>
    </row>
    <row r="26" spans="1:22">
      <c r="A26" s="96"/>
      <c r="B26" s="97"/>
      <c r="C26" s="18"/>
      <c r="D26" s="72"/>
      <c r="E26" s="72"/>
    </row>
    <row r="27" spans="1:22">
      <c r="A27" s="96"/>
      <c r="B27" s="96"/>
      <c r="C27" s="18"/>
      <c r="D27" s="72"/>
      <c r="E27" s="72"/>
    </row>
    <row r="28" spans="1:22">
      <c r="A28" s="96"/>
      <c r="B28" s="97"/>
      <c r="C28" s="18"/>
      <c r="D28" s="72"/>
      <c r="E28" s="72"/>
    </row>
  </sheetData>
  <mergeCells count="5">
    <mergeCell ref="C5:L5"/>
    <mergeCell ref="M5:S5"/>
    <mergeCell ref="V5:V6"/>
    <mergeCell ref="T5:T6"/>
    <mergeCell ref="U5:U6"/>
  </mergeCells>
  <pageMargins left="0.7" right="0.7" top="0.75" bottom="0.75" header="0.3" footer="0.3"/>
  <pageSetup paperSize="9"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E19" sqref="E19"/>
    </sheetView>
  </sheetViews>
  <sheetFormatPr defaultColWidth="9.1796875" defaultRowHeight="13"/>
  <cols>
    <col min="1" max="1" width="10.54296875" style="2" bestFit="1" customWidth="1"/>
    <col min="2" max="2" width="101.81640625" style="2" customWidth="1"/>
    <col min="3" max="3" width="13.81640625" style="2" customWidth="1"/>
    <col min="4" max="4" width="14.81640625" style="2" bestFit="1" customWidth="1"/>
    <col min="5" max="5" width="17.81640625" style="2" customWidth="1"/>
    <col min="6" max="6" width="15.81640625" style="2" customWidth="1"/>
    <col min="7" max="7" width="17.453125" style="2" customWidth="1"/>
    <col min="8" max="8" width="15.1796875" style="2" customWidth="1"/>
    <col min="9" max="16384" width="9.1796875" style="13"/>
  </cols>
  <sheetData>
    <row r="1" spans="1:9">
      <c r="A1" s="2" t="s">
        <v>188</v>
      </c>
      <c r="B1" s="335" t="str">
        <f>Info!C2</f>
        <v>სს " პაშა ბანკი საქართველო"</v>
      </c>
    </row>
    <row r="2" spans="1:9">
      <c r="A2" s="2" t="s">
        <v>189</v>
      </c>
      <c r="B2" s="471">
        <f>'1. key ratios'!B2</f>
        <v>44377</v>
      </c>
    </row>
    <row r="4" spans="1:9" ht="13.5" thickBot="1">
      <c r="A4" s="2" t="s">
        <v>340</v>
      </c>
      <c r="B4" s="305" t="s">
        <v>362</v>
      </c>
    </row>
    <row r="5" spans="1:9">
      <c r="A5" s="101"/>
      <c r="B5" s="157"/>
      <c r="C5" s="163" t="s">
        <v>0</v>
      </c>
      <c r="D5" s="163" t="s">
        <v>1</v>
      </c>
      <c r="E5" s="163" t="s">
        <v>2</v>
      </c>
      <c r="F5" s="163" t="s">
        <v>3</v>
      </c>
      <c r="G5" s="300" t="s">
        <v>4</v>
      </c>
      <c r="H5" s="164" t="s">
        <v>5</v>
      </c>
      <c r="I5" s="24"/>
    </row>
    <row r="6" spans="1:9" ht="15" customHeight="1">
      <c r="A6" s="156"/>
      <c r="B6" s="22"/>
      <c r="C6" s="766" t="s">
        <v>354</v>
      </c>
      <c r="D6" s="770" t="s">
        <v>364</v>
      </c>
      <c r="E6" s="771"/>
      <c r="F6" s="766" t="s">
        <v>365</v>
      </c>
      <c r="G6" s="766" t="s">
        <v>366</v>
      </c>
      <c r="H6" s="768" t="s">
        <v>356</v>
      </c>
      <c r="I6" s="24"/>
    </row>
    <row r="7" spans="1:9" ht="65">
      <c r="A7" s="156"/>
      <c r="B7" s="22"/>
      <c r="C7" s="767"/>
      <c r="D7" s="304" t="s">
        <v>357</v>
      </c>
      <c r="E7" s="304" t="s">
        <v>355</v>
      </c>
      <c r="F7" s="767"/>
      <c r="G7" s="767"/>
      <c r="H7" s="769"/>
      <c r="I7" s="24"/>
    </row>
    <row r="8" spans="1:9">
      <c r="A8" s="92">
        <v>1</v>
      </c>
      <c r="B8" s="74" t="s">
        <v>216</v>
      </c>
      <c r="C8" s="288">
        <v>46820069.979699999</v>
      </c>
      <c r="D8" s="289"/>
      <c r="E8" s="288"/>
      <c r="F8" s="288">
        <v>40362247.6197</v>
      </c>
      <c r="G8" s="301">
        <f>F8</f>
        <v>40362247.6197</v>
      </c>
      <c r="H8" s="310">
        <f>G8/(C8+E8)</f>
        <v>0.86207149278503969</v>
      </c>
    </row>
    <row r="9" spans="1:9" ht="15" customHeight="1">
      <c r="A9" s="92">
        <v>2</v>
      </c>
      <c r="B9" s="74" t="s">
        <v>217</v>
      </c>
      <c r="C9" s="288">
        <v>0</v>
      </c>
      <c r="D9" s="289"/>
      <c r="E9" s="288"/>
      <c r="F9" s="288">
        <v>0</v>
      </c>
      <c r="G9" s="301">
        <f t="shared" ref="G9:G21" si="0">F9</f>
        <v>0</v>
      </c>
      <c r="H9" s="310" t="e">
        <f t="shared" ref="H9:H21" si="1">G9/(C9+E9)</f>
        <v>#DIV/0!</v>
      </c>
    </row>
    <row r="10" spans="1:9">
      <c r="A10" s="92">
        <v>3</v>
      </c>
      <c r="B10" s="74" t="s">
        <v>218</v>
      </c>
      <c r="C10" s="288">
        <v>0</v>
      </c>
      <c r="D10" s="289"/>
      <c r="E10" s="288"/>
      <c r="F10" s="288">
        <v>0</v>
      </c>
      <c r="G10" s="301">
        <f t="shared" si="0"/>
        <v>0</v>
      </c>
      <c r="H10" s="310" t="e">
        <f t="shared" si="1"/>
        <v>#DIV/0!</v>
      </c>
    </row>
    <row r="11" spans="1:9">
      <c r="A11" s="92">
        <v>4</v>
      </c>
      <c r="B11" s="74" t="s">
        <v>219</v>
      </c>
      <c r="C11" s="288">
        <v>0</v>
      </c>
      <c r="D11" s="289"/>
      <c r="E11" s="288"/>
      <c r="F11" s="288">
        <v>0</v>
      </c>
      <c r="G11" s="301">
        <f t="shared" si="0"/>
        <v>0</v>
      </c>
      <c r="H11" s="310" t="e">
        <f t="shared" si="1"/>
        <v>#DIV/0!</v>
      </c>
    </row>
    <row r="12" spans="1:9">
      <c r="A12" s="92">
        <v>5</v>
      </c>
      <c r="B12" s="74" t="s">
        <v>220</v>
      </c>
      <c r="C12" s="288">
        <v>0</v>
      </c>
      <c r="D12" s="289"/>
      <c r="E12" s="288"/>
      <c r="F12" s="288">
        <v>0</v>
      </c>
      <c r="G12" s="301">
        <f t="shared" si="0"/>
        <v>0</v>
      </c>
      <c r="H12" s="310" t="e">
        <f t="shared" si="1"/>
        <v>#DIV/0!</v>
      </c>
    </row>
    <row r="13" spans="1:9">
      <c r="A13" s="92">
        <v>6</v>
      </c>
      <c r="B13" s="74" t="s">
        <v>221</v>
      </c>
      <c r="C13" s="288">
        <v>36046938.0858</v>
      </c>
      <c r="D13" s="289">
        <v>294000</v>
      </c>
      <c r="E13" s="288">
        <v>147000</v>
      </c>
      <c r="F13" s="288">
        <v>9471197.8648799993</v>
      </c>
      <c r="G13" s="301">
        <f t="shared" si="0"/>
        <v>9471197.8648799993</v>
      </c>
      <c r="H13" s="310">
        <f t="shared" si="1"/>
        <v>0.26167911992411358</v>
      </c>
    </row>
    <row r="14" spans="1:9">
      <c r="A14" s="92">
        <v>7</v>
      </c>
      <c r="B14" s="74" t="s">
        <v>73</v>
      </c>
      <c r="C14" s="288">
        <v>252353618.24329999</v>
      </c>
      <c r="D14" s="289">
        <v>39483784.238200001</v>
      </c>
      <c r="E14" s="288">
        <v>17085705.100699998</v>
      </c>
      <c r="F14" s="289">
        <v>269439323.34399998</v>
      </c>
      <c r="G14" s="301">
        <f t="shared" si="0"/>
        <v>269439323.34399998</v>
      </c>
      <c r="H14" s="310">
        <f>G14/(C14+E14)</f>
        <v>1</v>
      </c>
    </row>
    <row r="15" spans="1:9">
      <c r="A15" s="92">
        <v>8</v>
      </c>
      <c r="B15" s="74" t="s">
        <v>74</v>
      </c>
      <c r="C15" s="288">
        <v>15014877.2837</v>
      </c>
      <c r="D15" s="289">
        <v>16397034.580499999</v>
      </c>
      <c r="E15" s="288">
        <v>2167955.1301000002</v>
      </c>
      <c r="F15" s="289">
        <v>17182832.413800001</v>
      </c>
      <c r="G15" s="301">
        <f t="shared" si="0"/>
        <v>17182832.413800001</v>
      </c>
      <c r="H15" s="310">
        <f t="shared" si="1"/>
        <v>1</v>
      </c>
    </row>
    <row r="16" spans="1:9">
      <c r="A16" s="92">
        <v>9</v>
      </c>
      <c r="B16" s="74" t="s">
        <v>75</v>
      </c>
      <c r="C16" s="288">
        <v>0</v>
      </c>
      <c r="D16" s="289"/>
      <c r="E16" s="288"/>
      <c r="F16" s="289">
        <v>0</v>
      </c>
      <c r="G16" s="301">
        <f t="shared" si="0"/>
        <v>0</v>
      </c>
      <c r="H16" s="310" t="e">
        <f t="shared" si="1"/>
        <v>#DIV/0!</v>
      </c>
    </row>
    <row r="17" spans="1:8">
      <c r="A17" s="92">
        <v>10</v>
      </c>
      <c r="B17" s="74" t="s">
        <v>69</v>
      </c>
      <c r="C17" s="288">
        <v>48150783.622500002</v>
      </c>
      <c r="D17" s="289"/>
      <c r="E17" s="288"/>
      <c r="F17" s="289">
        <v>48150783.622500002</v>
      </c>
      <c r="G17" s="301">
        <f t="shared" si="0"/>
        <v>48150783.622500002</v>
      </c>
      <c r="H17" s="310">
        <f t="shared" si="1"/>
        <v>1</v>
      </c>
    </row>
    <row r="18" spans="1:8">
      <c r="A18" s="92">
        <v>11</v>
      </c>
      <c r="B18" s="74" t="s">
        <v>70</v>
      </c>
      <c r="C18" s="288">
        <v>0</v>
      </c>
      <c r="D18" s="289"/>
      <c r="E18" s="288"/>
      <c r="F18" s="289">
        <v>0</v>
      </c>
      <c r="G18" s="301">
        <f t="shared" si="0"/>
        <v>0</v>
      </c>
      <c r="H18" s="310" t="e">
        <f t="shared" si="1"/>
        <v>#DIV/0!</v>
      </c>
    </row>
    <row r="19" spans="1:8">
      <c r="A19" s="92">
        <v>12</v>
      </c>
      <c r="B19" s="74" t="s">
        <v>71</v>
      </c>
      <c r="C19" s="288">
        <v>0</v>
      </c>
      <c r="D19" s="289"/>
      <c r="E19" s="288"/>
      <c r="F19" s="289">
        <v>0</v>
      </c>
      <c r="G19" s="301">
        <f t="shared" si="0"/>
        <v>0</v>
      </c>
      <c r="H19" s="310" t="e">
        <f t="shared" si="1"/>
        <v>#DIV/0!</v>
      </c>
    </row>
    <row r="20" spans="1:8">
      <c r="A20" s="92">
        <v>13</v>
      </c>
      <c r="B20" s="74" t="s">
        <v>72</v>
      </c>
      <c r="C20" s="288">
        <v>0</v>
      </c>
      <c r="D20" s="289"/>
      <c r="E20" s="288"/>
      <c r="F20" s="289">
        <v>0</v>
      </c>
      <c r="G20" s="301">
        <f t="shared" si="0"/>
        <v>0</v>
      </c>
      <c r="H20" s="310" t="e">
        <f t="shared" si="1"/>
        <v>#DIV/0!</v>
      </c>
    </row>
    <row r="21" spans="1:8">
      <c r="A21" s="92">
        <v>14</v>
      </c>
      <c r="B21" s="74" t="s">
        <v>249</v>
      </c>
      <c r="C21" s="288">
        <v>19413090.508199997</v>
      </c>
      <c r="D21" s="289"/>
      <c r="E21" s="288"/>
      <c r="F21" s="289">
        <v>14265663.398800001</v>
      </c>
      <c r="G21" s="301">
        <f t="shared" si="0"/>
        <v>14265663.398800001</v>
      </c>
      <c r="H21" s="310">
        <f t="shared" si="1"/>
        <v>0.73484762216372768</v>
      </c>
    </row>
    <row r="22" spans="1:8" ht="13.5" thickBot="1">
      <c r="A22" s="158"/>
      <c r="B22" s="165" t="s">
        <v>68</v>
      </c>
      <c r="C22" s="281">
        <f>SUM(C8:C21)</f>
        <v>417799377.72319996</v>
      </c>
      <c r="D22" s="281">
        <f>SUM(D8:D21)</f>
        <v>56174818.818700001</v>
      </c>
      <c r="E22" s="281">
        <f>SUM(E8:E21)</f>
        <v>19400660.230799999</v>
      </c>
      <c r="F22" s="281">
        <f>SUM(F8:F21)</f>
        <v>398872048.26367998</v>
      </c>
      <c r="G22" s="281">
        <f>SUM(G8:G21)</f>
        <v>398872048.26367998</v>
      </c>
      <c r="H22" s="311">
        <f>G22/(C22+E22)</f>
        <v>0.91233305955395949</v>
      </c>
    </row>
    <row r="28" spans="1:8" ht="10.5" customHeight="1"/>
  </sheetData>
  <mergeCells count="5">
    <mergeCell ref="C6:C7"/>
    <mergeCell ref="F6:F7"/>
    <mergeCell ref="G6:G7"/>
    <mergeCell ref="H6:H7"/>
    <mergeCell ref="D6:E6"/>
  </mergeCells>
  <pageMargins left="0.7" right="0.7" top="0.75" bottom="0.75" header="0.3" footer="0.3"/>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H25" sqref="H25"/>
    </sheetView>
  </sheetViews>
  <sheetFormatPr defaultColWidth="9.1796875" defaultRowHeight="13"/>
  <cols>
    <col min="1" max="1" width="10.54296875" style="335" bestFit="1" customWidth="1"/>
    <col min="2" max="2" width="104.1796875" style="335" customWidth="1"/>
    <col min="3" max="11" width="12.81640625" style="335" customWidth="1"/>
    <col min="12" max="16384" width="9.1796875" style="335"/>
  </cols>
  <sheetData>
    <row r="1" spans="1:11">
      <c r="A1" s="335" t="s">
        <v>188</v>
      </c>
      <c r="B1" s="335" t="str">
        <f>Info!C2</f>
        <v>სს " პაშა ბანკი საქართველო"</v>
      </c>
    </row>
    <row r="2" spans="1:11">
      <c r="A2" s="335" t="s">
        <v>189</v>
      </c>
      <c r="B2" s="471">
        <f>'1. key ratios'!B2</f>
        <v>44377</v>
      </c>
      <c r="C2" s="336"/>
      <c r="D2" s="336"/>
    </row>
    <row r="3" spans="1:11">
      <c r="B3" s="336"/>
      <c r="C3" s="336"/>
      <c r="D3" s="336"/>
    </row>
    <row r="4" spans="1:11" ht="13.5" thickBot="1">
      <c r="A4" s="335" t="s">
        <v>394</v>
      </c>
      <c r="B4" s="305" t="s">
        <v>393</v>
      </c>
      <c r="C4" s="336"/>
      <c r="D4" s="336"/>
    </row>
    <row r="5" spans="1:11" ht="30" customHeight="1">
      <c r="A5" s="778"/>
      <c r="B5" s="779"/>
      <c r="C5" s="780" t="s">
        <v>425</v>
      </c>
      <c r="D5" s="780"/>
      <c r="E5" s="780"/>
      <c r="F5" s="780" t="s">
        <v>426</v>
      </c>
      <c r="G5" s="780"/>
      <c r="H5" s="780"/>
      <c r="I5" s="781" t="s">
        <v>427</v>
      </c>
      <c r="J5" s="781"/>
      <c r="K5" s="782"/>
    </row>
    <row r="6" spans="1:11">
      <c r="A6" s="333"/>
      <c r="B6" s="334"/>
      <c r="C6" s="596" t="s">
        <v>27</v>
      </c>
      <c r="D6" s="596" t="s">
        <v>96</v>
      </c>
      <c r="E6" s="596" t="s">
        <v>68</v>
      </c>
      <c r="F6" s="596" t="s">
        <v>27</v>
      </c>
      <c r="G6" s="596" t="s">
        <v>96</v>
      </c>
      <c r="H6" s="596" t="s">
        <v>68</v>
      </c>
      <c r="I6" s="337" t="s">
        <v>27</v>
      </c>
      <c r="J6" s="337" t="s">
        <v>96</v>
      </c>
      <c r="K6" s="338" t="s">
        <v>68</v>
      </c>
    </row>
    <row r="7" spans="1:11">
      <c r="A7" s="339" t="s">
        <v>374</v>
      </c>
      <c r="B7" s="332"/>
      <c r="C7" s="332"/>
      <c r="D7" s="332"/>
      <c r="E7" s="332"/>
      <c r="F7" s="332"/>
      <c r="G7" s="332"/>
      <c r="H7" s="332"/>
      <c r="I7" s="332"/>
      <c r="J7" s="332"/>
      <c r="K7" s="340"/>
    </row>
    <row r="8" spans="1:11">
      <c r="A8" s="331">
        <v>1</v>
      </c>
      <c r="B8" s="318" t="s">
        <v>374</v>
      </c>
      <c r="C8" s="637"/>
      <c r="D8" s="637"/>
      <c r="E8" s="637"/>
      <c r="F8" s="638">
        <v>12157133.046263728</v>
      </c>
      <c r="G8" s="638">
        <v>73899364.060915336</v>
      </c>
      <c r="H8" s="638">
        <v>86056497.10717909</v>
      </c>
      <c r="I8" s="625">
        <v>7864722.9037362663</v>
      </c>
      <c r="J8" s="625">
        <v>47793648.408791199</v>
      </c>
      <c r="K8" s="626">
        <v>55658371.312527478</v>
      </c>
    </row>
    <row r="9" spans="1:11">
      <c r="A9" s="339" t="s">
        <v>375</v>
      </c>
      <c r="B9" s="332"/>
      <c r="C9" s="639"/>
      <c r="D9" s="639"/>
      <c r="E9" s="639"/>
      <c r="F9" s="639"/>
      <c r="G9" s="640"/>
      <c r="H9" s="639"/>
      <c r="I9" s="627"/>
      <c r="J9" s="627"/>
      <c r="K9" s="628"/>
    </row>
    <row r="10" spans="1:11">
      <c r="A10" s="341">
        <v>2</v>
      </c>
      <c r="B10" s="319" t="s">
        <v>376</v>
      </c>
      <c r="C10" s="616">
        <v>7718799.8084615367</v>
      </c>
      <c r="D10" s="616">
        <v>32584222.478901118</v>
      </c>
      <c r="E10" s="616">
        <v>40303022.287362643</v>
      </c>
      <c r="F10" s="641">
        <v>666528.7311329674</v>
      </c>
      <c r="G10" s="641">
        <v>6332763.705576377</v>
      </c>
      <c r="H10" s="641">
        <v>6999292.4367093388</v>
      </c>
      <c r="I10" s="629">
        <v>177848.18937362634</v>
      </c>
      <c r="J10" s="629">
        <v>1312856.5523736263</v>
      </c>
      <c r="K10" s="630">
        <v>1490704.7417472529</v>
      </c>
    </row>
    <row r="11" spans="1:11">
      <c r="A11" s="341">
        <v>3</v>
      </c>
      <c r="B11" s="319" t="s">
        <v>377</v>
      </c>
      <c r="C11" s="616">
        <v>28188928.699010964</v>
      </c>
      <c r="D11" s="616">
        <v>253804142.85538453</v>
      </c>
      <c r="E11" s="616">
        <v>281993071.55439562</v>
      </c>
      <c r="F11" s="641">
        <v>10592309.594456041</v>
      </c>
      <c r="G11" s="641">
        <v>25334609.806423068</v>
      </c>
      <c r="H11" s="641">
        <v>35926919.400879115</v>
      </c>
      <c r="I11" s="629">
        <v>9850790.5777362697</v>
      </c>
      <c r="J11" s="629">
        <v>20945146.457115378</v>
      </c>
      <c r="K11" s="630">
        <v>30795937.034851637</v>
      </c>
    </row>
    <row r="12" spans="1:11">
      <c r="A12" s="341">
        <v>4</v>
      </c>
      <c r="B12" s="319" t="s">
        <v>378</v>
      </c>
      <c r="C12" s="616">
        <v>18743791.646483514</v>
      </c>
      <c r="D12" s="616">
        <v>0</v>
      </c>
      <c r="E12" s="616">
        <v>18743791.646483514</v>
      </c>
      <c r="F12" s="641">
        <v>0</v>
      </c>
      <c r="G12" s="641">
        <v>0</v>
      </c>
      <c r="H12" s="641">
        <v>0</v>
      </c>
      <c r="I12" s="629">
        <v>0</v>
      </c>
      <c r="J12" s="629">
        <v>0</v>
      </c>
      <c r="K12" s="630">
        <v>0</v>
      </c>
    </row>
    <row r="13" spans="1:11">
      <c r="A13" s="341">
        <v>5</v>
      </c>
      <c r="B13" s="319" t="s">
        <v>379</v>
      </c>
      <c r="C13" s="616">
        <v>31367084.595824193</v>
      </c>
      <c r="D13" s="616">
        <v>27888614.124615371</v>
      </c>
      <c r="E13" s="616">
        <v>59255698.720439546</v>
      </c>
      <c r="F13" s="641">
        <v>5209646.2544505503</v>
      </c>
      <c r="G13" s="641">
        <v>5848841.2963324161</v>
      </c>
      <c r="H13" s="641">
        <v>11058487.550782967</v>
      </c>
      <c r="I13" s="629">
        <v>1803483.9694615391</v>
      </c>
      <c r="J13" s="629">
        <v>2220332.9420164838</v>
      </c>
      <c r="K13" s="630">
        <v>4023816.9114780189</v>
      </c>
    </row>
    <row r="14" spans="1:11">
      <c r="A14" s="341">
        <v>6</v>
      </c>
      <c r="B14" s="319" t="s">
        <v>392</v>
      </c>
      <c r="C14" s="616">
        <v>0</v>
      </c>
      <c r="D14" s="616">
        <v>0</v>
      </c>
      <c r="E14" s="616">
        <v>0</v>
      </c>
      <c r="F14" s="641">
        <v>0</v>
      </c>
      <c r="G14" s="641">
        <v>0</v>
      </c>
      <c r="H14" s="641">
        <v>0</v>
      </c>
      <c r="I14" s="629">
        <v>0</v>
      </c>
      <c r="J14" s="629">
        <v>0</v>
      </c>
      <c r="K14" s="630">
        <v>0</v>
      </c>
    </row>
    <row r="15" spans="1:11">
      <c r="A15" s="341">
        <v>7</v>
      </c>
      <c r="B15" s="319" t="s">
        <v>380</v>
      </c>
      <c r="C15" s="616">
        <v>2801409.466483518</v>
      </c>
      <c r="D15" s="616">
        <v>16335991.002058249</v>
      </c>
      <c r="E15" s="616">
        <v>19137400.468541771</v>
      </c>
      <c r="F15" s="641">
        <v>2217450.882747252</v>
      </c>
      <c r="G15" s="641">
        <v>867123.67901098845</v>
      </c>
      <c r="H15" s="641">
        <v>3084574.5617582425</v>
      </c>
      <c r="I15" s="629">
        <v>2214111.7230769224</v>
      </c>
      <c r="J15" s="629">
        <v>867685.92923076858</v>
      </c>
      <c r="K15" s="630">
        <v>3081797.6523076924</v>
      </c>
    </row>
    <row r="16" spans="1:11">
      <c r="A16" s="341">
        <v>8</v>
      </c>
      <c r="B16" s="320" t="s">
        <v>381</v>
      </c>
      <c r="C16" s="616">
        <v>88820014.216263726</v>
      </c>
      <c r="D16" s="641">
        <v>330612970.46095926</v>
      </c>
      <c r="E16" s="641">
        <v>419432984.67722309</v>
      </c>
      <c r="F16" s="616">
        <v>18685935.462786812</v>
      </c>
      <c r="G16" s="641">
        <v>38383338.487342849</v>
      </c>
      <c r="H16" s="616">
        <v>57069273.950129665</v>
      </c>
      <c r="I16" s="629">
        <v>14046234.459648358</v>
      </c>
      <c r="J16" s="629">
        <v>25346021.880736254</v>
      </c>
      <c r="K16" s="630">
        <v>39392256.340384595</v>
      </c>
    </row>
    <row r="17" spans="1:11">
      <c r="A17" s="339" t="s">
        <v>382</v>
      </c>
      <c r="B17" s="332"/>
      <c r="C17" s="639"/>
      <c r="D17" s="639"/>
      <c r="E17" s="639"/>
      <c r="F17" s="639"/>
      <c r="G17" s="639"/>
      <c r="H17" s="639"/>
      <c r="I17" s="627"/>
      <c r="J17" s="627"/>
      <c r="K17" s="628"/>
    </row>
    <row r="18" spans="1:11">
      <c r="A18" s="341">
        <v>9</v>
      </c>
      <c r="B18" s="319" t="s">
        <v>383</v>
      </c>
      <c r="C18" s="616">
        <v>0</v>
      </c>
      <c r="D18" s="616">
        <v>0</v>
      </c>
      <c r="E18" s="616">
        <v>0</v>
      </c>
      <c r="F18" s="641">
        <v>0</v>
      </c>
      <c r="G18" s="641">
        <v>0</v>
      </c>
      <c r="H18" s="641">
        <v>0</v>
      </c>
      <c r="I18" s="629">
        <v>0</v>
      </c>
      <c r="J18" s="629">
        <v>0</v>
      </c>
      <c r="K18" s="630">
        <v>0</v>
      </c>
    </row>
    <row r="19" spans="1:11" ht="14.4" customHeight="1">
      <c r="A19" s="341">
        <v>10</v>
      </c>
      <c r="B19" s="319" t="s">
        <v>384</v>
      </c>
      <c r="C19" s="616">
        <v>80171950.270219788</v>
      </c>
      <c r="D19" s="616">
        <v>214829633.00857145</v>
      </c>
      <c r="E19" s="616">
        <v>295001583.27879137</v>
      </c>
      <c r="F19" s="641">
        <v>6116779.7109890115</v>
      </c>
      <c r="G19" s="641">
        <v>2931610.924285715</v>
      </c>
      <c r="H19" s="641">
        <v>9048390.635274725</v>
      </c>
      <c r="I19" s="629">
        <v>10463163.637857143</v>
      </c>
      <c r="J19" s="629">
        <v>33118119.256978024</v>
      </c>
      <c r="K19" s="630">
        <v>43581282.894835152</v>
      </c>
    </row>
    <row r="20" spans="1:11">
      <c r="A20" s="341">
        <v>11</v>
      </c>
      <c r="B20" s="319" t="s">
        <v>385</v>
      </c>
      <c r="C20" s="616">
        <v>5339506.1356043955</v>
      </c>
      <c r="D20" s="616">
        <v>15314030.057802189</v>
      </c>
      <c r="E20" s="616">
        <v>20653536.193406589</v>
      </c>
      <c r="F20" s="641">
        <v>289862.96890109894</v>
      </c>
      <c r="G20" s="641">
        <v>245131.84010989018</v>
      </c>
      <c r="H20" s="641">
        <v>534994.80901098915</v>
      </c>
      <c r="I20" s="629">
        <v>287369.10230769234</v>
      </c>
      <c r="J20" s="629">
        <v>250528.90197802207</v>
      </c>
      <c r="K20" s="630">
        <v>537898.00428571436</v>
      </c>
    </row>
    <row r="21" spans="1:11" ht="13.5" thickBot="1">
      <c r="A21" s="221">
        <v>12</v>
      </c>
      <c r="B21" s="342" t="s">
        <v>386</v>
      </c>
      <c r="C21" s="642">
        <v>85511456.405824184</v>
      </c>
      <c r="D21" s="643">
        <v>230143663.06637365</v>
      </c>
      <c r="E21" s="642">
        <v>315655119.47219795</v>
      </c>
      <c r="F21" s="642">
        <v>6406642.6798901102</v>
      </c>
      <c r="G21" s="643">
        <v>3176742.7643956053</v>
      </c>
      <c r="H21" s="642">
        <v>9583385.444285715</v>
      </c>
      <c r="I21" s="631">
        <v>10750532.740164835</v>
      </c>
      <c r="J21" s="631">
        <v>33368648.158956047</v>
      </c>
      <c r="K21" s="632">
        <v>44119180.899120867</v>
      </c>
    </row>
    <row r="22" spans="1:11" ht="38.25" customHeight="1" thickBot="1">
      <c r="A22" s="329"/>
      <c r="B22" s="330"/>
      <c r="C22" s="644"/>
      <c r="D22" s="644"/>
      <c r="E22" s="644"/>
      <c r="F22" s="772" t="s">
        <v>387</v>
      </c>
      <c r="G22" s="773"/>
      <c r="H22" s="774"/>
      <c r="I22" s="775" t="s">
        <v>387</v>
      </c>
      <c r="J22" s="776"/>
      <c r="K22" s="777"/>
    </row>
    <row r="23" spans="1:11">
      <c r="A23" s="324">
        <v>13</v>
      </c>
      <c r="B23" s="321" t="s">
        <v>374</v>
      </c>
      <c r="C23" s="645"/>
      <c r="D23" s="645"/>
      <c r="E23" s="645"/>
      <c r="F23" s="646">
        <v>12157133.046263728</v>
      </c>
      <c r="G23" s="646">
        <v>73899364.060915336</v>
      </c>
      <c r="H23" s="646">
        <v>86056497.10717909</v>
      </c>
      <c r="I23" s="654">
        <v>7864722.9037362663</v>
      </c>
      <c r="J23" s="633">
        <v>47793648.408791199</v>
      </c>
      <c r="K23" s="634">
        <v>55658371.312527478</v>
      </c>
    </row>
    <row r="24" spans="1:11" ht="15" thickBot="1">
      <c r="A24" s="325">
        <v>14</v>
      </c>
      <c r="B24" s="322" t="s">
        <v>388</v>
      </c>
      <c r="C24" s="647"/>
      <c r="D24" s="648"/>
      <c r="E24" s="649"/>
      <c r="F24" s="650">
        <v>12279292.782896701</v>
      </c>
      <c r="G24" s="650">
        <v>35206595.722947247</v>
      </c>
      <c r="H24" s="653">
        <v>47485888.505843952</v>
      </c>
      <c r="I24" s="655">
        <v>3511558.6149120894</v>
      </c>
      <c r="J24" s="631">
        <v>6336505.4701840635</v>
      </c>
      <c r="K24" s="632">
        <v>9848064.0850961488</v>
      </c>
    </row>
    <row r="25" spans="1:11" ht="13.5" thickBot="1">
      <c r="A25" s="326">
        <v>15</v>
      </c>
      <c r="B25" s="323" t="s">
        <v>389</v>
      </c>
      <c r="C25" s="327"/>
      <c r="D25" s="327"/>
      <c r="E25" s="327"/>
      <c r="F25" s="651">
        <v>1.0359274609602798</v>
      </c>
      <c r="G25" s="651">
        <v>2.1666181445482926</v>
      </c>
      <c r="H25" s="652">
        <v>1.8720579206581356</v>
      </c>
      <c r="I25" s="635">
        <v>1.7882638700034423</v>
      </c>
      <c r="J25" s="635">
        <v>7.3667473401292156</v>
      </c>
      <c r="K25" s="636">
        <v>5.2137620561994584</v>
      </c>
    </row>
    <row r="28" spans="1:11" ht="39">
      <c r="B28" s="23" t="s">
        <v>424</v>
      </c>
      <c r="G28" s="657"/>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F28" sqref="F28"/>
    </sheetView>
  </sheetViews>
  <sheetFormatPr defaultColWidth="9.1796875" defaultRowHeight="13.5"/>
  <cols>
    <col min="1" max="1" width="10.54296875" style="69" bestFit="1" customWidth="1"/>
    <col min="2" max="2" width="95" style="69" customWidth="1"/>
    <col min="3" max="3" width="12.54296875" style="69" bestFit="1" customWidth="1"/>
    <col min="4" max="4" width="10" style="69" bestFit="1" customWidth="1"/>
    <col min="5" max="5" width="18.1796875" style="69" bestFit="1" customWidth="1"/>
    <col min="6" max="13" width="10.81640625" style="69" customWidth="1"/>
    <col min="14" max="14" width="31" style="69" bestFit="1" customWidth="1"/>
    <col min="15" max="16384" width="9.1796875" style="13"/>
  </cols>
  <sheetData>
    <row r="1" spans="1:14">
      <c r="A1" s="5" t="s">
        <v>188</v>
      </c>
      <c r="B1" s="69" t="str">
        <f>Info!C2</f>
        <v>სს " პაშა ბანკი საქართველო"</v>
      </c>
    </row>
    <row r="2" spans="1:14" ht="14.25" customHeight="1">
      <c r="A2" s="69" t="s">
        <v>189</v>
      </c>
      <c r="B2" s="471">
        <f>'1. key ratios'!B2</f>
        <v>44377</v>
      </c>
    </row>
    <row r="3" spans="1:14" ht="14.25" customHeight="1"/>
    <row r="4" spans="1:14" ht="14" thickBot="1">
      <c r="A4" s="2" t="s">
        <v>341</v>
      </c>
      <c r="B4" s="94" t="s">
        <v>77</v>
      </c>
    </row>
    <row r="5" spans="1:14" s="25" customFormat="1" ht="13">
      <c r="A5" s="174"/>
      <c r="B5" s="175"/>
      <c r="C5" s="176" t="s">
        <v>0</v>
      </c>
      <c r="D5" s="176" t="s">
        <v>1</v>
      </c>
      <c r="E5" s="176" t="s">
        <v>2</v>
      </c>
      <c r="F5" s="176" t="s">
        <v>3</v>
      </c>
      <c r="G5" s="176" t="s">
        <v>4</v>
      </c>
      <c r="H5" s="176" t="s">
        <v>5</v>
      </c>
      <c r="I5" s="176" t="s">
        <v>238</v>
      </c>
      <c r="J5" s="176" t="s">
        <v>239</v>
      </c>
      <c r="K5" s="176" t="s">
        <v>240</v>
      </c>
      <c r="L5" s="176" t="s">
        <v>241</v>
      </c>
      <c r="M5" s="176" t="s">
        <v>242</v>
      </c>
      <c r="N5" s="177" t="s">
        <v>243</v>
      </c>
    </row>
    <row r="6" spans="1:14" ht="40.5">
      <c r="A6" s="166"/>
      <c r="B6" s="106"/>
      <c r="C6" s="107" t="s">
        <v>87</v>
      </c>
      <c r="D6" s="108" t="s">
        <v>76</v>
      </c>
      <c r="E6" s="109" t="s">
        <v>86</v>
      </c>
      <c r="F6" s="110">
        <v>0</v>
      </c>
      <c r="G6" s="110">
        <v>0.2</v>
      </c>
      <c r="H6" s="110">
        <v>0.35</v>
      </c>
      <c r="I6" s="110">
        <v>0.5</v>
      </c>
      <c r="J6" s="110">
        <v>0.75</v>
      </c>
      <c r="K6" s="110">
        <v>1</v>
      </c>
      <c r="L6" s="110">
        <v>1.5</v>
      </c>
      <c r="M6" s="110">
        <v>2.5</v>
      </c>
      <c r="N6" s="167" t="s">
        <v>77</v>
      </c>
    </row>
    <row r="7" spans="1:14">
      <c r="A7" s="168">
        <v>1</v>
      </c>
      <c r="B7" s="111" t="s">
        <v>78</v>
      </c>
      <c r="C7" s="290">
        <f>SUM(C8:C13)</f>
        <v>99734250.298500001</v>
      </c>
      <c r="D7" s="106"/>
      <c r="E7" s="293">
        <f t="shared" ref="E7:M7" si="0">SUM(E8:E13)</f>
        <v>1994685.0059700001</v>
      </c>
      <c r="F7" s="290">
        <f>SUM(F8:F13)</f>
        <v>0</v>
      </c>
      <c r="G7" s="290">
        <f t="shared" si="0"/>
        <v>0</v>
      </c>
      <c r="H7" s="290">
        <f t="shared" si="0"/>
        <v>0</v>
      </c>
      <c r="I7" s="290">
        <f t="shared" si="0"/>
        <v>0</v>
      </c>
      <c r="J7" s="290">
        <f t="shared" si="0"/>
        <v>0</v>
      </c>
      <c r="K7" s="290">
        <f t="shared" si="0"/>
        <v>1994685.0060000001</v>
      </c>
      <c r="L7" s="290">
        <f t="shared" si="0"/>
        <v>0</v>
      </c>
      <c r="M7" s="290">
        <f t="shared" si="0"/>
        <v>0</v>
      </c>
      <c r="N7" s="169">
        <f>SUM(N8:N13)</f>
        <v>1994685.0060000001</v>
      </c>
    </row>
    <row r="8" spans="1:14">
      <c r="A8" s="168">
        <v>1.1000000000000001</v>
      </c>
      <c r="B8" s="112" t="s">
        <v>79</v>
      </c>
      <c r="C8" s="291">
        <v>99734250.298500001</v>
      </c>
      <c r="D8" s="113">
        <v>0.02</v>
      </c>
      <c r="E8" s="293">
        <f>C8*D8</f>
        <v>1994685.0059700001</v>
      </c>
      <c r="F8" s="291"/>
      <c r="G8" s="291"/>
      <c r="H8" s="291"/>
      <c r="I8" s="291"/>
      <c r="J8" s="291"/>
      <c r="K8" s="291">
        <v>1994685.0060000001</v>
      </c>
      <c r="L8" s="291"/>
      <c r="M8" s="291"/>
      <c r="N8" s="169">
        <f t="shared" ref="N8:N13" si="1">SUMPRODUCT($F$6:$M$6,F8:M8)</f>
        <v>1994685.0060000001</v>
      </c>
    </row>
    <row r="9" spans="1:14">
      <c r="A9" s="168">
        <v>1.2</v>
      </c>
      <c r="B9" s="112" t="s">
        <v>80</v>
      </c>
      <c r="C9" s="291">
        <v>0</v>
      </c>
      <c r="D9" s="113">
        <v>0.05</v>
      </c>
      <c r="E9" s="293">
        <f>C9*D9</f>
        <v>0</v>
      </c>
      <c r="F9" s="291"/>
      <c r="G9" s="291"/>
      <c r="H9" s="291"/>
      <c r="I9" s="291"/>
      <c r="J9" s="291"/>
      <c r="K9" s="291"/>
      <c r="L9" s="291"/>
      <c r="M9" s="291"/>
      <c r="N9" s="169">
        <f t="shared" si="1"/>
        <v>0</v>
      </c>
    </row>
    <row r="10" spans="1:14">
      <c r="A10" s="168">
        <v>1.3</v>
      </c>
      <c r="B10" s="112" t="s">
        <v>81</v>
      </c>
      <c r="C10" s="291">
        <v>0</v>
      </c>
      <c r="D10" s="113">
        <v>0.08</v>
      </c>
      <c r="E10" s="293">
        <f>C10*D10</f>
        <v>0</v>
      </c>
      <c r="F10" s="291"/>
      <c r="G10" s="291"/>
      <c r="H10" s="291"/>
      <c r="I10" s="291"/>
      <c r="J10" s="291"/>
      <c r="K10" s="291"/>
      <c r="L10" s="291"/>
      <c r="M10" s="291"/>
      <c r="N10" s="169">
        <f t="shared" si="1"/>
        <v>0</v>
      </c>
    </row>
    <row r="11" spans="1:14">
      <c r="A11" s="168">
        <v>1.4</v>
      </c>
      <c r="B11" s="112" t="s">
        <v>82</v>
      </c>
      <c r="C11" s="291">
        <v>0</v>
      </c>
      <c r="D11" s="113">
        <v>0.11</v>
      </c>
      <c r="E11" s="293">
        <f>C11*D11</f>
        <v>0</v>
      </c>
      <c r="F11" s="291"/>
      <c r="G11" s="291"/>
      <c r="H11" s="291"/>
      <c r="I11" s="291"/>
      <c r="J11" s="291"/>
      <c r="K11" s="291"/>
      <c r="L11" s="291"/>
      <c r="M11" s="291"/>
      <c r="N11" s="169">
        <f t="shared" si="1"/>
        <v>0</v>
      </c>
    </row>
    <row r="12" spans="1:14">
      <c r="A12" s="168">
        <v>1.5</v>
      </c>
      <c r="B12" s="112" t="s">
        <v>83</v>
      </c>
      <c r="C12" s="291">
        <v>0</v>
      </c>
      <c r="D12" s="113">
        <v>0.14000000000000001</v>
      </c>
      <c r="E12" s="293">
        <f>C12*D12</f>
        <v>0</v>
      </c>
      <c r="F12" s="291"/>
      <c r="G12" s="291"/>
      <c r="H12" s="291"/>
      <c r="I12" s="291"/>
      <c r="J12" s="291"/>
      <c r="K12" s="291"/>
      <c r="L12" s="291"/>
      <c r="M12" s="291"/>
      <c r="N12" s="169">
        <f t="shared" si="1"/>
        <v>0</v>
      </c>
    </row>
    <row r="13" spans="1:14">
      <c r="A13" s="168">
        <v>1.6</v>
      </c>
      <c r="B13" s="114" t="s">
        <v>84</v>
      </c>
      <c r="C13" s="291">
        <v>0</v>
      </c>
      <c r="D13" s="115"/>
      <c r="E13" s="291"/>
      <c r="F13" s="291"/>
      <c r="G13" s="291"/>
      <c r="H13" s="291"/>
      <c r="I13" s="291"/>
      <c r="J13" s="291"/>
      <c r="K13" s="291"/>
      <c r="L13" s="291"/>
      <c r="M13" s="291"/>
      <c r="N13" s="169">
        <f t="shared" si="1"/>
        <v>0</v>
      </c>
    </row>
    <row r="14" spans="1:14">
      <c r="A14" s="168">
        <v>2</v>
      </c>
      <c r="B14" s="116" t="s">
        <v>85</v>
      </c>
      <c r="C14" s="290">
        <f>SUM(C15:C20)</f>
        <v>0</v>
      </c>
      <c r="D14" s="106"/>
      <c r="E14" s="293">
        <f t="shared" ref="E14:M14" si="2">SUM(E15:E20)</f>
        <v>0</v>
      </c>
      <c r="F14" s="291">
        <f t="shared" si="2"/>
        <v>0</v>
      </c>
      <c r="G14" s="291">
        <f t="shared" si="2"/>
        <v>0</v>
      </c>
      <c r="H14" s="291">
        <f t="shared" si="2"/>
        <v>0</v>
      </c>
      <c r="I14" s="291">
        <f t="shared" si="2"/>
        <v>0</v>
      </c>
      <c r="J14" s="291">
        <f t="shared" si="2"/>
        <v>0</v>
      </c>
      <c r="K14" s="291">
        <f t="shared" si="2"/>
        <v>0</v>
      </c>
      <c r="L14" s="291">
        <f t="shared" si="2"/>
        <v>0</v>
      </c>
      <c r="M14" s="291">
        <f t="shared" si="2"/>
        <v>0</v>
      </c>
      <c r="N14" s="169">
        <f>SUM(N15:N20)</f>
        <v>0</v>
      </c>
    </row>
    <row r="15" spans="1:14">
      <c r="A15" s="168">
        <v>2.1</v>
      </c>
      <c r="B15" s="114" t="s">
        <v>79</v>
      </c>
      <c r="C15" s="291"/>
      <c r="D15" s="113">
        <v>5.0000000000000001E-3</v>
      </c>
      <c r="E15" s="293">
        <f>C15*D15</f>
        <v>0</v>
      </c>
      <c r="F15" s="291"/>
      <c r="G15" s="291"/>
      <c r="H15" s="291"/>
      <c r="I15" s="291"/>
      <c r="J15" s="291"/>
      <c r="K15" s="291"/>
      <c r="L15" s="291"/>
      <c r="M15" s="291"/>
      <c r="N15" s="169">
        <f t="shared" ref="N15:N20" si="3">SUMPRODUCT($F$6:$M$6,F15:M15)</f>
        <v>0</v>
      </c>
    </row>
    <row r="16" spans="1:14">
      <c r="A16" s="168">
        <v>2.2000000000000002</v>
      </c>
      <c r="B16" s="114" t="s">
        <v>80</v>
      </c>
      <c r="C16" s="291"/>
      <c r="D16" s="113">
        <v>0.01</v>
      </c>
      <c r="E16" s="293">
        <f>C16*D16</f>
        <v>0</v>
      </c>
      <c r="F16" s="291"/>
      <c r="G16" s="291"/>
      <c r="H16" s="291"/>
      <c r="I16" s="291"/>
      <c r="J16" s="291"/>
      <c r="K16" s="291"/>
      <c r="L16" s="291"/>
      <c r="M16" s="291"/>
      <c r="N16" s="169">
        <f t="shared" si="3"/>
        <v>0</v>
      </c>
    </row>
    <row r="17" spans="1:14">
      <c r="A17" s="168">
        <v>2.2999999999999998</v>
      </c>
      <c r="B17" s="114" t="s">
        <v>81</v>
      </c>
      <c r="C17" s="291"/>
      <c r="D17" s="113">
        <v>0.02</v>
      </c>
      <c r="E17" s="293">
        <f>C17*D17</f>
        <v>0</v>
      </c>
      <c r="F17" s="291"/>
      <c r="G17" s="291"/>
      <c r="H17" s="291"/>
      <c r="I17" s="291"/>
      <c r="J17" s="291"/>
      <c r="K17" s="291"/>
      <c r="L17" s="291"/>
      <c r="M17" s="291"/>
      <c r="N17" s="169">
        <f t="shared" si="3"/>
        <v>0</v>
      </c>
    </row>
    <row r="18" spans="1:14">
      <c r="A18" s="168">
        <v>2.4</v>
      </c>
      <c r="B18" s="114" t="s">
        <v>82</v>
      </c>
      <c r="C18" s="291"/>
      <c r="D18" s="113">
        <v>0.03</v>
      </c>
      <c r="E18" s="293">
        <f>C18*D18</f>
        <v>0</v>
      </c>
      <c r="F18" s="291"/>
      <c r="G18" s="291"/>
      <c r="H18" s="291"/>
      <c r="I18" s="291"/>
      <c r="J18" s="291"/>
      <c r="K18" s="291"/>
      <c r="L18" s="291"/>
      <c r="M18" s="291"/>
      <c r="N18" s="169">
        <f t="shared" si="3"/>
        <v>0</v>
      </c>
    </row>
    <row r="19" spans="1:14">
      <c r="A19" s="168">
        <v>2.5</v>
      </c>
      <c r="B19" s="114" t="s">
        <v>83</v>
      </c>
      <c r="C19" s="291"/>
      <c r="D19" s="113">
        <v>0.04</v>
      </c>
      <c r="E19" s="293">
        <f>C19*D19</f>
        <v>0</v>
      </c>
      <c r="F19" s="291"/>
      <c r="G19" s="291"/>
      <c r="H19" s="291"/>
      <c r="I19" s="291"/>
      <c r="J19" s="291"/>
      <c r="K19" s="291"/>
      <c r="L19" s="291"/>
      <c r="M19" s="291"/>
      <c r="N19" s="169">
        <f t="shared" si="3"/>
        <v>0</v>
      </c>
    </row>
    <row r="20" spans="1:14">
      <c r="A20" s="168">
        <v>2.6</v>
      </c>
      <c r="B20" s="114" t="s">
        <v>84</v>
      </c>
      <c r="C20" s="291"/>
      <c r="D20" s="115"/>
      <c r="E20" s="294"/>
      <c r="F20" s="291"/>
      <c r="G20" s="291"/>
      <c r="H20" s="291"/>
      <c r="I20" s="291"/>
      <c r="J20" s="291"/>
      <c r="K20" s="291"/>
      <c r="L20" s="291"/>
      <c r="M20" s="291"/>
      <c r="N20" s="169">
        <f t="shared" si="3"/>
        <v>0</v>
      </c>
    </row>
    <row r="21" spans="1:14" ht="14" thickBot="1">
      <c r="A21" s="170">
        <v>3</v>
      </c>
      <c r="B21" s="171" t="s">
        <v>68</v>
      </c>
      <c r="C21" s="292">
        <f>C14+C7</f>
        <v>99734250.298500001</v>
      </c>
      <c r="D21" s="172"/>
      <c r="E21" s="295">
        <f>E14+E7</f>
        <v>1994685.0059700001</v>
      </c>
      <c r="F21" s="296">
        <f>F7+F14</f>
        <v>0</v>
      </c>
      <c r="G21" s="296">
        <f t="shared" ref="G21:L21" si="4">G7+G14</f>
        <v>0</v>
      </c>
      <c r="H21" s="296">
        <f t="shared" si="4"/>
        <v>0</v>
      </c>
      <c r="I21" s="296">
        <f t="shared" si="4"/>
        <v>0</v>
      </c>
      <c r="J21" s="296">
        <f t="shared" si="4"/>
        <v>0</v>
      </c>
      <c r="K21" s="296">
        <f t="shared" si="4"/>
        <v>1994685.0060000001</v>
      </c>
      <c r="L21" s="296">
        <f t="shared" si="4"/>
        <v>0</v>
      </c>
      <c r="M21" s="296">
        <f>M7+M14</f>
        <v>0</v>
      </c>
      <c r="N21" s="173">
        <f>N14+N7</f>
        <v>1994685.0060000001</v>
      </c>
    </row>
    <row r="22" spans="1:14">
      <c r="E22" s="297"/>
      <c r="F22" s="297"/>
      <c r="G22" s="297"/>
      <c r="H22" s="297"/>
      <c r="I22" s="297"/>
      <c r="J22" s="297"/>
      <c r="K22" s="297"/>
      <c r="L22" s="297"/>
      <c r="M22" s="29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zoomScale="80" zoomScaleNormal="80" workbookViewId="0">
      <selection activeCell="C38" sqref="C38"/>
    </sheetView>
  </sheetViews>
  <sheetFormatPr defaultRowHeight="14.5"/>
  <cols>
    <col min="1" max="1" width="11.453125" customWidth="1"/>
    <col min="2" max="2" width="76.81640625" style="4" customWidth="1"/>
    <col min="3" max="3" width="22.81640625" customWidth="1"/>
  </cols>
  <sheetData>
    <row r="1" spans="1:3">
      <c r="A1" s="335" t="s">
        <v>188</v>
      </c>
      <c r="B1" t="str">
        <f>Info!C2</f>
        <v>სს " პაშა ბანკი საქართველო"</v>
      </c>
    </row>
    <row r="2" spans="1:3">
      <c r="A2" s="335" t="s">
        <v>189</v>
      </c>
      <c r="B2" s="471">
        <f>'1. key ratios'!B2</f>
        <v>44377</v>
      </c>
    </row>
    <row r="3" spans="1:3">
      <c r="A3" s="335"/>
      <c r="B3"/>
    </row>
    <row r="4" spans="1:3">
      <c r="A4" s="335" t="s">
        <v>469</v>
      </c>
      <c r="B4" t="s">
        <v>428</v>
      </c>
    </row>
    <row r="5" spans="1:3">
      <c r="A5" s="395"/>
      <c r="B5" s="395" t="s">
        <v>429</v>
      </c>
      <c r="C5" s="407"/>
    </row>
    <row r="6" spans="1:3">
      <c r="A6" s="396">
        <v>1</v>
      </c>
      <c r="B6" s="408" t="s">
        <v>481</v>
      </c>
      <c r="C6" s="409">
        <v>419014742.83320004</v>
      </c>
    </row>
    <row r="7" spans="1:3">
      <c r="A7" s="396">
        <v>2</v>
      </c>
      <c r="B7" s="408" t="s">
        <v>430</v>
      </c>
      <c r="C7" s="409">
        <v>-4458054.1100000003</v>
      </c>
    </row>
    <row r="8" spans="1:3">
      <c r="A8" s="397">
        <v>3</v>
      </c>
      <c r="B8" s="410" t="s">
        <v>431</v>
      </c>
      <c r="C8" s="411">
        <f>C6+C7</f>
        <v>414556688.72320002</v>
      </c>
    </row>
    <row r="9" spans="1:3">
      <c r="A9" s="398"/>
      <c r="B9" s="398" t="s">
        <v>432</v>
      </c>
      <c r="C9" s="412"/>
    </row>
    <row r="10" spans="1:3">
      <c r="A10" s="399">
        <v>4</v>
      </c>
      <c r="B10" s="413" t="s">
        <v>433</v>
      </c>
      <c r="C10" s="409"/>
    </row>
    <row r="11" spans="1:3">
      <c r="A11" s="399">
        <v>5</v>
      </c>
      <c r="B11" s="414" t="s">
        <v>434</v>
      </c>
      <c r="C11" s="409"/>
    </row>
    <row r="12" spans="1:3">
      <c r="A12" s="399" t="s">
        <v>435</v>
      </c>
      <c r="B12" s="408" t="s">
        <v>436</v>
      </c>
      <c r="C12" s="411">
        <f>'15. CCR'!E21</f>
        <v>1994685.0059700001</v>
      </c>
    </row>
    <row r="13" spans="1:3">
      <c r="A13" s="400">
        <v>6</v>
      </c>
      <c r="B13" s="415" t="s">
        <v>437</v>
      </c>
      <c r="C13" s="409"/>
    </row>
    <row r="14" spans="1:3">
      <c r="A14" s="400">
        <v>7</v>
      </c>
      <c r="B14" s="416" t="s">
        <v>438</v>
      </c>
      <c r="C14" s="409"/>
    </row>
    <row r="15" spans="1:3">
      <c r="A15" s="401">
        <v>8</v>
      </c>
      <c r="B15" s="408" t="s">
        <v>439</v>
      </c>
      <c r="C15" s="409"/>
    </row>
    <row r="16" spans="1:3" ht="23">
      <c r="A16" s="400">
        <v>9</v>
      </c>
      <c r="B16" s="416" t="s">
        <v>440</v>
      </c>
      <c r="C16" s="409"/>
    </row>
    <row r="17" spans="1:3">
      <c r="A17" s="400">
        <v>10</v>
      </c>
      <c r="B17" s="416" t="s">
        <v>441</v>
      </c>
      <c r="C17" s="409"/>
    </row>
    <row r="18" spans="1:3">
      <c r="A18" s="402">
        <v>11</v>
      </c>
      <c r="B18" s="417" t="s">
        <v>442</v>
      </c>
      <c r="C18" s="411">
        <f>SUM(C10:C17)</f>
        <v>1994685.0059700001</v>
      </c>
    </row>
    <row r="19" spans="1:3">
      <c r="A19" s="398"/>
      <c r="B19" s="398" t="s">
        <v>443</v>
      </c>
      <c r="C19" s="418"/>
    </row>
    <row r="20" spans="1:3">
      <c r="A20" s="400">
        <v>12</v>
      </c>
      <c r="B20" s="413" t="s">
        <v>444</v>
      </c>
      <c r="C20" s="409"/>
    </row>
    <row r="21" spans="1:3">
      <c r="A21" s="400">
        <v>13</v>
      </c>
      <c r="B21" s="413" t="s">
        <v>445</v>
      </c>
      <c r="C21" s="409"/>
    </row>
    <row r="22" spans="1:3">
      <c r="A22" s="400">
        <v>14</v>
      </c>
      <c r="B22" s="413" t="s">
        <v>446</v>
      </c>
      <c r="C22" s="409"/>
    </row>
    <row r="23" spans="1:3" ht="23">
      <c r="A23" s="400" t="s">
        <v>447</v>
      </c>
      <c r="B23" s="413" t="s">
        <v>448</v>
      </c>
      <c r="C23" s="409"/>
    </row>
    <row r="24" spans="1:3">
      <c r="A24" s="400">
        <v>15</v>
      </c>
      <c r="B24" s="413" t="s">
        <v>449</v>
      </c>
      <c r="C24" s="409"/>
    </row>
    <row r="25" spans="1:3">
      <c r="A25" s="400" t="s">
        <v>450</v>
      </c>
      <c r="B25" s="408" t="s">
        <v>451</v>
      </c>
      <c r="C25" s="409"/>
    </row>
    <row r="26" spans="1:3">
      <c r="A26" s="402">
        <v>16</v>
      </c>
      <c r="B26" s="417" t="s">
        <v>452</v>
      </c>
      <c r="C26" s="411">
        <f>SUM(C20:C25)</f>
        <v>0</v>
      </c>
    </row>
    <row r="27" spans="1:3">
      <c r="A27" s="398"/>
      <c r="B27" s="398" t="s">
        <v>453</v>
      </c>
      <c r="C27" s="412"/>
    </row>
    <row r="28" spans="1:3">
      <c r="A28" s="399">
        <v>17</v>
      </c>
      <c r="B28" s="408" t="s">
        <v>454</v>
      </c>
      <c r="C28" s="409">
        <v>56174818.818499997</v>
      </c>
    </row>
    <row r="29" spans="1:3">
      <c r="A29" s="399">
        <v>18</v>
      </c>
      <c r="B29" s="408" t="s">
        <v>455</v>
      </c>
      <c r="C29" s="409">
        <v>-54863618.7905</v>
      </c>
    </row>
    <row r="30" spans="1:3">
      <c r="A30" s="402">
        <v>19</v>
      </c>
      <c r="B30" s="417" t="s">
        <v>456</v>
      </c>
      <c r="C30" s="411">
        <f>C28+C29</f>
        <v>1311200.0279999971</v>
      </c>
    </row>
    <row r="31" spans="1:3">
      <c r="A31" s="403"/>
      <c r="B31" s="398" t="s">
        <v>457</v>
      </c>
      <c r="C31" s="412"/>
    </row>
    <row r="32" spans="1:3">
      <c r="A32" s="399" t="s">
        <v>458</v>
      </c>
      <c r="B32" s="413" t="s">
        <v>459</v>
      </c>
      <c r="C32" s="419"/>
    </row>
    <row r="33" spans="1:3">
      <c r="A33" s="399" t="s">
        <v>460</v>
      </c>
      <c r="B33" s="414" t="s">
        <v>461</v>
      </c>
      <c r="C33" s="419"/>
    </row>
    <row r="34" spans="1:3">
      <c r="A34" s="398"/>
      <c r="B34" s="398" t="s">
        <v>462</v>
      </c>
      <c r="C34" s="412"/>
    </row>
    <row r="35" spans="1:3">
      <c r="A35" s="402">
        <v>20</v>
      </c>
      <c r="B35" s="417" t="s">
        <v>89</v>
      </c>
      <c r="C35" s="411">
        <f>'1. key ratios'!C9</f>
        <v>70133158.109999999</v>
      </c>
    </row>
    <row r="36" spans="1:3">
      <c r="A36" s="402">
        <v>21</v>
      </c>
      <c r="B36" s="417" t="s">
        <v>463</v>
      </c>
      <c r="C36" s="411">
        <f>C8+C18+C26+C30</f>
        <v>417862573.75717002</v>
      </c>
    </row>
    <row r="37" spans="1:3">
      <c r="A37" s="404"/>
      <c r="B37" s="404" t="s">
        <v>428</v>
      </c>
      <c r="C37" s="412"/>
    </row>
    <row r="38" spans="1:3">
      <c r="A38" s="402">
        <v>22</v>
      </c>
      <c r="B38" s="417" t="s">
        <v>428</v>
      </c>
      <c r="C38" s="589">
        <f>IFERROR(C35/C36,0)</f>
        <v>0.1678378551096468</v>
      </c>
    </row>
    <row r="39" spans="1:3">
      <c r="A39" s="404"/>
      <c r="B39" s="404" t="s">
        <v>464</v>
      </c>
      <c r="C39" s="412"/>
    </row>
    <row r="40" spans="1:3">
      <c r="A40" s="405" t="s">
        <v>465</v>
      </c>
      <c r="B40" s="413" t="s">
        <v>466</v>
      </c>
      <c r="C40" s="419"/>
    </row>
    <row r="41" spans="1:3">
      <c r="A41" s="406" t="s">
        <v>467</v>
      </c>
      <c r="B41" s="414" t="s">
        <v>468</v>
      </c>
      <c r="C41" s="419"/>
    </row>
    <row r="43" spans="1:3">
      <c r="B43" s="431" t="s">
        <v>482</v>
      </c>
    </row>
  </sheetData>
  <pageMargins left="0.7" right="0.7" top="0.75" bottom="0.75" header="0.3" footer="0.3"/>
  <pageSetup paperSize="9"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70" zoomScaleNormal="70" workbookViewId="0">
      <pane xSplit="2" ySplit="6" topLeftCell="C19" activePane="bottomRight" state="frozen"/>
      <selection pane="topRight" activeCell="C1" sqref="C1"/>
      <selection pane="bottomLeft" activeCell="A7" sqref="A7"/>
      <selection pane="bottomRight" activeCell="M24" sqref="M24"/>
    </sheetView>
  </sheetViews>
  <sheetFormatPr defaultRowHeight="14.5"/>
  <cols>
    <col min="1" max="1" width="9.90625" style="335" bestFit="1" customWidth="1"/>
    <col min="2" max="2" width="71.54296875" style="23" customWidth="1"/>
    <col min="3" max="7" width="17.54296875" style="335" customWidth="1"/>
  </cols>
  <sheetData>
    <row r="1" spans="1:7">
      <c r="A1" s="335" t="s">
        <v>188</v>
      </c>
      <c r="B1" s="335" t="str">
        <f>Info!C2</f>
        <v>სს " პაშა ბანკი საქართველო"</v>
      </c>
    </row>
    <row r="2" spans="1:7">
      <c r="A2" s="335" t="s">
        <v>189</v>
      </c>
      <c r="B2" s="471">
        <f>'1. key ratios'!B2</f>
        <v>44377</v>
      </c>
    </row>
    <row r="3" spans="1:7">
      <c r="B3" s="471"/>
    </row>
    <row r="4" spans="1:7" ht="15" thickBot="1">
      <c r="A4" s="335" t="s">
        <v>528</v>
      </c>
      <c r="B4" s="475" t="s">
        <v>496</v>
      </c>
    </row>
    <row r="5" spans="1:7" ht="14.4" customHeight="1">
      <c r="A5" s="476"/>
      <c r="B5" s="598"/>
      <c r="C5" s="783" t="s">
        <v>741</v>
      </c>
      <c r="D5" s="783"/>
      <c r="E5" s="783"/>
      <c r="F5" s="783"/>
      <c r="G5" s="784" t="s">
        <v>497</v>
      </c>
    </row>
    <row r="6" spans="1:7">
      <c r="A6" s="477" t="s">
        <v>740</v>
      </c>
      <c r="B6" s="599"/>
      <c r="C6" s="600" t="s">
        <v>742</v>
      </c>
      <c r="D6" s="600" t="s">
        <v>498</v>
      </c>
      <c r="E6" s="600" t="s">
        <v>499</v>
      </c>
      <c r="F6" s="600" t="s">
        <v>500</v>
      </c>
      <c r="G6" s="785"/>
    </row>
    <row r="7" spans="1:7">
      <c r="A7" s="478" t="s">
        <v>740</v>
      </c>
      <c r="B7" s="601" t="s">
        <v>501</v>
      </c>
      <c r="C7" s="602" t="s">
        <v>740</v>
      </c>
      <c r="D7" s="602"/>
      <c r="E7" s="602"/>
      <c r="F7" s="602"/>
      <c r="G7" s="603"/>
    </row>
    <row r="8" spans="1:7">
      <c r="A8" s="479">
        <v>1</v>
      </c>
      <c r="B8" s="604" t="s">
        <v>502</v>
      </c>
      <c r="C8" s="605">
        <f>SUM(C9:C10)</f>
        <v>70133158.109999999</v>
      </c>
      <c r="D8" s="605">
        <f>SUM(D9:D10)</f>
        <v>0</v>
      </c>
      <c r="E8" s="605">
        <f>SUM(E9:E10)</f>
        <v>0</v>
      </c>
      <c r="F8" s="605">
        <f>SUM(F9:F10)</f>
        <v>219591922.97972289</v>
      </c>
      <c r="G8" s="606">
        <f>SUM(G9:G10)</f>
        <v>289725081.08972287</v>
      </c>
    </row>
    <row r="9" spans="1:7">
      <c r="A9" s="479">
        <v>2</v>
      </c>
      <c r="B9" s="607" t="s">
        <v>88</v>
      </c>
      <c r="C9" s="605">
        <v>70133158.109999999</v>
      </c>
      <c r="D9" s="605"/>
      <c r="E9" s="605"/>
      <c r="F9" s="605">
        <v>28262704.8193</v>
      </c>
      <c r="G9" s="606">
        <v>98395862.929299995</v>
      </c>
    </row>
    <row r="10" spans="1:7">
      <c r="A10" s="479">
        <v>3</v>
      </c>
      <c r="B10" s="607" t="s">
        <v>503</v>
      </c>
      <c r="C10" s="608"/>
      <c r="D10" s="608"/>
      <c r="E10" s="608"/>
      <c r="F10" s="605">
        <v>191329218.16042289</v>
      </c>
      <c r="G10" s="606">
        <v>191329218.16042289</v>
      </c>
    </row>
    <row r="11" spans="1:7" ht="26.5">
      <c r="A11" s="479">
        <v>4</v>
      </c>
      <c r="B11" s="604" t="s">
        <v>504</v>
      </c>
      <c r="C11" s="605">
        <f>C12+C13</f>
        <v>9999110.7017000094</v>
      </c>
      <c r="D11" s="605">
        <f t="shared" ref="D11:F11" si="0">D12+D13</f>
        <v>8532001.3918999918</v>
      </c>
      <c r="E11" s="605">
        <f t="shared" si="0"/>
        <v>4589917.9221000001</v>
      </c>
      <c r="F11" s="605">
        <f t="shared" si="0"/>
        <v>1137487.7083000001</v>
      </c>
      <c r="G11" s="606">
        <f>SUM(G12:G13)</f>
        <v>18192324.056904998</v>
      </c>
    </row>
    <row r="12" spans="1:7">
      <c r="A12" s="479">
        <v>5</v>
      </c>
      <c r="B12" s="607" t="s">
        <v>505</v>
      </c>
      <c r="C12" s="605">
        <v>1715793.5041000093</v>
      </c>
      <c r="D12" s="609">
        <v>7660979.591899991</v>
      </c>
      <c r="E12" s="605">
        <v>3908540.9348999998</v>
      </c>
      <c r="F12" s="605">
        <v>188164.1799999997</v>
      </c>
      <c r="G12" s="606">
        <v>12799804.300354999</v>
      </c>
    </row>
    <row r="13" spans="1:7">
      <c r="A13" s="479">
        <v>6</v>
      </c>
      <c r="B13" s="607" t="s">
        <v>506</v>
      </c>
      <c r="C13" s="605">
        <v>8283317.1975999996</v>
      </c>
      <c r="D13" s="609">
        <v>871021.80000000028</v>
      </c>
      <c r="E13" s="605">
        <v>681376.98719999997</v>
      </c>
      <c r="F13" s="605">
        <v>949323.52830000035</v>
      </c>
      <c r="G13" s="606">
        <v>5392519.75655</v>
      </c>
    </row>
    <row r="14" spans="1:7">
      <c r="A14" s="479">
        <v>7</v>
      </c>
      <c r="B14" s="604" t="s">
        <v>507</v>
      </c>
      <c r="C14" s="605">
        <f>C15+C16</f>
        <v>34765478.16139999</v>
      </c>
      <c r="D14" s="605">
        <f t="shared" ref="D14:F14" si="1">D15+D16</f>
        <v>40937447.3618</v>
      </c>
      <c r="E14" s="605">
        <f t="shared" si="1"/>
        <v>1205693</v>
      </c>
      <c r="F14" s="605">
        <f t="shared" si="1"/>
        <v>0</v>
      </c>
      <c r="G14" s="606">
        <f>SUM(G15:G16)</f>
        <v>21663274.767499994</v>
      </c>
    </row>
    <row r="15" spans="1:7" ht="65.5">
      <c r="A15" s="479">
        <v>8</v>
      </c>
      <c r="B15" s="607" t="s">
        <v>508</v>
      </c>
      <c r="C15" s="605">
        <v>31920431.673199989</v>
      </c>
      <c r="D15" s="609">
        <v>10200424.8618</v>
      </c>
      <c r="E15" s="605">
        <v>1174090</v>
      </c>
      <c r="F15" s="605">
        <v>0</v>
      </c>
      <c r="G15" s="606">
        <v>21647473.267499994</v>
      </c>
    </row>
    <row r="16" spans="1:7" ht="39.5">
      <c r="A16" s="479">
        <v>9</v>
      </c>
      <c r="B16" s="607" t="s">
        <v>509</v>
      </c>
      <c r="C16" s="605">
        <v>2845046.4881999996</v>
      </c>
      <c r="D16" s="609">
        <v>30737022.5</v>
      </c>
      <c r="E16" s="605">
        <v>31603</v>
      </c>
      <c r="F16" s="605">
        <v>0</v>
      </c>
      <c r="G16" s="606">
        <v>15801.5</v>
      </c>
    </row>
    <row r="17" spans="1:7">
      <c r="A17" s="479">
        <v>10</v>
      </c>
      <c r="B17" s="604" t="s">
        <v>510</v>
      </c>
      <c r="C17" s="605" t="s">
        <v>740</v>
      </c>
      <c r="D17" s="609"/>
      <c r="E17" s="605"/>
      <c r="F17" s="605"/>
      <c r="G17" s="606"/>
    </row>
    <row r="18" spans="1:7">
      <c r="A18" s="479">
        <v>11</v>
      </c>
      <c r="B18" s="604" t="s">
        <v>95</v>
      </c>
      <c r="C18" s="605">
        <f>C19+C20</f>
        <v>0</v>
      </c>
      <c r="D18" s="609">
        <f t="shared" ref="D18:F18" si="2">D19+D20</f>
        <v>22008309.822099999</v>
      </c>
      <c r="E18" s="605">
        <f t="shared" si="2"/>
        <v>0</v>
      </c>
      <c r="F18" s="605">
        <f t="shared" si="2"/>
        <v>0</v>
      </c>
      <c r="G18" s="606">
        <f t="shared" ref="G18" si="3">SUM(G19:G20)</f>
        <v>0</v>
      </c>
    </row>
    <row r="19" spans="1:7">
      <c r="A19" s="479">
        <v>12</v>
      </c>
      <c r="B19" s="607" t="s">
        <v>511</v>
      </c>
      <c r="C19" s="608"/>
      <c r="D19" s="609">
        <v>95021.33</v>
      </c>
      <c r="E19" s="605">
        <v>0</v>
      </c>
      <c r="F19" s="605">
        <v>0</v>
      </c>
      <c r="G19" s="606">
        <v>0</v>
      </c>
    </row>
    <row r="20" spans="1:7" ht="26.5">
      <c r="A20" s="479">
        <v>13</v>
      </c>
      <c r="B20" s="607" t="s">
        <v>512</v>
      </c>
      <c r="C20" s="605">
        <v>0</v>
      </c>
      <c r="D20" s="605">
        <v>21913288.4921</v>
      </c>
      <c r="E20" s="605">
        <v>0</v>
      </c>
      <c r="F20" s="605">
        <v>0</v>
      </c>
      <c r="G20" s="606">
        <v>0</v>
      </c>
    </row>
    <row r="21" spans="1:7">
      <c r="A21" s="480">
        <v>14</v>
      </c>
      <c r="B21" s="610" t="s">
        <v>513</v>
      </c>
      <c r="C21" s="608" t="s">
        <v>740</v>
      </c>
      <c r="D21" s="608"/>
      <c r="E21" s="608"/>
      <c r="F21" s="608"/>
      <c r="G21" s="611">
        <f>SUM(G8,G11,G14,G17,G18)</f>
        <v>329580679.91412783</v>
      </c>
    </row>
    <row r="22" spans="1:7">
      <c r="A22" s="481" t="s">
        <v>740</v>
      </c>
      <c r="B22" s="612" t="s">
        <v>514</v>
      </c>
      <c r="C22" s="613" t="s">
        <v>740</v>
      </c>
      <c r="D22" s="482"/>
      <c r="E22" s="613"/>
      <c r="F22" s="613"/>
      <c r="G22" s="614"/>
    </row>
    <row r="23" spans="1:7">
      <c r="A23" s="479">
        <v>15</v>
      </c>
      <c r="B23" s="604" t="s">
        <v>374</v>
      </c>
      <c r="C23" s="615">
        <v>82593043.662900001</v>
      </c>
      <c r="D23" s="616">
        <v>20103800</v>
      </c>
      <c r="E23" s="615">
        <v>0</v>
      </c>
      <c r="F23" s="615">
        <v>0</v>
      </c>
      <c r="G23" s="606">
        <v>2809928.5172700002</v>
      </c>
    </row>
    <row r="24" spans="1:7">
      <c r="A24" s="479">
        <v>16</v>
      </c>
      <c r="B24" s="604" t="s">
        <v>515</v>
      </c>
      <c r="C24" s="605">
        <f>SUM(C25:C27,C29,C31)</f>
        <v>2238271.3377</v>
      </c>
      <c r="D24" s="609">
        <f t="shared" ref="D24:F24" si="4">SUM(D25:D27,D29,D31)</f>
        <v>30849266.408522222</v>
      </c>
      <c r="E24" s="605">
        <f t="shared" si="4"/>
        <v>26917981.082041726</v>
      </c>
      <c r="F24" s="605">
        <f t="shared" si="4"/>
        <v>195823550.58615339</v>
      </c>
      <c r="G24" s="606">
        <f>SUM(G25:G27,G29,G31)</f>
        <v>195712782.1754604</v>
      </c>
    </row>
    <row r="25" spans="1:7" ht="26.5">
      <c r="A25" s="479">
        <v>17</v>
      </c>
      <c r="B25" s="607" t="s">
        <v>516</v>
      </c>
      <c r="C25" s="605">
        <v>0</v>
      </c>
      <c r="D25" s="609">
        <v>0</v>
      </c>
      <c r="E25" s="605">
        <v>0</v>
      </c>
      <c r="F25" s="605">
        <v>0</v>
      </c>
      <c r="G25" s="606">
        <v>0</v>
      </c>
    </row>
    <row r="26" spans="1:7" ht="39.5">
      <c r="A26" s="479">
        <v>18</v>
      </c>
      <c r="B26" s="607" t="s">
        <v>517</v>
      </c>
      <c r="C26" s="605">
        <v>2238271.3377</v>
      </c>
      <c r="D26" s="609">
        <v>5684934.4188000001</v>
      </c>
      <c r="E26" s="605">
        <v>5539378.1836999999</v>
      </c>
      <c r="F26" s="605">
        <v>13554178.519153386</v>
      </c>
      <c r="G26" s="606">
        <v>17512348.474478386</v>
      </c>
    </row>
    <row r="27" spans="1:7" ht="26.5">
      <c r="A27" s="479">
        <v>19</v>
      </c>
      <c r="B27" s="607" t="s">
        <v>518</v>
      </c>
      <c r="C27" s="605">
        <v>0</v>
      </c>
      <c r="D27" s="609">
        <v>24604331.989722222</v>
      </c>
      <c r="E27" s="605">
        <v>21027602.898341727</v>
      </c>
      <c r="F27" s="605">
        <v>166712747.97960001</v>
      </c>
      <c r="G27" s="606">
        <v>164521803.22669199</v>
      </c>
    </row>
    <row r="28" spans="1:7">
      <c r="A28" s="479">
        <v>20</v>
      </c>
      <c r="B28" s="617" t="s">
        <v>519</v>
      </c>
      <c r="C28" s="605" t="s">
        <v>740</v>
      </c>
      <c r="D28" s="609"/>
      <c r="E28" s="605"/>
      <c r="F28" s="605"/>
      <c r="G28" s="606"/>
    </row>
    <row r="29" spans="1:7">
      <c r="A29" s="479">
        <v>21</v>
      </c>
      <c r="B29" s="607" t="s">
        <v>743</v>
      </c>
      <c r="C29" s="605" t="s">
        <v>740</v>
      </c>
      <c r="D29" s="609"/>
      <c r="E29" s="605"/>
      <c r="F29" s="605"/>
      <c r="G29" s="606"/>
    </row>
    <row r="30" spans="1:7">
      <c r="A30" s="479">
        <v>22</v>
      </c>
      <c r="B30" s="617" t="s">
        <v>519</v>
      </c>
      <c r="C30" s="605" t="s">
        <v>740</v>
      </c>
      <c r="D30" s="609"/>
      <c r="E30" s="605"/>
      <c r="F30" s="605"/>
      <c r="G30" s="606"/>
    </row>
    <row r="31" spans="1:7" ht="26.5">
      <c r="A31" s="479">
        <v>23</v>
      </c>
      <c r="B31" s="607" t="s">
        <v>520</v>
      </c>
      <c r="C31" s="605">
        <v>0</v>
      </c>
      <c r="D31" s="609">
        <v>560000.00000000012</v>
      </c>
      <c r="E31" s="605">
        <v>351000.00000000006</v>
      </c>
      <c r="F31" s="605">
        <v>15556624.087400001</v>
      </c>
      <c r="G31" s="606">
        <v>13678630.47429</v>
      </c>
    </row>
    <row r="32" spans="1:7">
      <c r="A32" s="479">
        <v>24</v>
      </c>
      <c r="B32" s="604" t="s">
        <v>521</v>
      </c>
      <c r="C32" s="605" t="s">
        <v>740</v>
      </c>
      <c r="D32" s="609"/>
      <c r="E32" s="605"/>
      <c r="F32" s="605"/>
      <c r="G32" s="606"/>
    </row>
    <row r="33" spans="1:7">
      <c r="A33" s="479">
        <v>25</v>
      </c>
      <c r="B33" s="604" t="s">
        <v>165</v>
      </c>
      <c r="C33" s="605">
        <f>C34+C35</f>
        <v>12183370.810000001</v>
      </c>
      <c r="D33" s="605">
        <f t="shared" ref="D33:F33" si="5">D34+D35</f>
        <v>2069615.0753360644</v>
      </c>
      <c r="E33" s="605">
        <f t="shared" si="5"/>
        <v>177318.28689999995</v>
      </c>
      <c r="F33" s="605">
        <f t="shared" si="5"/>
        <v>35622586.696946613</v>
      </c>
      <c r="G33" s="606">
        <f>SUM(G34:G35)</f>
        <v>49096294.68806465</v>
      </c>
    </row>
    <row r="34" spans="1:7">
      <c r="A34" s="479">
        <v>26</v>
      </c>
      <c r="B34" s="607" t="s">
        <v>522</v>
      </c>
      <c r="C34" s="608"/>
      <c r="D34" s="609">
        <v>333741</v>
      </c>
      <c r="E34" s="605">
        <v>0</v>
      </c>
      <c r="F34" s="605">
        <v>0</v>
      </c>
      <c r="G34" s="606">
        <v>333741</v>
      </c>
    </row>
    <row r="35" spans="1:7">
      <c r="A35" s="479">
        <v>27</v>
      </c>
      <c r="B35" s="607" t="s">
        <v>523</v>
      </c>
      <c r="C35" s="605">
        <v>12183370.810000001</v>
      </c>
      <c r="D35" s="609">
        <v>1735874.0753360644</v>
      </c>
      <c r="E35" s="605">
        <v>177318.28689999995</v>
      </c>
      <c r="F35" s="605">
        <v>35622586.696946613</v>
      </c>
      <c r="G35" s="606">
        <v>48762553.68806465</v>
      </c>
    </row>
    <row r="36" spans="1:7">
      <c r="A36" s="479">
        <v>28</v>
      </c>
      <c r="B36" s="604" t="s">
        <v>524</v>
      </c>
      <c r="C36" s="605">
        <v>0</v>
      </c>
      <c r="D36" s="609">
        <v>31015939.0154</v>
      </c>
      <c r="E36" s="605">
        <v>9223175.2592999991</v>
      </c>
      <c r="F36" s="605">
        <v>15935704.6108</v>
      </c>
      <c r="G36" s="606">
        <v>5183488.6844950002</v>
      </c>
    </row>
    <row r="37" spans="1:7">
      <c r="A37" s="480">
        <v>29</v>
      </c>
      <c r="B37" s="610" t="s">
        <v>525</v>
      </c>
      <c r="C37" s="608" t="s">
        <v>740</v>
      </c>
      <c r="D37" s="608"/>
      <c r="E37" s="608"/>
      <c r="F37" s="608"/>
      <c r="G37" s="611">
        <f>SUM(G23:G24,G32:G33,G36)</f>
        <v>252802494.06529006</v>
      </c>
    </row>
    <row r="38" spans="1:7">
      <c r="A38" s="478"/>
      <c r="B38" s="618"/>
      <c r="C38" s="619"/>
      <c r="D38" s="619"/>
      <c r="E38" s="619"/>
      <c r="F38" s="619"/>
      <c r="G38" s="483"/>
    </row>
    <row r="39" spans="1:7" ht="15" thickBot="1">
      <c r="A39" s="484">
        <v>30</v>
      </c>
      <c r="B39" s="485" t="s">
        <v>496</v>
      </c>
      <c r="C39" s="343" t="s">
        <v>740</v>
      </c>
      <c r="D39" s="328"/>
      <c r="E39" s="328"/>
      <c r="F39" s="486"/>
      <c r="G39" s="620">
        <f>IFERROR(G21/G37,0)</f>
        <v>1.3037081818860878</v>
      </c>
    </row>
    <row r="42" spans="1:7" ht="39.5">
      <c r="B42" s="23" t="s">
        <v>526</v>
      </c>
    </row>
  </sheetData>
  <mergeCells count="2">
    <mergeCell ref="C5:F5"/>
    <mergeCell ref="G5:G6"/>
  </mergeCells>
  <pageMargins left="0.7" right="0.7" top="0.75" bottom="0.75" header="0.3" footer="0.3"/>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
  <sheetViews>
    <sheetView zoomScale="80" zoomScaleNormal="80" workbookViewId="0">
      <pane xSplit="1" ySplit="5" topLeftCell="B24" activePane="bottomRight" state="frozen"/>
      <selection pane="topRight" activeCell="B1" sqref="B1"/>
      <selection pane="bottomLeft" activeCell="A6" sqref="A6"/>
      <selection pane="bottomRight" activeCell="D27" sqref="D27"/>
    </sheetView>
  </sheetViews>
  <sheetFormatPr defaultRowHeight="14.5"/>
  <cols>
    <col min="1" max="1" width="9.54296875" style="19" bestFit="1" customWidth="1"/>
    <col min="2" max="2" width="88.36328125" style="16" customWidth="1"/>
    <col min="3" max="3" width="12.81640625" style="16" customWidth="1"/>
    <col min="4" max="7" width="12.81640625" style="2" customWidth="1"/>
    <col min="8" max="13" width="6.81640625" customWidth="1"/>
  </cols>
  <sheetData>
    <row r="1" spans="1:8">
      <c r="A1" s="17" t="s">
        <v>188</v>
      </c>
      <c r="B1" s="430" t="str">
        <f>Info!C2</f>
        <v>სს " პაშა ბანკი საქართველო"</v>
      </c>
    </row>
    <row r="2" spans="1:8">
      <c r="A2" s="17" t="s">
        <v>189</v>
      </c>
      <c r="B2" s="453">
        <v>44377</v>
      </c>
      <c r="C2" s="29"/>
      <c r="D2" s="18"/>
      <c r="E2" s="18"/>
      <c r="F2" s="18"/>
      <c r="G2" s="18"/>
      <c r="H2" s="1"/>
    </row>
    <row r="3" spans="1:8">
      <c r="A3" s="17"/>
      <c r="C3" s="29"/>
      <c r="D3" s="18"/>
      <c r="E3" s="18"/>
      <c r="F3" s="18"/>
      <c r="G3" s="18"/>
      <c r="H3" s="1"/>
    </row>
    <row r="4" spans="1:8" ht="15" thickBot="1">
      <c r="A4" s="70" t="s">
        <v>328</v>
      </c>
      <c r="B4" s="207" t="s">
        <v>223</v>
      </c>
      <c r="C4" s="208"/>
      <c r="D4" s="209"/>
      <c r="E4" s="209"/>
      <c r="F4" s="209"/>
      <c r="G4" s="209"/>
      <c r="H4" s="1"/>
    </row>
    <row r="5" spans="1:8">
      <c r="A5" s="314" t="s">
        <v>26</v>
      </c>
      <c r="B5" s="315"/>
      <c r="C5" s="454" t="str">
        <f>INT((MONTH($B$2))/3)&amp;"Q"&amp;"-"&amp;YEAR($B$2)</f>
        <v>2Q-2021</v>
      </c>
      <c r="D5" s="454" t="str">
        <f>IF(INT(MONTH($B$2))=3, "4"&amp;"Q"&amp;"-"&amp;YEAR($B$2)-1, IF(INT(MONTH($B$2))=6, "1"&amp;"Q"&amp;"-"&amp;YEAR($B$2), IF(INT(MONTH($B$2))=9, "2"&amp;"Q"&amp;"-"&amp;YEAR($B$2),IF(INT(MONTH($B$2))=12, "3"&amp;"Q"&amp;"-"&amp;YEAR($B$2), 0))))</f>
        <v>1Q-2021</v>
      </c>
      <c r="E5" s="454" t="str">
        <f>IF(INT(MONTH($B$2))=3, "3"&amp;"Q"&amp;"-"&amp;YEAR($B$2)-1, IF(INT(MONTH($B$2))=6, "4"&amp;"Q"&amp;"-"&amp;YEAR($B$2)-1, IF(INT(MONTH($B$2))=9, "1"&amp;"Q"&amp;"-"&amp;YEAR($B$2),IF(INT(MONTH($B$2))=12, "2"&amp;"Q"&amp;"-"&amp;YEAR($B$2), 0))))</f>
        <v>4Q-2020</v>
      </c>
      <c r="F5" s="454" t="str">
        <f>IF(INT(MONTH($B$2))=3, "2"&amp;"Q"&amp;"-"&amp;YEAR($B$2)-1, IF(INT(MONTH($B$2))=6, "3"&amp;"Q"&amp;"-"&amp;YEAR($B$2)-1, IF(INT(MONTH($B$2))=9, "4"&amp;"Q"&amp;"-"&amp;YEAR($B$2)-1,IF(INT(MONTH($B$2))=12, "1"&amp;"Q"&amp;"-"&amp;YEAR($B$2), 0))))</f>
        <v>3Q-2020</v>
      </c>
      <c r="G5" s="455" t="str">
        <f>IF(INT(MONTH($B$2))=3, "1"&amp;"Q"&amp;"-"&amp;YEAR($B$2)-1, IF(INT(MONTH($B$2))=6, "2"&amp;"Q"&amp;"-"&amp;YEAR($B$2)-1, IF(INT(MONTH($B$2))=9, "3"&amp;"Q"&amp;"-"&amp;YEAR($B$2)-1,IF(INT(MONTH($B$2))=12, "4"&amp;"Q"&amp;"-"&amp;YEAR($B$2)-1, 0))))</f>
        <v>2Q-2020</v>
      </c>
    </row>
    <row r="6" spans="1:8">
      <c r="A6" s="456"/>
      <c r="B6" s="457" t="s">
        <v>186</v>
      </c>
      <c r="C6" s="316"/>
      <c r="D6" s="316"/>
      <c r="E6" s="316"/>
      <c r="F6" s="316"/>
      <c r="G6" s="317"/>
    </row>
    <row r="7" spans="1:8">
      <c r="A7" s="456"/>
      <c r="B7" s="458" t="s">
        <v>190</v>
      </c>
      <c r="C7" s="316"/>
      <c r="D7" s="316"/>
      <c r="E7" s="316"/>
      <c r="F7" s="316"/>
      <c r="G7" s="317"/>
    </row>
    <row r="8" spans="1:8">
      <c r="A8" s="435">
        <v>1</v>
      </c>
      <c r="B8" s="436" t="s">
        <v>23</v>
      </c>
      <c r="C8" s="459">
        <v>70133158.109999999</v>
      </c>
      <c r="D8" s="460">
        <v>70050248.719999999</v>
      </c>
      <c r="E8" s="460">
        <v>71776387.769999996</v>
      </c>
      <c r="F8" s="460">
        <v>74981971.310000002</v>
      </c>
      <c r="G8" s="461">
        <v>77845531.489999995</v>
      </c>
    </row>
    <row r="9" spans="1:8">
      <c r="A9" s="435">
        <v>2</v>
      </c>
      <c r="B9" s="436" t="s">
        <v>89</v>
      </c>
      <c r="C9" s="459">
        <v>70133158.109999999</v>
      </c>
      <c r="D9" s="460">
        <v>70050248.719999999</v>
      </c>
      <c r="E9" s="460">
        <v>71776387.769999996</v>
      </c>
      <c r="F9" s="460">
        <v>74981971.310000002</v>
      </c>
      <c r="G9" s="461">
        <v>77845531.489999995</v>
      </c>
    </row>
    <row r="10" spans="1:8">
      <c r="A10" s="435">
        <v>3</v>
      </c>
      <c r="B10" s="436" t="s">
        <v>88</v>
      </c>
      <c r="C10" s="459">
        <v>103406697.0952</v>
      </c>
      <c r="D10" s="460">
        <v>107992024.3404</v>
      </c>
      <c r="E10" s="460">
        <v>110184247.3864</v>
      </c>
      <c r="F10" s="460">
        <v>113511209.59299999</v>
      </c>
      <c r="G10" s="461">
        <v>114338419.55769999</v>
      </c>
    </row>
    <row r="11" spans="1:8">
      <c r="A11" s="435">
        <v>4</v>
      </c>
      <c r="B11" s="436" t="s">
        <v>487</v>
      </c>
      <c r="C11" s="459">
        <v>29071307.524754953</v>
      </c>
      <c r="D11" s="460">
        <v>33015425.859989595</v>
      </c>
      <c r="E11" s="460">
        <v>29749757.063438006</v>
      </c>
      <c r="F11" s="460">
        <v>28768537.796632674</v>
      </c>
      <c r="G11" s="461">
        <v>29231113.659349401</v>
      </c>
    </row>
    <row r="12" spans="1:8">
      <c r="A12" s="435">
        <v>5</v>
      </c>
      <c r="B12" s="436" t="s">
        <v>488</v>
      </c>
      <c r="C12" s="459">
        <v>38774991.406018883</v>
      </c>
      <c r="D12" s="460">
        <v>44035897.076855518</v>
      </c>
      <c r="E12" s="460">
        <v>39681870.429069415</v>
      </c>
      <c r="F12" s="460">
        <v>38373163.820588268</v>
      </c>
      <c r="G12" s="461">
        <v>38987689.656258024</v>
      </c>
    </row>
    <row r="13" spans="1:8">
      <c r="A13" s="435">
        <v>6</v>
      </c>
      <c r="B13" s="436" t="s">
        <v>489</v>
      </c>
      <c r="C13" s="459">
        <v>62321136.913955279</v>
      </c>
      <c r="D13" s="460">
        <v>70845212.931051716</v>
      </c>
      <c r="E13" s="460">
        <v>72977891.601066157</v>
      </c>
      <c r="F13" s="460">
        <v>70844628.464073747</v>
      </c>
      <c r="G13" s="461">
        <v>72854978.283902109</v>
      </c>
    </row>
    <row r="14" spans="1:8">
      <c r="A14" s="456"/>
      <c r="B14" s="457" t="s">
        <v>491</v>
      </c>
      <c r="C14" s="316"/>
      <c r="D14" s="316"/>
      <c r="E14" s="316"/>
      <c r="F14" s="316"/>
      <c r="G14" s="317"/>
    </row>
    <row r="15" spans="1:8" ht="26">
      <c r="A15" s="435">
        <v>7</v>
      </c>
      <c r="B15" s="436" t="s">
        <v>490</v>
      </c>
      <c r="C15" s="462">
        <v>444839016.93383491</v>
      </c>
      <c r="D15" s="460">
        <v>503151401.18387604</v>
      </c>
      <c r="E15" s="460">
        <v>511914210.65998864</v>
      </c>
      <c r="F15" s="460">
        <v>493420977.04311895</v>
      </c>
      <c r="G15" s="461">
        <v>506656949.40557003</v>
      </c>
    </row>
    <row r="16" spans="1:8">
      <c r="A16" s="456"/>
      <c r="B16" s="457" t="s">
        <v>495</v>
      </c>
      <c r="C16" s="316"/>
      <c r="D16" s="316"/>
      <c r="E16" s="316"/>
      <c r="F16" s="316"/>
      <c r="G16" s="317"/>
    </row>
    <row r="17" spans="1:7" s="3" customFormat="1">
      <c r="A17" s="435"/>
      <c r="B17" s="458" t="s">
        <v>476</v>
      </c>
      <c r="C17" s="316"/>
      <c r="D17" s="316"/>
      <c r="E17" s="316"/>
      <c r="F17" s="316"/>
      <c r="G17" s="317"/>
    </row>
    <row r="18" spans="1:7">
      <c r="A18" s="434">
        <v>8</v>
      </c>
      <c r="B18" s="463" t="s">
        <v>485</v>
      </c>
      <c r="C18" s="472">
        <v>0.15765963739739036</v>
      </c>
      <c r="D18" s="473">
        <v>0.13922300237101043</v>
      </c>
      <c r="E18" s="473">
        <v>0.14021175086634508</v>
      </c>
      <c r="F18" s="473">
        <v>0.1519634851346166</v>
      </c>
      <c r="G18" s="474">
        <v>0.15364544309780309</v>
      </c>
    </row>
    <row r="19" spans="1:7" ht="15" customHeight="1">
      <c r="A19" s="434">
        <v>9</v>
      </c>
      <c r="B19" s="463" t="s">
        <v>484</v>
      </c>
      <c r="C19" s="472">
        <v>0.15765963739739036</v>
      </c>
      <c r="D19" s="473">
        <v>0.13922300237101043</v>
      </c>
      <c r="E19" s="473">
        <v>0.14021175086634508</v>
      </c>
      <c r="F19" s="473">
        <v>0.1519634851346166</v>
      </c>
      <c r="G19" s="474">
        <v>0.15364544309780309</v>
      </c>
    </row>
    <row r="20" spans="1:7">
      <c r="A20" s="434">
        <v>10</v>
      </c>
      <c r="B20" s="463" t="s">
        <v>486</v>
      </c>
      <c r="C20" s="472">
        <v>0.23245869440130665</v>
      </c>
      <c r="D20" s="473">
        <v>0.21463127020277231</v>
      </c>
      <c r="E20" s="473">
        <v>0.21523967315606315</v>
      </c>
      <c r="F20" s="473">
        <v>0.23004942001701825</v>
      </c>
      <c r="G20" s="474">
        <v>0.22567226146181626</v>
      </c>
    </row>
    <row r="21" spans="1:7">
      <c r="A21" s="434">
        <v>11</v>
      </c>
      <c r="B21" s="436" t="s">
        <v>487</v>
      </c>
      <c r="C21" s="472">
        <v>6.5352422827332612E-2</v>
      </c>
      <c r="D21" s="473">
        <v>6.5617278978666996E-2</v>
      </c>
      <c r="E21" s="473">
        <v>5.8114731813063134E-2</v>
      </c>
      <c r="F21" s="473">
        <v>5.8304245532952735E-2</v>
      </c>
      <c r="G21" s="474">
        <v>5.7694093989514694E-2</v>
      </c>
    </row>
    <row r="22" spans="1:7">
      <c r="A22" s="434">
        <v>12</v>
      </c>
      <c r="B22" s="436" t="s">
        <v>488</v>
      </c>
      <c r="C22" s="472">
        <v>8.716634541926041E-2</v>
      </c>
      <c r="D22" s="473">
        <v>8.7520171807615926E-2</v>
      </c>
      <c r="E22" s="473">
        <v>7.751664166226932E-2</v>
      </c>
      <c r="F22" s="473">
        <v>7.7769623923454073E-2</v>
      </c>
      <c r="G22" s="474">
        <v>7.6950863305296477E-2</v>
      </c>
    </row>
    <row r="23" spans="1:7">
      <c r="A23" s="434">
        <v>13</v>
      </c>
      <c r="B23" s="436" t="s">
        <v>489</v>
      </c>
      <c r="C23" s="472">
        <v>0.1400981805587096</v>
      </c>
      <c r="D23" s="473">
        <v>0.14080297255330793</v>
      </c>
      <c r="E23" s="473">
        <v>0.1425588313086088</v>
      </c>
      <c r="F23" s="473">
        <v>0.14357846901567739</v>
      </c>
      <c r="G23" s="474">
        <v>0.14379547812305465</v>
      </c>
    </row>
    <row r="24" spans="1:7">
      <c r="A24" s="456"/>
      <c r="B24" s="457" t="s">
        <v>6</v>
      </c>
      <c r="C24" s="316"/>
      <c r="D24" s="316"/>
      <c r="E24" s="316"/>
      <c r="F24" s="316"/>
      <c r="G24" s="317"/>
    </row>
    <row r="25" spans="1:7" ht="15" customHeight="1">
      <c r="A25" s="464">
        <v>14</v>
      </c>
      <c r="B25" s="465" t="s">
        <v>7</v>
      </c>
      <c r="C25" s="570">
        <v>6.7799999999999999E-2</v>
      </c>
      <c r="D25" s="568">
        <v>6.6799999999999998E-2</v>
      </c>
      <c r="E25" s="568">
        <v>6.6000000000000003E-2</v>
      </c>
      <c r="F25" s="568">
        <v>6.7100000000000007E-2</v>
      </c>
      <c r="G25" s="569">
        <v>6.6199999999999995E-2</v>
      </c>
    </row>
    <row r="26" spans="1:7">
      <c r="A26" s="464">
        <v>15</v>
      </c>
      <c r="B26" s="465" t="s">
        <v>8</v>
      </c>
      <c r="C26" s="570">
        <v>3.09E-2</v>
      </c>
      <c r="D26" s="568">
        <v>2.9700000000000001E-2</v>
      </c>
      <c r="E26" s="568">
        <v>3.1399999999999997E-2</v>
      </c>
      <c r="F26" s="568">
        <v>3.2000000000000001E-2</v>
      </c>
      <c r="G26" s="569">
        <v>3.2199999999999999E-2</v>
      </c>
    </row>
    <row r="27" spans="1:7">
      <c r="A27" s="464">
        <v>16</v>
      </c>
      <c r="B27" s="465" t="s">
        <v>9</v>
      </c>
      <c r="C27" s="665">
        <v>2.9999999999999997E-4</v>
      </c>
      <c r="D27" s="568">
        <v>2.1100000000000001E-2</v>
      </c>
      <c r="E27" s="568">
        <v>-4.82E-2</v>
      </c>
      <c r="F27" s="568">
        <v>-3.9199999999999999E-2</v>
      </c>
      <c r="G27" s="569">
        <v>-3.2899999999999999E-2</v>
      </c>
    </row>
    <row r="28" spans="1:7">
      <c r="A28" s="464">
        <v>17</v>
      </c>
      <c r="B28" s="465" t="s">
        <v>224</v>
      </c>
      <c r="C28" s="570">
        <v>3.6900000000000002E-2</v>
      </c>
      <c r="D28" s="568">
        <v>3.7100000000000001E-2</v>
      </c>
      <c r="E28" s="568">
        <v>3.4599999999999999E-2</v>
      </c>
      <c r="F28" s="568">
        <v>3.5000000000000003E-2</v>
      </c>
      <c r="G28" s="569">
        <v>3.4000000000000002E-2</v>
      </c>
    </row>
    <row r="29" spans="1:7">
      <c r="A29" s="464">
        <v>18</v>
      </c>
      <c r="B29" s="465" t="s">
        <v>10</v>
      </c>
      <c r="C29" s="570">
        <v>-6.3E-3</v>
      </c>
      <c r="D29" s="568">
        <v>-1.09E-2</v>
      </c>
      <c r="E29" s="568">
        <v>-4.8300000000000003E-2</v>
      </c>
      <c r="F29" s="568">
        <v>-5.4899999999999997E-2</v>
      </c>
      <c r="G29" s="569">
        <v>-6.9000000000000006E-2</v>
      </c>
    </row>
    <row r="30" spans="1:7">
      <c r="A30" s="464">
        <v>19</v>
      </c>
      <c r="B30" s="465" t="s">
        <v>11</v>
      </c>
      <c r="C30" s="570">
        <v>-3.7999999999999999E-2</v>
      </c>
      <c r="D30" s="568">
        <v>-6.8099999999999994E-2</v>
      </c>
      <c r="E30" s="568">
        <v>-0.27210000000000001</v>
      </c>
      <c r="F30" s="568">
        <v>-0.30109999999999998</v>
      </c>
      <c r="G30" s="569">
        <v>-0.36820000000000003</v>
      </c>
    </row>
    <row r="31" spans="1:7">
      <c r="A31" s="456"/>
      <c r="B31" s="457" t="s">
        <v>12</v>
      </c>
      <c r="C31" s="316"/>
      <c r="D31" s="316"/>
      <c r="E31" s="316"/>
      <c r="F31" s="316"/>
      <c r="G31" s="317"/>
    </row>
    <row r="32" spans="1:7">
      <c r="A32" s="464">
        <v>20</v>
      </c>
      <c r="B32" s="465" t="s">
        <v>13</v>
      </c>
      <c r="C32" s="570">
        <v>8.2400000000000001E-2</v>
      </c>
      <c r="D32" s="568">
        <v>7.51E-2</v>
      </c>
      <c r="E32" s="568">
        <v>7.3899999999999993E-2</v>
      </c>
      <c r="F32" s="568">
        <v>8.0600000000000005E-2</v>
      </c>
      <c r="G32" s="569">
        <v>1.8725921245601372E-2</v>
      </c>
    </row>
    <row r="33" spans="1:10" ht="15" customHeight="1">
      <c r="A33" s="464">
        <v>21</v>
      </c>
      <c r="B33" s="465" t="s">
        <v>14</v>
      </c>
      <c r="C33" s="570">
        <v>6.5100000000000005E-2</v>
      </c>
      <c r="D33" s="568">
        <v>6.2600000000000003E-2</v>
      </c>
      <c r="E33" s="568">
        <v>6.0999999999999999E-2</v>
      </c>
      <c r="F33" s="568">
        <v>6.1600000000000002E-2</v>
      </c>
      <c r="G33" s="569">
        <v>6.2899999999999998E-2</v>
      </c>
    </row>
    <row r="34" spans="1:10">
      <c r="A34" s="464">
        <v>22</v>
      </c>
      <c r="B34" s="465" t="s">
        <v>15</v>
      </c>
      <c r="C34" s="570">
        <v>0.71030000000000004</v>
      </c>
      <c r="D34" s="568">
        <v>0.71819999999999995</v>
      </c>
      <c r="E34" s="568">
        <v>0.71360000000000001</v>
      </c>
      <c r="F34" s="568">
        <v>0.74270000000000003</v>
      </c>
      <c r="G34" s="569">
        <v>0.69389999999999996</v>
      </c>
    </row>
    <row r="35" spans="1:10" ht="15" customHeight="1">
      <c r="A35" s="464">
        <v>23</v>
      </c>
      <c r="B35" s="465" t="s">
        <v>16</v>
      </c>
      <c r="C35" s="570">
        <v>0.68140000000000001</v>
      </c>
      <c r="D35" s="568">
        <v>0.69389999999999996</v>
      </c>
      <c r="E35" s="568">
        <v>0.67710000000000004</v>
      </c>
      <c r="F35" s="568">
        <v>0.69179999999999997</v>
      </c>
      <c r="G35" s="569">
        <v>0.64559999999999995</v>
      </c>
    </row>
    <row r="36" spans="1:10">
      <c r="A36" s="464">
        <v>24</v>
      </c>
      <c r="B36" s="465" t="s">
        <v>17</v>
      </c>
      <c r="C36" s="570">
        <v>-0.1331</v>
      </c>
      <c r="D36" s="568">
        <v>-1.6199999999999999E-2</v>
      </c>
      <c r="E36" s="568">
        <v>9.8699999999999996E-2</v>
      </c>
      <c r="F36" s="568">
        <v>4.7899999999999998E-2</v>
      </c>
      <c r="G36" s="569">
        <v>7.4999999999999997E-3</v>
      </c>
    </row>
    <row r="37" spans="1:10" ht="15" customHeight="1">
      <c r="A37" s="456"/>
      <c r="B37" s="457" t="s">
        <v>18</v>
      </c>
      <c r="C37" s="316"/>
      <c r="D37" s="316"/>
      <c r="E37" s="316"/>
      <c r="F37" s="316"/>
      <c r="G37" s="317"/>
    </row>
    <row r="38" spans="1:10" ht="15" customHeight="1">
      <c r="A38" s="464">
        <v>25</v>
      </c>
      <c r="B38" s="465" t="s">
        <v>19</v>
      </c>
      <c r="C38" s="570">
        <v>8.3099999999999993E-2</v>
      </c>
      <c r="D38" s="570">
        <v>0.12230000000000001</v>
      </c>
      <c r="E38" s="570">
        <v>0.10489999999999999</v>
      </c>
      <c r="F38" s="570">
        <v>0.1104</v>
      </c>
      <c r="G38" s="571">
        <v>0.12770000000000001</v>
      </c>
    </row>
    <row r="39" spans="1:10" ht="15" customHeight="1">
      <c r="A39" s="464">
        <v>26</v>
      </c>
      <c r="B39" s="465" t="s">
        <v>20</v>
      </c>
      <c r="C39" s="570">
        <v>0.81520000000000004</v>
      </c>
      <c r="D39" s="570">
        <v>0.83220000000000005</v>
      </c>
      <c r="E39" s="570">
        <v>0.83140000000000003</v>
      </c>
      <c r="F39" s="570">
        <v>0.78790000000000004</v>
      </c>
      <c r="G39" s="571">
        <v>0.78600000000000003</v>
      </c>
    </row>
    <row r="40" spans="1:10" ht="15" customHeight="1">
      <c r="A40" s="464">
        <v>27</v>
      </c>
      <c r="B40" s="466" t="s">
        <v>21</v>
      </c>
      <c r="C40" s="570">
        <v>0.1082</v>
      </c>
      <c r="D40" s="570">
        <v>0.1767</v>
      </c>
      <c r="E40" s="570">
        <v>0.15110000000000001</v>
      </c>
      <c r="F40" s="570">
        <v>0.1321</v>
      </c>
      <c r="G40" s="571">
        <v>0.20050000000000001</v>
      </c>
    </row>
    <row r="41" spans="1:10" ht="15" customHeight="1">
      <c r="A41" s="470"/>
      <c r="B41" s="457" t="s">
        <v>397</v>
      </c>
      <c r="C41" s="316"/>
      <c r="D41" s="316"/>
      <c r="E41" s="316"/>
      <c r="F41" s="316"/>
      <c r="G41" s="317"/>
    </row>
    <row r="42" spans="1:10" ht="15" customHeight="1">
      <c r="A42" s="464">
        <v>28</v>
      </c>
      <c r="B42" s="492" t="s">
        <v>390</v>
      </c>
      <c r="C42" s="466">
        <v>86056497.10717909</v>
      </c>
      <c r="D42" s="466">
        <v>90498030.780444443</v>
      </c>
      <c r="E42" s="466">
        <v>104948297.94815201</v>
      </c>
      <c r="F42" s="466">
        <v>112139400.54614125</v>
      </c>
      <c r="G42" s="469">
        <v>116325035.76862641</v>
      </c>
      <c r="J42" s="658"/>
    </row>
    <row r="43" spans="1:10">
      <c r="A43" s="464">
        <v>29</v>
      </c>
      <c r="B43" s="465" t="s">
        <v>391</v>
      </c>
      <c r="C43" s="466">
        <v>47485888.505843952</v>
      </c>
      <c r="D43" s="467">
        <v>57194378.128213882</v>
      </c>
      <c r="E43" s="467">
        <v>61827539.946882613</v>
      </c>
      <c r="F43" s="467">
        <v>70054626.776927143</v>
      </c>
      <c r="G43" s="468">
        <v>82364621.909533516</v>
      </c>
    </row>
    <row r="44" spans="1:10">
      <c r="A44" s="487">
        <v>30</v>
      </c>
      <c r="B44" s="488" t="s">
        <v>389</v>
      </c>
      <c r="C44" s="570">
        <v>1.8720579206581356</v>
      </c>
      <c r="D44" s="570">
        <v>1.6130233120780111</v>
      </c>
      <c r="E44" s="570">
        <v>1.6957186682660275</v>
      </c>
      <c r="F44" s="570">
        <v>1.3321222110679072</v>
      </c>
      <c r="G44" s="571">
        <v>1.450113924409929</v>
      </c>
    </row>
    <row r="45" spans="1:10">
      <c r="A45" s="487"/>
      <c r="B45" s="457" t="s">
        <v>496</v>
      </c>
      <c r="C45" s="316"/>
      <c r="D45" s="316"/>
      <c r="E45" s="316"/>
      <c r="F45" s="316"/>
      <c r="G45" s="317"/>
    </row>
    <row r="46" spans="1:10">
      <c r="A46" s="487">
        <v>31</v>
      </c>
      <c r="B46" s="488" t="s">
        <v>501</v>
      </c>
      <c r="C46" s="489">
        <v>329580679.91412783</v>
      </c>
      <c r="D46" s="490">
        <v>363627190.50999999</v>
      </c>
      <c r="E46" s="490">
        <v>362799005.89417994</v>
      </c>
      <c r="F46" s="490">
        <v>348765810.60377008</v>
      </c>
      <c r="G46" s="491">
        <v>348114630.14241487</v>
      </c>
    </row>
    <row r="47" spans="1:10">
      <c r="A47" s="487">
        <v>32</v>
      </c>
      <c r="B47" s="488" t="s">
        <v>514</v>
      </c>
      <c r="C47" s="489">
        <v>252802494.06529006</v>
      </c>
      <c r="D47" s="490">
        <v>276701836.27999997</v>
      </c>
      <c r="E47" s="490">
        <v>285625099.69057679</v>
      </c>
      <c r="F47" s="490">
        <v>280520487.79400003</v>
      </c>
      <c r="G47" s="491">
        <v>264740141.33606499</v>
      </c>
    </row>
    <row r="48" spans="1:10" ht="15" thickBot="1">
      <c r="A48" s="122">
        <v>33</v>
      </c>
      <c r="B48" s="229" t="s">
        <v>527</v>
      </c>
      <c r="C48" s="656">
        <v>1.3037081818860878</v>
      </c>
      <c r="D48" s="572">
        <v>1.3141</v>
      </c>
      <c r="E48" s="572">
        <v>1.2701930127541561</v>
      </c>
      <c r="F48" s="572">
        <v>1.2432810642333045</v>
      </c>
      <c r="G48" s="573">
        <v>1.314929531976464</v>
      </c>
    </row>
    <row r="49" spans="1:7">
      <c r="A49" s="20"/>
    </row>
    <row r="50" spans="1:7" ht="39.5">
      <c r="B50" s="23" t="s">
        <v>475</v>
      </c>
    </row>
    <row r="51" spans="1:7" ht="65.5">
      <c r="B51" s="360" t="s">
        <v>396</v>
      </c>
      <c r="D51" s="335"/>
      <c r="E51" s="335"/>
      <c r="F51" s="335"/>
      <c r="G51" s="335"/>
    </row>
  </sheetData>
  <pageMargins left="0.7" right="0.7" top="0.75" bottom="0.75" header="0.3" footer="0.3"/>
  <pageSetup paperSize="9"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zoomScale="80" zoomScaleNormal="80" workbookViewId="0">
      <selection activeCell="C1" sqref="C1:H1048576"/>
    </sheetView>
  </sheetViews>
  <sheetFormatPr defaultColWidth="9.1796875" defaultRowHeight="12"/>
  <cols>
    <col min="1" max="1" width="11.81640625" style="494" bestFit="1" customWidth="1"/>
    <col min="2" max="2" width="105.1796875" style="494" bestFit="1" customWidth="1"/>
    <col min="3" max="8" width="12" style="494" customWidth="1"/>
    <col min="9" max="16384" width="9.1796875" style="494"/>
  </cols>
  <sheetData>
    <row r="1" spans="1:8">
      <c r="A1" s="493" t="s">
        <v>188</v>
      </c>
    </row>
    <row r="2" spans="1:8">
      <c r="A2" s="495" t="s">
        <v>189</v>
      </c>
    </row>
    <row r="3" spans="1:8">
      <c r="A3" s="496" t="s">
        <v>529</v>
      </c>
      <c r="B3" s="497">
        <f>'1. key ratios'!B2</f>
        <v>44377</v>
      </c>
    </row>
    <row r="5" spans="1:8">
      <c r="A5" s="786" t="s">
        <v>530</v>
      </c>
      <c r="B5" s="787"/>
      <c r="C5" s="792" t="s">
        <v>531</v>
      </c>
      <c r="D5" s="793"/>
      <c r="E5" s="793"/>
      <c r="F5" s="793"/>
      <c r="G5" s="793"/>
      <c r="H5" s="794"/>
    </row>
    <row r="6" spans="1:8">
      <c r="A6" s="788"/>
      <c r="B6" s="789"/>
      <c r="C6" s="795"/>
      <c r="D6" s="796"/>
      <c r="E6" s="796"/>
      <c r="F6" s="796"/>
      <c r="G6" s="796"/>
      <c r="H6" s="797"/>
    </row>
    <row r="7" spans="1:8" ht="48">
      <c r="A7" s="790"/>
      <c r="B7" s="791"/>
      <c r="C7" s="498" t="s">
        <v>532</v>
      </c>
      <c r="D7" s="498" t="s">
        <v>533</v>
      </c>
      <c r="E7" s="498" t="s">
        <v>534</v>
      </c>
      <c r="F7" s="498" t="s">
        <v>535</v>
      </c>
      <c r="G7" s="560" t="s">
        <v>707</v>
      </c>
      <c r="H7" s="498" t="s">
        <v>68</v>
      </c>
    </row>
    <row r="8" spans="1:8">
      <c r="A8" s="499">
        <v>1</v>
      </c>
      <c r="B8" s="500" t="s">
        <v>216</v>
      </c>
      <c r="C8" s="621">
        <v>41350670.0097</v>
      </c>
      <c r="D8" s="621"/>
      <c r="E8" s="621"/>
      <c r="F8" s="621">
        <v>5469399.9699999997</v>
      </c>
      <c r="G8" s="621"/>
      <c r="H8" s="593">
        <f>SUM(C8:G8)</f>
        <v>46820069.979699999</v>
      </c>
    </row>
    <row r="9" spans="1:8">
      <c r="A9" s="499">
        <v>2</v>
      </c>
      <c r="B9" s="500" t="s">
        <v>217</v>
      </c>
      <c r="C9" s="621"/>
      <c r="D9" s="621"/>
      <c r="E9" s="621"/>
      <c r="F9" s="621"/>
      <c r="G9" s="621"/>
      <c r="H9" s="594">
        <f t="shared" ref="H9:H21" si="0">SUM(C9:G9)</f>
        <v>0</v>
      </c>
    </row>
    <row r="10" spans="1:8">
      <c r="A10" s="499">
        <v>3</v>
      </c>
      <c r="B10" s="500" t="s">
        <v>218</v>
      </c>
      <c r="C10" s="621"/>
      <c r="D10" s="621"/>
      <c r="E10" s="621"/>
      <c r="F10" s="621"/>
      <c r="G10" s="621"/>
      <c r="H10" s="594">
        <f t="shared" si="0"/>
        <v>0</v>
      </c>
    </row>
    <row r="11" spans="1:8">
      <c r="A11" s="499">
        <v>4</v>
      </c>
      <c r="B11" s="500" t="s">
        <v>219</v>
      </c>
      <c r="C11" s="621"/>
      <c r="D11" s="621"/>
      <c r="E11" s="621"/>
      <c r="F11" s="621"/>
      <c r="G11" s="621"/>
      <c r="H11" s="594">
        <f t="shared" si="0"/>
        <v>0</v>
      </c>
    </row>
    <row r="12" spans="1:8">
      <c r="A12" s="499">
        <v>5</v>
      </c>
      <c r="B12" s="500" t="s">
        <v>220</v>
      </c>
      <c r="C12" s="621"/>
      <c r="D12" s="621"/>
      <c r="E12" s="621"/>
      <c r="F12" s="621"/>
      <c r="G12" s="621"/>
      <c r="H12" s="594">
        <f t="shared" si="0"/>
        <v>0</v>
      </c>
    </row>
    <row r="13" spans="1:8">
      <c r="A13" s="499">
        <v>6</v>
      </c>
      <c r="B13" s="500" t="s">
        <v>221</v>
      </c>
      <c r="C13" s="621">
        <v>29556415.443000004</v>
      </c>
      <c r="D13" s="621">
        <v>6490522.6424999991</v>
      </c>
      <c r="E13" s="621"/>
      <c r="F13" s="621"/>
      <c r="G13" s="621"/>
      <c r="H13" s="593">
        <f t="shared" si="0"/>
        <v>36046938.085500002</v>
      </c>
    </row>
    <row r="14" spans="1:8">
      <c r="A14" s="499">
        <v>7</v>
      </c>
      <c r="B14" s="500" t="s">
        <v>73</v>
      </c>
      <c r="C14" s="621"/>
      <c r="D14" s="621">
        <v>64102991.115900002</v>
      </c>
      <c r="E14" s="621">
        <v>175286501.30749997</v>
      </c>
      <c r="F14" s="621">
        <v>60521863.562399998</v>
      </c>
      <c r="G14" s="621"/>
      <c r="H14" s="593">
        <f t="shared" si="0"/>
        <v>299911355.98579997</v>
      </c>
    </row>
    <row r="15" spans="1:8">
      <c r="A15" s="499">
        <v>8</v>
      </c>
      <c r="B15" s="502" t="s">
        <v>74</v>
      </c>
      <c r="C15" s="621"/>
      <c r="D15" s="621">
        <v>590629.26370000024</v>
      </c>
      <c r="E15" s="621">
        <v>15017293.8999999</v>
      </c>
      <c r="F15" s="621"/>
      <c r="G15" s="621"/>
      <c r="H15" s="594">
        <f t="shared" si="0"/>
        <v>15607923.163699901</v>
      </c>
    </row>
    <row r="16" spans="1:8">
      <c r="A16" s="499">
        <v>9</v>
      </c>
      <c r="B16" s="500" t="s">
        <v>75</v>
      </c>
      <c r="C16" s="621"/>
      <c r="D16" s="621"/>
      <c r="E16" s="621"/>
      <c r="F16" s="621"/>
      <c r="G16" s="621"/>
      <c r="H16" s="594">
        <f t="shared" si="0"/>
        <v>0</v>
      </c>
    </row>
    <row r="17" spans="1:8">
      <c r="A17" s="499">
        <v>10</v>
      </c>
      <c r="B17" s="563" t="s">
        <v>557</v>
      </c>
      <c r="C17" s="621"/>
      <c r="D17" s="621">
        <v>4251193.7631999999</v>
      </c>
      <c r="E17" s="621">
        <v>32156471.272099998</v>
      </c>
      <c r="F17" s="621">
        <v>11743118.587200001</v>
      </c>
      <c r="G17" s="621"/>
      <c r="H17" s="594">
        <f t="shared" si="0"/>
        <v>48150783.622500002</v>
      </c>
    </row>
    <row r="18" spans="1:8">
      <c r="A18" s="499">
        <v>11</v>
      </c>
      <c r="B18" s="500" t="s">
        <v>70</v>
      </c>
      <c r="C18" s="621"/>
      <c r="D18" s="621"/>
      <c r="E18" s="621"/>
      <c r="F18" s="621"/>
      <c r="G18" s="621"/>
      <c r="H18" s="594">
        <f t="shared" si="0"/>
        <v>0</v>
      </c>
    </row>
    <row r="19" spans="1:8">
      <c r="A19" s="499">
        <v>12</v>
      </c>
      <c r="B19" s="500" t="s">
        <v>71</v>
      </c>
      <c r="C19" s="621"/>
      <c r="D19" s="621"/>
      <c r="E19" s="621"/>
      <c r="F19" s="621"/>
      <c r="G19" s="621"/>
      <c r="H19" s="594">
        <f t="shared" si="0"/>
        <v>0</v>
      </c>
    </row>
    <row r="20" spans="1:8">
      <c r="A20" s="503">
        <v>13</v>
      </c>
      <c r="B20" s="502" t="s">
        <v>72</v>
      </c>
      <c r="C20" s="621"/>
      <c r="D20" s="621"/>
      <c r="E20" s="621"/>
      <c r="F20" s="621"/>
      <c r="G20" s="621"/>
      <c r="H20" s="594">
        <f t="shared" si="0"/>
        <v>0</v>
      </c>
    </row>
    <row r="21" spans="1:8">
      <c r="A21" s="499">
        <v>14</v>
      </c>
      <c r="B21" s="500" t="s">
        <v>536</v>
      </c>
      <c r="C21" s="621">
        <v>5147427.1094000004</v>
      </c>
      <c r="D21" s="621">
        <v>2082292.5588</v>
      </c>
      <c r="E21" s="621"/>
      <c r="F21" s="621"/>
      <c r="G21" s="621">
        <v>12183370.84</v>
      </c>
      <c r="H21" s="593">
        <f t="shared" si="0"/>
        <v>19413090.508200001</v>
      </c>
    </row>
    <row r="22" spans="1:8">
      <c r="A22" s="504">
        <v>15</v>
      </c>
      <c r="B22" s="501" t="s">
        <v>68</v>
      </c>
      <c r="C22" s="594">
        <f t="shared" ref="C22:H22" si="1">SUM(C18:C21)+SUM(C8:C16)</f>
        <v>76054512.562100008</v>
      </c>
      <c r="D22" s="594">
        <f t="shared" si="1"/>
        <v>73266435.580899999</v>
      </c>
      <c r="E22" s="594">
        <f t="shared" si="1"/>
        <v>190303795.20749986</v>
      </c>
      <c r="F22" s="594">
        <f t="shared" si="1"/>
        <v>65991263.532399997</v>
      </c>
      <c r="G22" s="594">
        <f t="shared" si="1"/>
        <v>12183370.84</v>
      </c>
      <c r="H22" s="594">
        <f t="shared" si="1"/>
        <v>417799377.72289991</v>
      </c>
    </row>
    <row r="26" spans="1:8" ht="36">
      <c r="B26" s="562" t="s">
        <v>706</v>
      </c>
      <c r="D26" s="592"/>
    </row>
    <row r="27" spans="1:8">
      <c r="D27" s="592"/>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6"/>
  <sheetViews>
    <sheetView showGridLines="0" zoomScale="80" zoomScaleNormal="80" workbookViewId="0">
      <selection activeCell="H16" sqref="H16"/>
    </sheetView>
  </sheetViews>
  <sheetFormatPr defaultColWidth="9.1796875" defaultRowHeight="12"/>
  <cols>
    <col min="1" max="1" width="11.81640625" style="505" bestFit="1" customWidth="1"/>
    <col min="2" max="2" width="52.453125" style="494" customWidth="1"/>
    <col min="3" max="3" width="21.54296875" style="516" customWidth="1"/>
    <col min="4" max="4" width="18.08984375" style="516" customWidth="1"/>
    <col min="5" max="5" width="19.54296875" style="516" customWidth="1"/>
    <col min="6" max="6" width="16.6328125" style="516" customWidth="1"/>
    <col min="7" max="7" width="17.90625" style="516" customWidth="1"/>
    <col min="8" max="8" width="15.08984375" style="516" customWidth="1"/>
    <col min="9" max="9" width="18.81640625" style="494" customWidth="1"/>
    <col min="10" max="10" width="9.1796875" style="494"/>
    <col min="11" max="11" width="10.453125" style="592" bestFit="1" customWidth="1"/>
    <col min="12" max="16384" width="9.1796875" style="494"/>
  </cols>
  <sheetData>
    <row r="1" spans="1:9">
      <c r="A1" s="493" t="s">
        <v>188</v>
      </c>
    </row>
    <row r="2" spans="1:9">
      <c r="A2" s="495" t="s">
        <v>189</v>
      </c>
    </row>
    <row r="3" spans="1:9">
      <c r="A3" s="496" t="s">
        <v>537</v>
      </c>
      <c r="B3" s="497">
        <f>'1. key ratios'!B2</f>
        <v>44377</v>
      </c>
    </row>
    <row r="4" spans="1:9">
      <c r="C4" s="706" t="s">
        <v>538</v>
      </c>
      <c r="D4" s="706" t="s">
        <v>539</v>
      </c>
      <c r="E4" s="706" t="s">
        <v>540</v>
      </c>
      <c r="F4" s="706" t="s">
        <v>541</v>
      </c>
      <c r="G4" s="706" t="s">
        <v>542</v>
      </c>
      <c r="H4" s="706" t="s">
        <v>543</v>
      </c>
      <c r="I4" s="506" t="s">
        <v>544</v>
      </c>
    </row>
    <row r="5" spans="1:9" ht="34" customHeight="1">
      <c r="A5" s="786" t="s">
        <v>547</v>
      </c>
      <c r="B5" s="787"/>
      <c r="C5" s="801" t="s">
        <v>548</v>
      </c>
      <c r="D5" s="801"/>
      <c r="E5" s="801" t="s">
        <v>549</v>
      </c>
      <c r="F5" s="801" t="s">
        <v>550</v>
      </c>
      <c r="G5" s="799" t="s">
        <v>551</v>
      </c>
      <c r="H5" s="799" t="s">
        <v>552</v>
      </c>
      <c r="I5" s="507" t="s">
        <v>553</v>
      </c>
    </row>
    <row r="6" spans="1:9" ht="36">
      <c r="A6" s="790"/>
      <c r="B6" s="791"/>
      <c r="C6" s="553" t="s">
        <v>554</v>
      </c>
      <c r="D6" s="553" t="s">
        <v>555</v>
      </c>
      <c r="E6" s="801"/>
      <c r="F6" s="801"/>
      <c r="G6" s="800"/>
      <c r="H6" s="800"/>
      <c r="I6" s="507" t="s">
        <v>556</v>
      </c>
    </row>
    <row r="7" spans="1:9" ht="24">
      <c r="A7" s="508">
        <v>1</v>
      </c>
      <c r="B7" s="500" t="s">
        <v>216</v>
      </c>
      <c r="C7" s="621"/>
      <c r="D7" s="621">
        <v>46820069.979699999</v>
      </c>
      <c r="E7" s="621"/>
      <c r="F7" s="621"/>
      <c r="G7" s="621"/>
      <c r="H7" s="621"/>
      <c r="I7" s="622">
        <f t="shared" ref="I7:I23" si="0">C7+D7-E7-F7-G7</f>
        <v>46820069.979699999</v>
      </c>
    </row>
    <row r="8" spans="1:9" ht="24">
      <c r="A8" s="508">
        <v>2</v>
      </c>
      <c r="B8" s="500" t="s">
        <v>217</v>
      </c>
      <c r="C8" s="621"/>
      <c r="D8" s="621"/>
      <c r="E8" s="621"/>
      <c r="F8" s="621"/>
      <c r="G8" s="621"/>
      <c r="H8" s="621"/>
      <c r="I8" s="622">
        <f t="shared" si="0"/>
        <v>0</v>
      </c>
    </row>
    <row r="9" spans="1:9" ht="24">
      <c r="A9" s="508">
        <v>3</v>
      </c>
      <c r="B9" s="500" t="s">
        <v>218</v>
      </c>
      <c r="C9" s="621"/>
      <c r="D9" s="621"/>
      <c r="E9" s="621"/>
      <c r="F9" s="621"/>
      <c r="G9" s="621"/>
      <c r="H9" s="621"/>
      <c r="I9" s="622">
        <f t="shared" si="0"/>
        <v>0</v>
      </c>
    </row>
    <row r="10" spans="1:9" ht="24">
      <c r="A10" s="508">
        <v>4</v>
      </c>
      <c r="B10" s="500" t="s">
        <v>219</v>
      </c>
      <c r="C10" s="621"/>
      <c r="D10" s="621"/>
      <c r="E10" s="621"/>
      <c r="F10" s="621"/>
      <c r="G10" s="621"/>
      <c r="H10" s="621"/>
      <c r="I10" s="622">
        <f t="shared" si="0"/>
        <v>0</v>
      </c>
    </row>
    <row r="11" spans="1:9" ht="24">
      <c r="A11" s="508">
        <v>5</v>
      </c>
      <c r="B11" s="500" t="s">
        <v>220</v>
      </c>
      <c r="C11" s="621"/>
      <c r="D11" s="621"/>
      <c r="E11" s="621"/>
      <c r="F11" s="621"/>
      <c r="G11" s="621"/>
      <c r="H11" s="621"/>
      <c r="I11" s="622">
        <f t="shared" si="0"/>
        <v>0</v>
      </c>
    </row>
    <row r="12" spans="1:9" ht="24">
      <c r="A12" s="508">
        <v>6</v>
      </c>
      <c r="B12" s="500" t="s">
        <v>221</v>
      </c>
      <c r="C12" s="621"/>
      <c r="D12" s="621">
        <v>36046938.0858</v>
      </c>
      <c r="E12" s="621"/>
      <c r="F12" s="621"/>
      <c r="G12" s="621"/>
      <c r="H12" s="621"/>
      <c r="I12" s="622">
        <f t="shared" si="0"/>
        <v>36046938.0858</v>
      </c>
    </row>
    <row r="13" spans="1:9" ht="24">
      <c r="A13" s="508">
        <v>7</v>
      </c>
      <c r="B13" s="686" t="s">
        <v>73</v>
      </c>
      <c r="C13" s="621">
        <v>23205149.564599995</v>
      </c>
      <c r="D13" s="621">
        <v>287132386.6652</v>
      </c>
      <c r="E13" s="621">
        <v>10426180.244000003</v>
      </c>
      <c r="F13" s="621">
        <v>5174005.4697999982</v>
      </c>
      <c r="G13" s="621"/>
      <c r="H13" s="621"/>
      <c r="I13" s="622">
        <f t="shared" si="0"/>
        <v>294737350.51599997</v>
      </c>
    </row>
    <row r="14" spans="1:9">
      <c r="A14" s="508">
        <v>8</v>
      </c>
      <c r="B14" s="687" t="s">
        <v>74</v>
      </c>
      <c r="C14" s="621">
        <v>566752.08810000005</v>
      </c>
      <c r="D14" s="621">
        <v>15356992.140000172</v>
      </c>
      <c r="E14" s="621">
        <v>315821.06439999875</v>
      </c>
      <c r="F14" s="621">
        <v>299100.049999999</v>
      </c>
      <c r="G14" s="621"/>
      <c r="H14" s="621">
        <f>H21</f>
        <v>543799.43999999994</v>
      </c>
      <c r="I14" s="622">
        <f t="shared" si="0"/>
        <v>15308823.113700174</v>
      </c>
    </row>
    <row r="15" spans="1:9" ht="24">
      <c r="A15" s="508">
        <v>9</v>
      </c>
      <c r="B15" s="500" t="s">
        <v>75</v>
      </c>
      <c r="C15" s="621"/>
      <c r="D15" s="621"/>
      <c r="E15" s="621"/>
      <c r="F15" s="621"/>
      <c r="G15" s="621"/>
      <c r="H15" s="621"/>
      <c r="I15" s="622">
        <f t="shared" si="0"/>
        <v>0</v>
      </c>
    </row>
    <row r="16" spans="1:9">
      <c r="A16" s="508">
        <v>10</v>
      </c>
      <c r="B16" s="563" t="s">
        <v>557</v>
      </c>
      <c r="C16" s="621">
        <v>13486777.158299999</v>
      </c>
      <c r="D16" s="621">
        <v>40411187.837900013</v>
      </c>
      <c r="E16" s="621">
        <v>5747181.3737000003</v>
      </c>
      <c r="F16" s="621">
        <v>667665.696</v>
      </c>
      <c r="G16" s="621"/>
      <c r="H16" s="621">
        <v>184952.33</v>
      </c>
      <c r="I16" s="622">
        <f t="shared" si="0"/>
        <v>47483117.926500008</v>
      </c>
    </row>
    <row r="17" spans="1:11" ht="24">
      <c r="A17" s="508">
        <v>11</v>
      </c>
      <c r="B17" s="500" t="s">
        <v>70</v>
      </c>
      <c r="C17" s="621"/>
      <c r="D17" s="621"/>
      <c r="E17" s="621"/>
      <c r="F17" s="621"/>
      <c r="G17" s="621"/>
      <c r="H17" s="621"/>
      <c r="I17" s="622">
        <f t="shared" si="0"/>
        <v>0</v>
      </c>
    </row>
    <row r="18" spans="1:11">
      <c r="A18" s="508">
        <v>12</v>
      </c>
      <c r="B18" s="500" t="s">
        <v>71</v>
      </c>
      <c r="C18" s="621"/>
      <c r="D18" s="621"/>
      <c r="E18" s="621"/>
      <c r="F18" s="621"/>
      <c r="G18" s="621"/>
      <c r="H18" s="621"/>
      <c r="I18" s="622">
        <f t="shared" si="0"/>
        <v>0</v>
      </c>
    </row>
    <row r="19" spans="1:11">
      <c r="A19" s="511">
        <v>13</v>
      </c>
      <c r="B19" s="502" t="s">
        <v>72</v>
      </c>
      <c r="C19" s="621"/>
      <c r="D19" s="621"/>
      <c r="E19" s="621"/>
      <c r="F19" s="621"/>
      <c r="G19" s="621"/>
      <c r="H19" s="621"/>
      <c r="I19" s="622">
        <f t="shared" si="0"/>
        <v>0</v>
      </c>
    </row>
    <row r="20" spans="1:11">
      <c r="A20" s="508">
        <v>14</v>
      </c>
      <c r="B20" s="500" t="s">
        <v>536</v>
      </c>
      <c r="C20" s="621">
        <v>140250</v>
      </c>
      <c r="D20" s="621">
        <v>23772969.6182</v>
      </c>
      <c r="E20" s="621">
        <v>42075</v>
      </c>
      <c r="F20" s="621"/>
      <c r="G20" s="621"/>
      <c r="H20" s="621"/>
      <c r="I20" s="622">
        <f t="shared" si="0"/>
        <v>23871144.6182</v>
      </c>
    </row>
    <row r="21" spans="1:11" s="513" customFormat="1">
      <c r="A21" s="512">
        <v>15</v>
      </c>
      <c r="B21" s="501" t="s">
        <v>68</v>
      </c>
      <c r="C21" s="688">
        <f t="shared" ref="C21:F21" si="1">SUM(C7:C15)+SUM(C17:C20)</f>
        <v>23912151.652699996</v>
      </c>
      <c r="D21" s="688">
        <f t="shared" si="1"/>
        <v>409129356.48890018</v>
      </c>
      <c r="E21" s="688">
        <f>SUM(E7:E15)+SUM(E17:E20)</f>
        <v>10784076.308400001</v>
      </c>
      <c r="F21" s="688">
        <f t="shared" si="1"/>
        <v>5473105.5197999971</v>
      </c>
      <c r="G21" s="688">
        <v>3242689</v>
      </c>
      <c r="H21" s="729">
        <f>'19. Assets by Risk Sectors'!H34</f>
        <v>543799.43999999994</v>
      </c>
      <c r="I21" s="622">
        <f t="shared" si="0"/>
        <v>413541637.31340021</v>
      </c>
      <c r="K21" s="728"/>
    </row>
    <row r="22" spans="1:11">
      <c r="A22" s="514">
        <v>16</v>
      </c>
      <c r="B22" s="515" t="s">
        <v>558</v>
      </c>
      <c r="C22" s="621">
        <v>23749042.6527</v>
      </c>
      <c r="D22" s="621">
        <v>266374116.89229995</v>
      </c>
      <c r="E22" s="621">
        <v>10734578.008399999</v>
      </c>
      <c r="F22" s="621">
        <v>4766800.6197999967</v>
      </c>
      <c r="G22" s="621">
        <v>3242689</v>
      </c>
      <c r="H22" s="725">
        <f>'19. Assets by Risk Sectors'!H34</f>
        <v>543799.43999999994</v>
      </c>
      <c r="I22" s="622">
        <f t="shared" si="0"/>
        <v>271379091.91679996</v>
      </c>
    </row>
    <row r="23" spans="1:11">
      <c r="A23" s="514">
        <v>17</v>
      </c>
      <c r="B23" s="515" t="s">
        <v>559</v>
      </c>
      <c r="C23" s="621"/>
      <c r="D23" s="621">
        <v>41551259.302000001</v>
      </c>
      <c r="E23" s="621"/>
      <c r="F23" s="621">
        <v>706304.9</v>
      </c>
      <c r="G23" s="621"/>
      <c r="H23" s="621"/>
      <c r="I23" s="622">
        <f t="shared" si="0"/>
        <v>40844954.402000003</v>
      </c>
    </row>
    <row r="24" spans="1:11">
      <c r="C24" s="679"/>
      <c r="E24" s="679"/>
    </row>
    <row r="25" spans="1:11">
      <c r="H25" s="707"/>
    </row>
    <row r="26" spans="1:11" ht="42.5" customHeight="1">
      <c r="B26" s="562"/>
      <c r="C26" s="798"/>
      <c r="D26" s="798"/>
      <c r="E26" s="708"/>
      <c r="G26" s="682"/>
      <c r="H26" s="798"/>
    </row>
    <row r="27" spans="1:11" ht="14.5">
      <c r="C27" s="798"/>
      <c r="D27" s="798"/>
      <c r="E27" s="3"/>
      <c r="F27" s="682"/>
      <c r="G27" s="678"/>
      <c r="H27" s="798"/>
    </row>
    <row r="28" spans="1:11" ht="14.5">
      <c r="D28" s="709"/>
      <c r="E28" s="3"/>
      <c r="H28" s="798"/>
    </row>
    <row r="29" spans="1:11" ht="14.5">
      <c r="C29" s="710"/>
      <c r="D29" s="710"/>
      <c r="E29" s="3"/>
    </row>
    <row r="30" spans="1:11" ht="14.5">
      <c r="C30" s="710"/>
      <c r="D30" s="710"/>
      <c r="E30" s="3"/>
    </row>
    <row r="31" spans="1:11" ht="14.5">
      <c r="C31" s="710" t="s">
        <v>744</v>
      </c>
      <c r="D31" s="710"/>
      <c r="E31" s="3"/>
    </row>
    <row r="32" spans="1:11" ht="14.5">
      <c r="C32" s="710"/>
      <c r="D32" s="710"/>
      <c r="E32" s="3"/>
      <c r="F32" s="711"/>
    </row>
    <row r="33" spans="3:6" ht="14.5">
      <c r="C33" s="710"/>
      <c r="D33" s="710"/>
      <c r="E33" s="3"/>
      <c r="F33" s="711"/>
    </row>
    <row r="34" spans="3:6" ht="14.5">
      <c r="C34" s="710"/>
      <c r="D34" s="710"/>
      <c r="E34" s="3"/>
      <c r="F34" s="711"/>
    </row>
    <row r="35" spans="3:6" ht="14.5">
      <c r="C35" s="679"/>
      <c r="E35" s="3"/>
      <c r="F35" s="711"/>
    </row>
    <row r="36" spans="3:6" ht="14.5">
      <c r="E36" s="3"/>
    </row>
  </sheetData>
  <mergeCells count="9">
    <mergeCell ref="D26:D27"/>
    <mergeCell ref="C26:C27"/>
    <mergeCell ref="H26:H28"/>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7"/>
  <sheetViews>
    <sheetView showGridLines="0" topLeftCell="A11" zoomScale="80" zoomScaleNormal="80" workbookViewId="0">
      <selection activeCell="C12" sqref="C12"/>
    </sheetView>
  </sheetViews>
  <sheetFormatPr defaultColWidth="9.1796875" defaultRowHeight="12"/>
  <cols>
    <col min="1" max="1" width="11" style="494" bestFit="1" customWidth="1"/>
    <col min="2" max="2" width="45.54296875" style="494" customWidth="1"/>
    <col min="3" max="9" width="16.453125" style="494" customWidth="1"/>
    <col min="10" max="16384" width="9.1796875" style="494"/>
  </cols>
  <sheetData>
    <row r="1" spans="1:9">
      <c r="A1" s="493" t="s">
        <v>188</v>
      </c>
    </row>
    <row r="2" spans="1:9">
      <c r="A2" s="495" t="s">
        <v>189</v>
      </c>
    </row>
    <row r="3" spans="1:9">
      <c r="A3" s="496" t="s">
        <v>560</v>
      </c>
      <c r="B3" s="497">
        <f>'1. key ratios'!B2</f>
        <v>44377</v>
      </c>
    </row>
    <row r="4" spans="1:9">
      <c r="C4" s="506" t="s">
        <v>538</v>
      </c>
      <c r="D4" s="506" t="s">
        <v>539</v>
      </c>
      <c r="E4" s="506" t="s">
        <v>540</v>
      </c>
      <c r="F4" s="506" t="s">
        <v>541</v>
      </c>
      <c r="G4" s="506" t="s">
        <v>542</v>
      </c>
      <c r="H4" s="506" t="s">
        <v>543</v>
      </c>
      <c r="I4" s="506" t="s">
        <v>544</v>
      </c>
    </row>
    <row r="5" spans="1:9" ht="41.5" customHeight="1">
      <c r="A5" s="786" t="s">
        <v>710</v>
      </c>
      <c r="B5" s="787"/>
      <c r="C5" s="804" t="s">
        <v>548</v>
      </c>
      <c r="D5" s="804"/>
      <c r="E5" s="804" t="s">
        <v>549</v>
      </c>
      <c r="F5" s="804" t="s">
        <v>550</v>
      </c>
      <c r="G5" s="802" t="s">
        <v>551</v>
      </c>
      <c r="H5" s="802" t="s">
        <v>552</v>
      </c>
      <c r="I5" s="507" t="s">
        <v>553</v>
      </c>
    </row>
    <row r="6" spans="1:9" ht="41.5" customHeight="1">
      <c r="A6" s="790"/>
      <c r="B6" s="791"/>
      <c r="C6" s="553" t="s">
        <v>554</v>
      </c>
      <c r="D6" s="553" t="s">
        <v>555</v>
      </c>
      <c r="E6" s="804"/>
      <c r="F6" s="804"/>
      <c r="G6" s="803"/>
      <c r="H6" s="803"/>
      <c r="I6" s="507" t="s">
        <v>556</v>
      </c>
    </row>
    <row r="7" spans="1:9">
      <c r="A7" s="509">
        <v>1</v>
      </c>
      <c r="B7" s="517" t="s">
        <v>561</v>
      </c>
      <c r="C7" s="623">
        <v>64543.68</v>
      </c>
      <c r="D7" s="623">
        <v>51192966.519699998</v>
      </c>
      <c r="E7" s="623">
        <v>44256.26</v>
      </c>
      <c r="F7" s="623">
        <v>84776.18</v>
      </c>
      <c r="G7" s="623"/>
      <c r="H7" s="623">
        <v>41238.120000000003</v>
      </c>
      <c r="I7" s="622">
        <v>51128477.7597</v>
      </c>
    </row>
    <row r="8" spans="1:9">
      <c r="A8" s="509">
        <v>2</v>
      </c>
      <c r="B8" s="517" t="s">
        <v>562</v>
      </c>
      <c r="C8" s="623">
        <v>6139.3</v>
      </c>
      <c r="D8" s="623">
        <v>76058424.834299996</v>
      </c>
      <c r="E8" s="623">
        <v>3690.66</v>
      </c>
      <c r="F8" s="623">
        <v>794603.15</v>
      </c>
      <c r="G8" s="623"/>
      <c r="H8" s="623">
        <v>10431.52</v>
      </c>
      <c r="I8" s="622">
        <v>75266270.324299991</v>
      </c>
    </row>
    <row r="9" spans="1:9">
      <c r="A9" s="509">
        <v>3</v>
      </c>
      <c r="B9" s="517" t="s">
        <v>563</v>
      </c>
      <c r="C9" s="623">
        <v>0</v>
      </c>
      <c r="D9" s="623">
        <v>5314.79</v>
      </c>
      <c r="E9" s="623">
        <v>278</v>
      </c>
      <c r="F9" s="623">
        <v>49.3</v>
      </c>
      <c r="G9" s="623"/>
      <c r="H9" s="623"/>
      <c r="I9" s="622">
        <v>4987.49</v>
      </c>
    </row>
    <row r="10" spans="1:9">
      <c r="A10" s="509">
        <v>4</v>
      </c>
      <c r="B10" s="517" t="s">
        <v>564</v>
      </c>
      <c r="C10" s="623">
        <v>1809406.1775</v>
      </c>
      <c r="D10" s="623">
        <v>41913062.105300002</v>
      </c>
      <c r="E10" s="623">
        <v>590725.31090000004</v>
      </c>
      <c r="F10" s="623">
        <v>826278.02989999996</v>
      </c>
      <c r="G10" s="623"/>
      <c r="H10" s="623"/>
      <c r="I10" s="622">
        <v>42305464.942000002</v>
      </c>
    </row>
    <row r="11" spans="1:9">
      <c r="A11" s="509">
        <v>5</v>
      </c>
      <c r="B11" s="517" t="s">
        <v>565</v>
      </c>
      <c r="C11" s="623">
        <v>1433236.6915</v>
      </c>
      <c r="D11" s="623">
        <v>40776161.739500001</v>
      </c>
      <c r="E11" s="623">
        <v>529221.81539999996</v>
      </c>
      <c r="F11" s="623">
        <v>786532.05449999997</v>
      </c>
      <c r="G11" s="623"/>
      <c r="H11" s="623">
        <v>746.06</v>
      </c>
      <c r="I11" s="622">
        <v>40893644.561100006</v>
      </c>
    </row>
    <row r="12" spans="1:9">
      <c r="A12" s="509">
        <v>6</v>
      </c>
      <c r="B12" s="517" t="s">
        <v>566</v>
      </c>
      <c r="C12" s="623">
        <v>42111.199999999997</v>
      </c>
      <c r="D12" s="623">
        <v>3263989.9257999999</v>
      </c>
      <c r="E12" s="623">
        <v>136206.1194</v>
      </c>
      <c r="F12" s="623">
        <v>40888.449999999997</v>
      </c>
      <c r="G12" s="623"/>
      <c r="H12" s="623">
        <v>27435.1</v>
      </c>
      <c r="I12" s="622">
        <v>3129006.5563999997</v>
      </c>
    </row>
    <row r="13" spans="1:9">
      <c r="A13" s="509">
        <v>7</v>
      </c>
      <c r="B13" s="517" t="s">
        <v>567</v>
      </c>
      <c r="C13" s="623">
        <v>3170794.1345000002</v>
      </c>
      <c r="D13" s="623">
        <v>2952821.9767999998</v>
      </c>
      <c r="E13" s="623">
        <v>951442.13230000006</v>
      </c>
      <c r="F13" s="623">
        <v>58692.675799999997</v>
      </c>
      <c r="G13" s="623"/>
      <c r="H13" s="623">
        <v>2779.57</v>
      </c>
      <c r="I13" s="622">
        <v>5113481.3032</v>
      </c>
    </row>
    <row r="14" spans="1:9">
      <c r="A14" s="509">
        <v>8</v>
      </c>
      <c r="B14" s="517" t="s">
        <v>568</v>
      </c>
      <c r="C14" s="623">
        <v>758276.20609999995</v>
      </c>
      <c r="D14" s="623">
        <v>6244649.3141999999</v>
      </c>
      <c r="E14" s="623">
        <v>227486.34779999999</v>
      </c>
      <c r="F14" s="623">
        <v>124307.0386</v>
      </c>
      <c r="G14" s="623"/>
      <c r="H14" s="623">
        <v>827.53</v>
      </c>
      <c r="I14" s="622">
        <v>6651132.1339000007</v>
      </c>
    </row>
    <row r="15" spans="1:9">
      <c r="A15" s="509">
        <v>9</v>
      </c>
      <c r="B15" s="517" t="s">
        <v>569</v>
      </c>
      <c r="C15" s="623">
        <v>4184.92</v>
      </c>
      <c r="D15" s="623">
        <v>2705680.9564</v>
      </c>
      <c r="E15" s="623">
        <v>18852.259999999998</v>
      </c>
      <c r="F15" s="623">
        <v>50274.072999999997</v>
      </c>
      <c r="G15" s="623"/>
      <c r="H15" s="623">
        <v>1274.48</v>
      </c>
      <c r="I15" s="622">
        <v>2640739.5434000003</v>
      </c>
    </row>
    <row r="16" spans="1:9" ht="24">
      <c r="A16" s="509">
        <v>10</v>
      </c>
      <c r="B16" s="517" t="s">
        <v>570</v>
      </c>
      <c r="C16" s="623">
        <v>0</v>
      </c>
      <c r="D16" s="623">
        <v>654617.92420000001</v>
      </c>
      <c r="E16" s="623">
        <v>0</v>
      </c>
      <c r="F16" s="623">
        <v>13049.5281</v>
      </c>
      <c r="G16" s="623"/>
      <c r="H16" s="623"/>
      <c r="I16" s="622">
        <v>641568.39610000001</v>
      </c>
    </row>
    <row r="17" spans="1:10" ht="24">
      <c r="A17" s="509">
        <v>11</v>
      </c>
      <c r="B17" s="517" t="s">
        <v>571</v>
      </c>
      <c r="C17" s="623">
        <v>0</v>
      </c>
      <c r="D17" s="623">
        <v>5242389.2995999996</v>
      </c>
      <c r="E17" s="623">
        <v>512600.1188</v>
      </c>
      <c r="F17" s="623">
        <v>1295.82</v>
      </c>
      <c r="G17" s="623"/>
      <c r="H17" s="623"/>
      <c r="I17" s="622">
        <v>4728493.360799999</v>
      </c>
    </row>
    <row r="18" spans="1:10">
      <c r="A18" s="509">
        <v>12</v>
      </c>
      <c r="B18" s="517" t="s">
        <v>572</v>
      </c>
      <c r="C18" s="623">
        <v>175946.92</v>
      </c>
      <c r="D18" s="623">
        <v>4882687.1617999999</v>
      </c>
      <c r="E18" s="623">
        <v>79240.78</v>
      </c>
      <c r="F18" s="623">
        <v>95697.686799999996</v>
      </c>
      <c r="G18" s="623"/>
      <c r="H18" s="623">
        <v>124246.64</v>
      </c>
      <c r="I18" s="622">
        <v>4883695.6149999993</v>
      </c>
    </row>
    <row r="19" spans="1:10">
      <c r="A19" s="509">
        <v>13</v>
      </c>
      <c r="B19" s="517" t="s">
        <v>573</v>
      </c>
      <c r="C19" s="623">
        <v>79349.83</v>
      </c>
      <c r="D19" s="623">
        <v>4618358.7592000002</v>
      </c>
      <c r="E19" s="623">
        <v>52452.61</v>
      </c>
      <c r="F19" s="623">
        <v>91222.236999999994</v>
      </c>
      <c r="G19" s="623"/>
      <c r="H19" s="623">
        <v>28818.87</v>
      </c>
      <c r="I19" s="622">
        <v>4554033.7422000002</v>
      </c>
    </row>
    <row r="20" spans="1:10">
      <c r="A20" s="509">
        <v>14</v>
      </c>
      <c r="B20" s="517" t="s">
        <v>574</v>
      </c>
      <c r="C20" s="623">
        <v>9958888.6022999994</v>
      </c>
      <c r="D20" s="623">
        <v>46013459.280699998</v>
      </c>
      <c r="E20" s="623">
        <v>4128280.9767</v>
      </c>
      <c r="F20" s="623">
        <v>859191.1936</v>
      </c>
      <c r="G20" s="623"/>
      <c r="H20" s="623">
        <v>10544.02</v>
      </c>
      <c r="I20" s="622">
        <v>50984875.712700002</v>
      </c>
    </row>
    <row r="21" spans="1:10" ht="24">
      <c r="A21" s="509">
        <v>15</v>
      </c>
      <c r="B21" s="517" t="s">
        <v>575</v>
      </c>
      <c r="C21" s="623">
        <v>5322.19</v>
      </c>
      <c r="D21" s="623">
        <v>16599961.1153</v>
      </c>
      <c r="E21" s="623">
        <v>297234.73839999997</v>
      </c>
      <c r="F21" s="623">
        <v>272121.70370000001</v>
      </c>
      <c r="G21" s="623"/>
      <c r="H21" s="623">
        <v>14190.66</v>
      </c>
      <c r="I21" s="622">
        <v>16035926.8632</v>
      </c>
    </row>
    <row r="22" spans="1:10">
      <c r="A22" s="509">
        <v>16</v>
      </c>
      <c r="B22" s="517" t="s">
        <v>576</v>
      </c>
      <c r="C22" s="623">
        <v>0</v>
      </c>
      <c r="D22" s="623">
        <v>18337.75</v>
      </c>
      <c r="E22" s="623">
        <v>0</v>
      </c>
      <c r="F22" s="623">
        <v>361.86</v>
      </c>
      <c r="G22" s="623"/>
      <c r="H22" s="623"/>
      <c r="I22" s="622">
        <v>17975.89</v>
      </c>
    </row>
    <row r="23" spans="1:10" ht="24">
      <c r="A23" s="509">
        <v>17</v>
      </c>
      <c r="B23" s="517" t="s">
        <v>577</v>
      </c>
      <c r="C23" s="623">
        <v>4459736.7317000004</v>
      </c>
      <c r="D23" s="623">
        <v>5228600.9846999999</v>
      </c>
      <c r="E23" s="623">
        <v>1337921.0322</v>
      </c>
      <c r="F23" s="623">
        <v>104442.0439</v>
      </c>
      <c r="G23" s="623"/>
      <c r="H23" s="623"/>
      <c r="I23" s="622">
        <v>8245974.640300001</v>
      </c>
    </row>
    <row r="24" spans="1:10">
      <c r="A24" s="509">
        <v>18</v>
      </c>
      <c r="B24" s="517" t="s">
        <v>578</v>
      </c>
      <c r="C24" s="623">
        <v>2571.2399999999998</v>
      </c>
      <c r="D24" s="623">
        <v>35654649.348800004</v>
      </c>
      <c r="E24" s="623">
        <v>1111.3699999999999</v>
      </c>
      <c r="F24" s="623">
        <v>702723.24879999994</v>
      </c>
      <c r="G24" s="623"/>
      <c r="H24" s="623">
        <v>8091.88</v>
      </c>
      <c r="I24" s="622">
        <v>34953385.970000006</v>
      </c>
    </row>
    <row r="25" spans="1:10">
      <c r="A25" s="509">
        <v>19</v>
      </c>
      <c r="B25" s="517" t="s">
        <v>579</v>
      </c>
      <c r="C25" s="623">
        <v>0</v>
      </c>
      <c r="D25" s="623">
        <v>3479407.6376</v>
      </c>
      <c r="E25" s="623">
        <v>288.41000000000003</v>
      </c>
      <c r="F25" s="623">
        <v>69342.916400000002</v>
      </c>
      <c r="G25" s="623"/>
      <c r="H25" s="623"/>
      <c r="I25" s="622">
        <v>3409776.3111999999</v>
      </c>
    </row>
    <row r="26" spans="1:10">
      <c r="A26" s="509">
        <v>20</v>
      </c>
      <c r="B26" s="517" t="s">
        <v>580</v>
      </c>
      <c r="C26" s="623">
        <v>5155.53</v>
      </c>
      <c r="D26" s="623">
        <v>4425289.57</v>
      </c>
      <c r="E26" s="623">
        <v>4599.3500000000004</v>
      </c>
      <c r="F26" s="623">
        <v>84639.89</v>
      </c>
      <c r="G26" s="623"/>
      <c r="H26" s="623">
        <v>89768.77</v>
      </c>
      <c r="I26" s="622">
        <v>4341205.8600000013</v>
      </c>
      <c r="J26" s="518"/>
    </row>
    <row r="27" spans="1:10">
      <c r="A27" s="509">
        <v>21</v>
      </c>
      <c r="B27" s="517" t="s">
        <v>581</v>
      </c>
      <c r="C27" s="623">
        <v>0</v>
      </c>
      <c r="D27" s="623">
        <v>218968.12</v>
      </c>
      <c r="E27" s="623">
        <v>0</v>
      </c>
      <c r="F27" s="623">
        <v>4353.32</v>
      </c>
      <c r="G27" s="623"/>
      <c r="H27" s="623">
        <v>9129.1</v>
      </c>
      <c r="I27" s="622">
        <v>214614.8</v>
      </c>
      <c r="J27" s="518"/>
    </row>
    <row r="28" spans="1:10">
      <c r="A28" s="509">
        <v>22</v>
      </c>
      <c r="B28" s="517" t="s">
        <v>582</v>
      </c>
      <c r="C28" s="623">
        <v>5100</v>
      </c>
      <c r="D28" s="623">
        <v>161203.89000000001</v>
      </c>
      <c r="E28" s="623">
        <v>2600</v>
      </c>
      <c r="F28" s="623">
        <v>3195.94</v>
      </c>
      <c r="G28" s="623"/>
      <c r="H28" s="623">
        <v>2671.76</v>
      </c>
      <c r="I28" s="622">
        <v>160507.95000000001</v>
      </c>
      <c r="J28" s="518"/>
    </row>
    <row r="29" spans="1:10">
      <c r="A29" s="509">
        <v>23</v>
      </c>
      <c r="B29" s="517" t="s">
        <v>583</v>
      </c>
      <c r="C29" s="623">
        <v>1033863.5408</v>
      </c>
      <c r="D29" s="623">
        <v>17616942.076400001</v>
      </c>
      <c r="E29" s="623">
        <v>748328.6202</v>
      </c>
      <c r="F29" s="623">
        <v>261820.69200000001</v>
      </c>
      <c r="G29" s="623"/>
      <c r="H29" s="623">
        <v>92745.4</v>
      </c>
      <c r="I29" s="622">
        <v>17640656.305</v>
      </c>
      <c r="J29" s="518"/>
    </row>
    <row r="30" spans="1:10">
      <c r="A30" s="509">
        <v>24</v>
      </c>
      <c r="B30" s="517" t="s">
        <v>584</v>
      </c>
      <c r="C30" s="623">
        <v>639673</v>
      </c>
      <c r="D30" s="623">
        <v>4375935.7737999996</v>
      </c>
      <c r="E30" s="623">
        <v>191901.9</v>
      </c>
      <c r="F30" s="623">
        <v>87034.331600000005</v>
      </c>
      <c r="G30" s="623"/>
      <c r="H30" s="623"/>
      <c r="I30" s="622">
        <v>4736672.5421999991</v>
      </c>
      <c r="J30" s="518"/>
    </row>
    <row r="31" spans="1:10">
      <c r="A31" s="509">
        <v>25</v>
      </c>
      <c r="B31" s="517" t="s">
        <v>585</v>
      </c>
      <c r="C31" s="623">
        <v>108369.05</v>
      </c>
      <c r="D31" s="623">
        <v>11043291.209799999</v>
      </c>
      <c r="E31" s="623">
        <v>874051.35179999995</v>
      </c>
      <c r="F31" s="623">
        <v>56028.195399999997</v>
      </c>
      <c r="G31" s="623"/>
      <c r="H31" s="623">
        <v>78859.960000000006</v>
      </c>
      <c r="I31" s="622">
        <v>10221580.7126</v>
      </c>
      <c r="J31" s="518"/>
    </row>
    <row r="32" spans="1:10" ht="24">
      <c r="A32" s="509">
        <v>26</v>
      </c>
      <c r="B32" s="517" t="s">
        <v>586</v>
      </c>
      <c r="C32" s="623">
        <v>9232.7080999999998</v>
      </c>
      <c r="D32" s="623">
        <v>9214.81</v>
      </c>
      <c r="E32" s="623">
        <v>9231.1443999999992</v>
      </c>
      <c r="F32" s="623">
        <v>183.96</v>
      </c>
      <c r="G32" s="623"/>
      <c r="H32" s="623"/>
      <c r="I32" s="622">
        <v>9032.4137000000028</v>
      </c>
      <c r="J32" s="518"/>
    </row>
    <row r="33" spans="1:12">
      <c r="A33" s="509">
        <v>27</v>
      </c>
      <c r="B33" s="510" t="s">
        <v>165</v>
      </c>
      <c r="C33" s="623">
        <v>140250</v>
      </c>
      <c r="D33" s="623">
        <v>23772969.6182</v>
      </c>
      <c r="E33" s="623">
        <v>42075</v>
      </c>
      <c r="F33" s="623"/>
      <c r="G33" s="623"/>
      <c r="H33" s="623">
        <v>0</v>
      </c>
      <c r="I33" s="622">
        <v>23871144.6182</v>
      </c>
      <c r="J33" s="518"/>
    </row>
    <row r="34" spans="1:12">
      <c r="A34" s="509">
        <v>28</v>
      </c>
      <c r="B34" s="519" t="s">
        <v>68</v>
      </c>
      <c r="C34" s="593">
        <f t="shared" ref="C34:H34" si="0">SUM(C7:C33)</f>
        <v>23912151.6525</v>
      </c>
      <c r="D34" s="593">
        <f t="shared" si="0"/>
        <v>409129356.4921</v>
      </c>
      <c r="E34" s="593">
        <f t="shared" si="0"/>
        <v>10784076.3083</v>
      </c>
      <c r="F34" s="593">
        <f t="shared" si="0"/>
        <v>5473105.5191000002</v>
      </c>
      <c r="G34" s="677">
        <v>3242689</v>
      </c>
      <c r="H34" s="593">
        <f t="shared" si="0"/>
        <v>543799.43999999994</v>
      </c>
      <c r="I34" s="726">
        <f t="shared" ref="I34" si="1">C34+D34-E34-F34-G34</f>
        <v>413541637.31719995</v>
      </c>
      <c r="J34" s="518"/>
    </row>
    <row r="35" spans="1:12">
      <c r="A35" s="518"/>
      <c r="B35" s="518"/>
      <c r="C35" s="518"/>
      <c r="D35" s="518"/>
      <c r="E35" s="518"/>
      <c r="F35" s="518"/>
      <c r="G35" s="518"/>
      <c r="H35" s="518"/>
      <c r="I35" s="518"/>
      <c r="J35" s="518"/>
    </row>
    <row r="36" spans="1:12">
      <c r="A36" s="518"/>
      <c r="B36" s="520"/>
      <c r="C36" s="518"/>
      <c r="D36" s="518"/>
      <c r="E36" s="518"/>
      <c r="F36" s="518"/>
      <c r="G36" s="518"/>
      <c r="H36" s="518"/>
      <c r="I36" s="518"/>
      <c r="J36" s="518"/>
    </row>
    <row r="37" spans="1:12">
      <c r="A37" s="518"/>
      <c r="B37" s="518"/>
      <c r="C37" s="518"/>
      <c r="D37" s="518"/>
      <c r="E37" s="518"/>
      <c r="F37" s="518"/>
      <c r="G37" s="518"/>
      <c r="H37" s="518"/>
      <c r="I37" s="518"/>
      <c r="J37" s="518"/>
    </row>
    <row r="38" spans="1:12">
      <c r="A38" s="518"/>
      <c r="B38" s="518"/>
      <c r="C38" s="676"/>
      <c r="D38" s="676"/>
      <c r="E38" s="676"/>
      <c r="F38" s="676"/>
      <c r="G38" s="676"/>
      <c r="H38" s="676"/>
      <c r="I38" s="676"/>
      <c r="J38" s="676"/>
      <c r="K38" s="676"/>
    </row>
    <row r="39" spans="1:12">
      <c r="A39" s="518"/>
      <c r="B39" s="518"/>
      <c r="C39" s="518"/>
      <c r="D39" s="518"/>
      <c r="E39" s="518"/>
      <c r="F39" s="518"/>
      <c r="G39" s="518"/>
      <c r="H39" s="518"/>
      <c r="I39" s="518"/>
      <c r="J39" s="518"/>
    </row>
    <row r="40" spans="1:12">
      <c r="A40" s="518"/>
      <c r="B40" s="518"/>
      <c r="C40" s="595"/>
      <c r="D40" s="595"/>
      <c r="E40" s="595"/>
      <c r="F40" s="595"/>
      <c r="G40" s="595"/>
      <c r="H40" s="595"/>
      <c r="I40" s="595"/>
      <c r="J40" s="595"/>
      <c r="K40" s="595"/>
      <c r="L40" s="595"/>
    </row>
    <row r="41" spans="1:12">
      <c r="A41" s="518"/>
      <c r="B41" s="518"/>
      <c r="C41" s="518"/>
      <c r="D41" s="595"/>
      <c r="E41" s="518"/>
      <c r="F41" s="518"/>
      <c r="G41" s="518"/>
      <c r="H41" s="518"/>
      <c r="I41" s="518"/>
      <c r="J41" s="518"/>
    </row>
    <row r="42" spans="1:12">
      <c r="A42" s="521"/>
      <c r="B42" s="521"/>
      <c r="C42" s="518"/>
      <c r="D42" s="518"/>
      <c r="E42" s="518"/>
      <c r="F42" s="518"/>
      <c r="G42" s="518"/>
      <c r="H42" s="518"/>
      <c r="I42" s="518"/>
      <c r="J42" s="518"/>
    </row>
    <row r="43" spans="1:12">
      <c r="A43" s="521"/>
      <c r="B43" s="521"/>
      <c r="C43" s="518"/>
      <c r="D43" s="595"/>
      <c r="E43" s="518"/>
      <c r="F43" s="518"/>
      <c r="G43" s="518"/>
      <c r="H43" s="518"/>
      <c r="I43" s="518"/>
      <c r="J43" s="518"/>
    </row>
    <row r="44" spans="1:12">
      <c r="A44" s="518"/>
      <c r="B44" s="522"/>
      <c r="C44" s="518"/>
      <c r="D44" s="518"/>
      <c r="E44" s="518"/>
      <c r="F44" s="518"/>
      <c r="G44" s="518"/>
      <c r="H44" s="518"/>
      <c r="I44" s="518"/>
      <c r="J44" s="518"/>
    </row>
    <row r="45" spans="1:12">
      <c r="A45" s="518"/>
      <c r="B45" s="522"/>
      <c r="C45" s="518"/>
      <c r="D45" s="518"/>
      <c r="E45" s="518"/>
      <c r="F45" s="518"/>
      <c r="G45" s="518"/>
      <c r="H45" s="518"/>
      <c r="I45" s="518"/>
      <c r="J45" s="518"/>
    </row>
    <row r="46" spans="1:12">
      <c r="A46" s="518"/>
      <c r="B46" s="522"/>
      <c r="C46" s="518"/>
      <c r="D46" s="518"/>
      <c r="E46" s="518"/>
      <c r="F46" s="518"/>
      <c r="G46" s="518"/>
      <c r="H46" s="518"/>
      <c r="I46" s="518"/>
      <c r="J46" s="518"/>
    </row>
    <row r="47" spans="1:12">
      <c r="A47" s="518"/>
      <c r="B47" s="518"/>
      <c r="C47" s="518"/>
      <c r="D47" s="518"/>
      <c r="E47" s="518"/>
      <c r="F47" s="518"/>
      <c r="G47" s="518"/>
      <c r="H47" s="518"/>
      <c r="I47" s="518"/>
      <c r="J47" s="51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9"/>
  <sheetViews>
    <sheetView showGridLines="0" zoomScale="70" zoomScaleNormal="70" workbookViewId="0">
      <selection activeCell="K15" sqref="K15"/>
    </sheetView>
  </sheetViews>
  <sheetFormatPr defaultColWidth="9.1796875" defaultRowHeight="14.5"/>
  <cols>
    <col min="1" max="1" width="11.81640625" style="494" bestFit="1" customWidth="1"/>
    <col min="2" max="2" width="108" style="494" bestFit="1" customWidth="1"/>
    <col min="3" max="3" width="35.54296875" style="494" customWidth="1"/>
    <col min="4" max="4" width="38.453125" style="516" customWidth="1"/>
    <col min="10" max="16384" width="9.1796875" style="494"/>
  </cols>
  <sheetData>
    <row r="1" spans="1:4">
      <c r="A1" s="493" t="s">
        <v>188</v>
      </c>
      <c r="D1" s="494"/>
    </row>
    <row r="2" spans="1:4">
      <c r="A2" s="495" t="s">
        <v>189</v>
      </c>
      <c r="D2" s="494"/>
    </row>
    <row r="3" spans="1:4">
      <c r="A3" s="496" t="s">
        <v>587</v>
      </c>
      <c r="B3" s="497">
        <f>'1. key ratios'!B2</f>
        <v>44377</v>
      </c>
      <c r="D3" s="494"/>
    </row>
    <row r="5" spans="1:4" ht="48">
      <c r="A5" s="805" t="s">
        <v>588</v>
      </c>
      <c r="B5" s="805"/>
      <c r="C5" s="523" t="s">
        <v>589</v>
      </c>
      <c r="D5" s="560" t="s">
        <v>590</v>
      </c>
    </row>
    <row r="6" spans="1:4">
      <c r="A6" s="524">
        <v>1</v>
      </c>
      <c r="B6" s="525" t="s">
        <v>591</v>
      </c>
      <c r="C6" s="624">
        <v>20475566.372492</v>
      </c>
      <c r="D6" s="624">
        <v>727179.4</v>
      </c>
    </row>
    <row r="7" spans="1:4">
      <c r="A7" s="526">
        <v>2</v>
      </c>
      <c r="B7" s="525" t="s">
        <v>592</v>
      </c>
      <c r="C7" s="609">
        <f>SUM(C8:C11)</f>
        <v>2898696.5519900001</v>
      </c>
      <c r="D7" s="609">
        <f>SUM(D8:D11)</f>
        <v>0</v>
      </c>
    </row>
    <row r="8" spans="1:4">
      <c r="A8" s="527">
        <v>2.1</v>
      </c>
      <c r="B8" s="528" t="s">
        <v>593</v>
      </c>
      <c r="C8" s="609">
        <v>2598481.1982900002</v>
      </c>
      <c r="D8" s="609">
        <v>0</v>
      </c>
    </row>
    <row r="9" spans="1:4">
      <c r="A9" s="527">
        <v>2.2000000000000002</v>
      </c>
      <c r="B9" s="528" t="s">
        <v>594</v>
      </c>
      <c r="C9" s="609">
        <v>300215.35369999998</v>
      </c>
      <c r="D9" s="609">
        <v>0</v>
      </c>
    </row>
    <row r="10" spans="1:4">
      <c r="A10" s="527">
        <v>2.2999999999999998</v>
      </c>
      <c r="B10" s="528" t="s">
        <v>595</v>
      </c>
      <c r="C10" s="609">
        <v>0</v>
      </c>
      <c r="D10" s="609">
        <v>0</v>
      </c>
    </row>
    <row r="11" spans="1:4">
      <c r="A11" s="527">
        <v>2.4</v>
      </c>
      <c r="B11" s="528" t="s">
        <v>596</v>
      </c>
      <c r="C11" s="609">
        <v>0</v>
      </c>
      <c r="D11" s="609">
        <v>0</v>
      </c>
    </row>
    <row r="12" spans="1:4">
      <c r="A12" s="524">
        <v>3</v>
      </c>
      <c r="B12" s="525" t="s">
        <v>597</v>
      </c>
      <c r="C12" s="609">
        <f>SUM(C13:C18)</f>
        <v>4630195.2924529957</v>
      </c>
      <c r="D12" s="609">
        <f>SUM(D13:D18)</f>
        <v>20874.5</v>
      </c>
    </row>
    <row r="13" spans="1:4">
      <c r="A13" s="527">
        <v>3.1</v>
      </c>
      <c r="B13" s="528" t="s">
        <v>598</v>
      </c>
      <c r="C13" s="609">
        <v>236796.81</v>
      </c>
      <c r="D13" s="609">
        <v>0</v>
      </c>
    </row>
    <row r="14" spans="1:4">
      <c r="A14" s="527">
        <v>3.2</v>
      </c>
      <c r="B14" s="528" t="s">
        <v>599</v>
      </c>
      <c r="C14" s="609">
        <v>1019227.405511</v>
      </c>
      <c r="D14" s="609">
        <v>0</v>
      </c>
    </row>
    <row r="15" spans="1:4">
      <c r="A15" s="527">
        <v>3.3</v>
      </c>
      <c r="B15" s="528" t="s">
        <v>600</v>
      </c>
      <c r="C15" s="609">
        <v>2295427.8008889956</v>
      </c>
      <c r="D15" s="609">
        <v>0</v>
      </c>
    </row>
    <row r="16" spans="1:4">
      <c r="A16" s="527">
        <v>3.4</v>
      </c>
      <c r="B16" s="528" t="s">
        <v>601</v>
      </c>
      <c r="C16" s="609">
        <v>0</v>
      </c>
      <c r="D16" s="609">
        <v>0</v>
      </c>
    </row>
    <row r="17" spans="1:4">
      <c r="A17" s="526">
        <v>3.5</v>
      </c>
      <c r="B17" s="528" t="s">
        <v>602</v>
      </c>
      <c r="C17" s="609">
        <v>886309.27605300001</v>
      </c>
      <c r="D17" s="609">
        <v>20874.5</v>
      </c>
    </row>
    <row r="18" spans="1:4">
      <c r="A18" s="527">
        <v>3.6</v>
      </c>
      <c r="B18" s="528" t="s">
        <v>603</v>
      </c>
      <c r="C18" s="609">
        <v>192434</v>
      </c>
      <c r="D18" s="609">
        <v>0</v>
      </c>
    </row>
    <row r="19" spans="1:4">
      <c r="A19" s="529">
        <v>4</v>
      </c>
      <c r="B19" s="525" t="s">
        <v>604</v>
      </c>
      <c r="C19" s="624">
        <f>C6+C7-C12</f>
        <v>18744067.632029004</v>
      </c>
      <c r="D19" s="624">
        <f>D6+D7-D12</f>
        <v>706304.9</v>
      </c>
    </row>
  </sheetData>
  <mergeCells count="1">
    <mergeCell ref="A5:B5"/>
  </mergeCells>
  <pageMargins left="0.7" right="0.7" top="0.75" bottom="0.75" header="0.3" footer="0.3"/>
  <pageSetup orientation="portrait" horizontalDpi="4294967292" verticalDpi="0"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8"/>
  <sheetViews>
    <sheetView showGridLines="0" zoomScale="80" zoomScaleNormal="80" workbookViewId="0">
      <selection activeCell="C7" sqref="C7"/>
    </sheetView>
  </sheetViews>
  <sheetFormatPr defaultColWidth="9.1796875" defaultRowHeight="12"/>
  <cols>
    <col min="1" max="1" width="11.81640625" style="494" bestFit="1" customWidth="1"/>
    <col min="2" max="2" width="87.08984375" style="494" customWidth="1"/>
    <col min="3" max="3" width="24.6328125" style="494" customWidth="1"/>
    <col min="4" max="4" width="36" style="516" customWidth="1"/>
    <col min="5" max="5" width="9.1796875" style="494"/>
    <col min="6" max="6" width="13.6328125" style="494" customWidth="1"/>
    <col min="7" max="16384" width="9.1796875" style="494"/>
  </cols>
  <sheetData>
    <row r="1" spans="1:6">
      <c r="A1" s="493" t="s">
        <v>188</v>
      </c>
      <c r="D1" s="494"/>
    </row>
    <row r="2" spans="1:6">
      <c r="A2" s="495" t="s">
        <v>189</v>
      </c>
      <c r="D2" s="494"/>
    </row>
    <row r="3" spans="1:6">
      <c r="A3" s="496" t="s">
        <v>605</v>
      </c>
      <c r="B3" s="497">
        <f>'1. key ratios'!B2</f>
        <v>44377</v>
      </c>
      <c r="D3" s="494"/>
    </row>
    <row r="4" spans="1:6">
      <c r="A4" s="496"/>
      <c r="D4" s="494"/>
    </row>
    <row r="5" spans="1:6" ht="15" customHeight="1">
      <c r="A5" s="806" t="s">
        <v>606</v>
      </c>
      <c r="B5" s="807"/>
      <c r="C5" s="792" t="s">
        <v>607</v>
      </c>
      <c r="D5" s="810" t="s">
        <v>608</v>
      </c>
    </row>
    <row r="6" spans="1:6" ht="33" customHeight="1">
      <c r="A6" s="808"/>
      <c r="B6" s="809"/>
      <c r="C6" s="795"/>
      <c r="D6" s="810"/>
    </row>
    <row r="7" spans="1:6">
      <c r="A7" s="519">
        <v>1</v>
      </c>
      <c r="B7" s="501" t="s">
        <v>609</v>
      </c>
      <c r="C7" s="688">
        <v>25648590.693</v>
      </c>
      <c r="D7" s="530"/>
      <c r="F7" s="685"/>
    </row>
    <row r="8" spans="1:6">
      <c r="A8" s="510">
        <v>2</v>
      </c>
      <c r="B8" s="510" t="s">
        <v>610</v>
      </c>
      <c r="C8" s="621">
        <v>1967203.7180999999</v>
      </c>
      <c r="D8" s="530"/>
      <c r="F8" s="685"/>
    </row>
    <row r="9" spans="1:6" ht="24">
      <c r="A9" s="510">
        <v>3</v>
      </c>
      <c r="B9" s="531" t="s">
        <v>611</v>
      </c>
      <c r="C9" s="621"/>
      <c r="D9" s="530"/>
      <c r="F9" s="685"/>
    </row>
    <row r="10" spans="1:6">
      <c r="A10" s="510">
        <v>4</v>
      </c>
      <c r="B10" s="510" t="s">
        <v>612</v>
      </c>
      <c r="C10" s="621">
        <v>3866751.7591000004</v>
      </c>
      <c r="D10" s="530"/>
      <c r="F10" s="685"/>
    </row>
    <row r="11" spans="1:6" ht="24">
      <c r="A11" s="510">
        <v>5</v>
      </c>
      <c r="B11" s="532" t="s">
        <v>613</v>
      </c>
      <c r="C11" s="621"/>
      <c r="D11" s="530"/>
      <c r="F11" s="685"/>
    </row>
    <row r="12" spans="1:6" ht="24">
      <c r="A12" s="510">
        <v>6</v>
      </c>
      <c r="B12" s="532" t="s">
        <v>614</v>
      </c>
      <c r="C12" s="621"/>
      <c r="D12" s="530"/>
      <c r="F12" s="685"/>
    </row>
    <row r="13" spans="1:6" ht="24">
      <c r="A13" s="510">
        <v>7</v>
      </c>
      <c r="B13" s="532" t="s">
        <v>615</v>
      </c>
      <c r="C13" s="621">
        <v>1866542.6591</v>
      </c>
      <c r="D13" s="530"/>
      <c r="F13" s="685"/>
    </row>
    <row r="14" spans="1:6" ht="24">
      <c r="A14" s="510">
        <v>8</v>
      </c>
      <c r="B14" s="532" t="s">
        <v>616</v>
      </c>
      <c r="C14" s="621"/>
      <c r="D14" s="510"/>
      <c r="F14" s="685"/>
    </row>
    <row r="15" spans="1:6">
      <c r="A15" s="510">
        <v>9</v>
      </c>
      <c r="B15" s="532" t="s">
        <v>617</v>
      </c>
      <c r="C15" s="621"/>
      <c r="D15" s="510"/>
      <c r="F15" s="685"/>
    </row>
    <row r="16" spans="1:6">
      <c r="A16" s="510">
        <v>10</v>
      </c>
      <c r="B16" s="532" t="s">
        <v>618</v>
      </c>
      <c r="C16" s="621">
        <v>543799.43999999994</v>
      </c>
      <c r="D16" s="530"/>
      <c r="F16" s="685"/>
    </row>
    <row r="17" spans="1:6">
      <c r="A17" s="510">
        <v>11</v>
      </c>
      <c r="B17" s="532" t="s">
        <v>619</v>
      </c>
      <c r="C17" s="621"/>
      <c r="D17" s="510"/>
      <c r="F17" s="685"/>
    </row>
    <row r="18" spans="1:6" ht="24">
      <c r="A18" s="510">
        <v>12</v>
      </c>
      <c r="B18" s="532" t="s">
        <v>620</v>
      </c>
      <c r="C18" s="621">
        <v>1456409.66</v>
      </c>
      <c r="D18" s="530"/>
      <c r="F18" s="685"/>
    </row>
    <row r="19" spans="1:6">
      <c r="A19" s="519">
        <v>13</v>
      </c>
      <c r="B19" s="533" t="s">
        <v>621</v>
      </c>
      <c r="C19" s="688">
        <v>23749042.651999999</v>
      </c>
      <c r="D19" s="534"/>
      <c r="F19" s="685"/>
    </row>
    <row r="22" spans="1:6">
      <c r="B22" s="493"/>
    </row>
    <row r="23" spans="1:6" ht="14.5">
      <c r="B23" s="495"/>
      <c r="C23"/>
    </row>
    <row r="24" spans="1:6" ht="14.5">
      <c r="B24" s="496"/>
      <c r="C24"/>
    </row>
    <row r="25" spans="1:6" ht="14.5">
      <c r="C25"/>
    </row>
    <row r="26" spans="1:6" ht="14.5">
      <c r="C26"/>
    </row>
    <row r="27" spans="1:6" ht="14.5">
      <c r="C27"/>
    </row>
    <row r="28" spans="1:6" ht="14.5">
      <c r="C28"/>
    </row>
  </sheetData>
  <mergeCells count="3">
    <mergeCell ref="A5:B6"/>
    <mergeCell ref="C5:C6"/>
    <mergeCell ref="D5:D6"/>
  </mergeCells>
  <pageMargins left="0.7" right="0.7" top="0.75" bottom="0.75" header="0.3" footer="0.3"/>
  <pageSetup paperSize="9"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47"/>
  <sheetViews>
    <sheetView showGridLines="0" tabSelected="1" topLeftCell="A4" zoomScale="90" zoomScaleNormal="90" workbookViewId="0">
      <selection activeCell="B11" sqref="B11"/>
    </sheetView>
  </sheetViews>
  <sheetFormatPr defaultColWidth="9.1796875" defaultRowHeight="12"/>
  <cols>
    <col min="1" max="1" width="11.81640625" style="494" bestFit="1" customWidth="1"/>
    <col min="2" max="2" width="38.54296875" style="494" customWidth="1"/>
    <col min="3" max="3" width="28.36328125" style="494" customWidth="1"/>
    <col min="4" max="21" width="14" style="494" customWidth="1"/>
    <col min="22" max="22" width="20" style="494" customWidth="1"/>
    <col min="23" max="16384" width="9.1796875" style="494"/>
  </cols>
  <sheetData>
    <row r="1" spans="1:22">
      <c r="A1" s="493" t="s">
        <v>188</v>
      </c>
    </row>
    <row r="2" spans="1:22">
      <c r="A2" s="495" t="s">
        <v>189</v>
      </c>
      <c r="B2" s="505"/>
      <c r="C2" s="505"/>
    </row>
    <row r="3" spans="1:22">
      <c r="A3" s="496" t="s">
        <v>622</v>
      </c>
      <c r="B3" s="497">
        <f>'1. key ratios'!B2</f>
        <v>44377</v>
      </c>
    </row>
    <row r="5" spans="1:22" ht="15" customHeight="1">
      <c r="A5" s="792" t="s">
        <v>623</v>
      </c>
      <c r="B5" s="794"/>
      <c r="C5" s="813" t="s">
        <v>624</v>
      </c>
      <c r="D5" s="814"/>
      <c r="E5" s="814"/>
      <c r="F5" s="814"/>
      <c r="G5" s="814"/>
      <c r="H5" s="814"/>
      <c r="I5" s="814"/>
      <c r="J5" s="814"/>
      <c r="K5" s="814"/>
      <c r="L5" s="814"/>
      <c r="M5" s="814"/>
      <c r="N5" s="814"/>
      <c r="O5" s="814"/>
      <c r="P5" s="814"/>
      <c r="Q5" s="814"/>
      <c r="R5" s="814"/>
      <c r="S5" s="814"/>
      <c r="T5" s="814"/>
      <c r="U5" s="815"/>
      <c r="V5" s="535"/>
    </row>
    <row r="6" spans="1:22" s="516" customFormat="1">
      <c r="A6" s="811"/>
      <c r="B6" s="812"/>
      <c r="C6" s="816" t="s">
        <v>68</v>
      </c>
      <c r="D6" s="818" t="s">
        <v>625</v>
      </c>
      <c r="E6" s="818"/>
      <c r="F6" s="800"/>
      <c r="G6" s="819" t="s">
        <v>626</v>
      </c>
      <c r="H6" s="820"/>
      <c r="I6" s="820"/>
      <c r="J6" s="820"/>
      <c r="K6" s="821"/>
      <c r="L6" s="684"/>
      <c r="M6" s="822" t="s">
        <v>627</v>
      </c>
      <c r="N6" s="822"/>
      <c r="O6" s="800"/>
      <c r="P6" s="800"/>
      <c r="Q6" s="800"/>
      <c r="R6" s="800"/>
      <c r="S6" s="800"/>
      <c r="T6" s="800"/>
      <c r="U6" s="800"/>
      <c r="V6" s="684"/>
    </row>
    <row r="7" spans="1:22" ht="36">
      <c r="A7" s="795"/>
      <c r="B7" s="797"/>
      <c r="C7" s="817"/>
      <c r="D7" s="536"/>
      <c r="E7" s="507" t="s">
        <v>628</v>
      </c>
      <c r="F7" s="564" t="s">
        <v>629</v>
      </c>
      <c r="G7" s="505"/>
      <c r="H7" s="564" t="s">
        <v>628</v>
      </c>
      <c r="I7" s="507" t="s">
        <v>655</v>
      </c>
      <c r="J7" s="507" t="s">
        <v>630</v>
      </c>
      <c r="K7" s="564" t="s">
        <v>631</v>
      </c>
      <c r="L7" s="537"/>
      <c r="M7" s="553" t="s">
        <v>632</v>
      </c>
      <c r="N7" s="507" t="s">
        <v>630</v>
      </c>
      <c r="O7" s="507" t="s">
        <v>633</v>
      </c>
      <c r="P7" s="507" t="s">
        <v>634</v>
      </c>
      <c r="Q7" s="507" t="s">
        <v>635</v>
      </c>
      <c r="R7" s="507" t="s">
        <v>636</v>
      </c>
      <c r="S7" s="507" t="s">
        <v>637</v>
      </c>
      <c r="T7" s="538" t="s">
        <v>638</v>
      </c>
      <c r="U7" s="507" t="s">
        <v>639</v>
      </c>
      <c r="V7" s="535"/>
    </row>
    <row r="8" spans="1:22">
      <c r="A8" s="539">
        <v>1</v>
      </c>
      <c r="B8" s="501" t="s">
        <v>640</v>
      </c>
      <c r="C8" s="688">
        <v>288145994.35109997</v>
      </c>
      <c r="D8" s="623">
        <v>238339993.31959999</v>
      </c>
      <c r="E8" s="621">
        <v>14716763.199999999</v>
      </c>
      <c r="F8" s="621">
        <v>18666688.105</v>
      </c>
      <c r="G8" s="621">
        <v>26056958.379000001</v>
      </c>
      <c r="H8" s="621">
        <v>1241207.3481000001</v>
      </c>
      <c r="I8" s="621">
        <v>3231056.0381999998</v>
      </c>
      <c r="J8" s="621">
        <v>0</v>
      </c>
      <c r="K8" s="621">
        <v>2521051.1894</v>
      </c>
      <c r="L8" s="621">
        <v>23749042.6525</v>
      </c>
      <c r="M8" s="621">
        <v>3708349.5233</v>
      </c>
      <c r="N8" s="621">
        <v>4949698.18</v>
      </c>
      <c r="O8" s="621">
        <v>1036434.56</v>
      </c>
      <c r="P8" s="621">
        <v>232154.47</v>
      </c>
      <c r="Q8" s="621">
        <v>3528466.3506</v>
      </c>
      <c r="R8" s="621">
        <v>8921.5</v>
      </c>
      <c r="S8" s="621">
        <v>0</v>
      </c>
      <c r="T8" s="621">
        <v>0</v>
      </c>
      <c r="U8" s="621">
        <v>1370704.55</v>
      </c>
      <c r="V8" s="518"/>
    </row>
    <row r="9" spans="1:22">
      <c r="A9" s="509">
        <v>1.1000000000000001</v>
      </c>
      <c r="B9" s="540" t="s">
        <v>641</v>
      </c>
      <c r="C9" s="670"/>
      <c r="D9" s="623"/>
      <c r="E9" s="621"/>
      <c r="F9" s="621"/>
      <c r="G9" s="621"/>
      <c r="H9" s="621"/>
      <c r="I9" s="621"/>
      <c r="J9" s="621"/>
      <c r="K9" s="621"/>
      <c r="L9" s="621"/>
      <c r="M9" s="621"/>
      <c r="N9" s="621"/>
      <c r="O9" s="621"/>
      <c r="P9" s="621"/>
      <c r="Q9" s="621"/>
      <c r="R9" s="621"/>
      <c r="S9" s="621"/>
      <c r="T9" s="621"/>
      <c r="U9" s="621"/>
      <c r="V9" s="518"/>
    </row>
    <row r="10" spans="1:22">
      <c r="A10" s="509">
        <v>1.2</v>
      </c>
      <c r="B10" s="540" t="s">
        <v>642</v>
      </c>
      <c r="C10" s="670"/>
      <c r="D10" s="623"/>
      <c r="E10" s="621"/>
      <c r="F10" s="621"/>
      <c r="G10" s="621"/>
      <c r="H10" s="621"/>
      <c r="I10" s="621"/>
      <c r="J10" s="621"/>
      <c r="K10" s="621"/>
      <c r="L10" s="621"/>
      <c r="M10" s="621"/>
      <c r="N10" s="621"/>
      <c r="O10" s="621"/>
      <c r="P10" s="621"/>
      <c r="Q10" s="621"/>
      <c r="R10" s="621"/>
      <c r="S10" s="621"/>
      <c r="T10" s="621"/>
      <c r="U10" s="621"/>
      <c r="V10" s="518"/>
    </row>
    <row r="11" spans="1:22">
      <c r="A11" s="509">
        <v>1.3</v>
      </c>
      <c r="B11" s="540" t="s">
        <v>643</v>
      </c>
      <c r="C11" s="670"/>
      <c r="D11" s="623"/>
      <c r="E11" s="621"/>
      <c r="F11" s="621"/>
      <c r="G11" s="621"/>
      <c r="H11" s="621"/>
      <c r="I11" s="621"/>
      <c r="J11" s="621"/>
      <c r="K11" s="621"/>
      <c r="L11" s="621"/>
      <c r="M11" s="621"/>
      <c r="N11" s="621"/>
      <c r="O11" s="621"/>
      <c r="P11" s="621"/>
      <c r="Q11" s="621"/>
      <c r="R11" s="621"/>
      <c r="S11" s="621"/>
      <c r="T11" s="621"/>
      <c r="U11" s="621"/>
      <c r="V11" s="518"/>
    </row>
    <row r="12" spans="1:22">
      <c r="A12" s="509">
        <v>1.4</v>
      </c>
      <c r="B12" s="540" t="s">
        <v>644</v>
      </c>
      <c r="C12" s="670">
        <v>21849964.079999998</v>
      </c>
      <c r="D12" s="623">
        <v>21849964.079999998</v>
      </c>
      <c r="E12" s="621">
        <v>0</v>
      </c>
      <c r="F12" s="621">
        <v>0</v>
      </c>
      <c r="G12" s="621">
        <v>0</v>
      </c>
      <c r="H12" s="621">
        <v>0</v>
      </c>
      <c r="I12" s="621">
        <v>0</v>
      </c>
      <c r="J12" s="621">
        <v>0</v>
      </c>
      <c r="K12" s="621">
        <v>0</v>
      </c>
      <c r="L12" s="621">
        <v>0</v>
      </c>
      <c r="M12" s="621">
        <v>0</v>
      </c>
      <c r="N12" s="621">
        <v>0</v>
      </c>
      <c r="O12" s="621">
        <v>0</v>
      </c>
      <c r="P12" s="621">
        <v>0</v>
      </c>
      <c r="Q12" s="621">
        <v>0</v>
      </c>
      <c r="R12" s="621">
        <v>0</v>
      </c>
      <c r="S12" s="621">
        <v>0</v>
      </c>
      <c r="T12" s="621">
        <v>0</v>
      </c>
      <c r="U12" s="621">
        <v>0</v>
      </c>
      <c r="V12" s="518"/>
    </row>
    <row r="13" spans="1:22" s="516" customFormat="1">
      <c r="A13" s="510">
        <v>1.5</v>
      </c>
      <c r="B13" s="557" t="s">
        <v>645</v>
      </c>
      <c r="C13" s="670">
        <v>231074407.7821241</v>
      </c>
      <c r="D13" s="621">
        <v>188817187.1194714</v>
      </c>
      <c r="E13" s="621">
        <v>14542676.959999999</v>
      </c>
      <c r="F13" s="621">
        <v>18666688.105</v>
      </c>
      <c r="G13" s="621">
        <v>21228530.158954002</v>
      </c>
      <c r="H13" s="621">
        <v>475000.00004399975</v>
      </c>
      <c r="I13" s="621">
        <v>479034.67125600018</v>
      </c>
      <c r="J13" s="621">
        <v>0</v>
      </c>
      <c r="K13" s="621">
        <v>1210851.6843539996</v>
      </c>
      <c r="L13" s="621">
        <v>21028690.503598999</v>
      </c>
      <c r="M13" s="621">
        <v>3616059.3032999998</v>
      </c>
      <c r="N13" s="621">
        <v>4820882.38</v>
      </c>
      <c r="O13" s="621">
        <v>704748.50190000026</v>
      </c>
      <c r="P13" s="621"/>
      <c r="Q13" s="621">
        <v>3528393.6006</v>
      </c>
      <c r="R13" s="621">
        <v>0</v>
      </c>
      <c r="S13" s="621">
        <v>0</v>
      </c>
      <c r="T13" s="621">
        <v>0</v>
      </c>
      <c r="U13" s="621">
        <v>1264120</v>
      </c>
      <c r="V13" s="522"/>
    </row>
    <row r="14" spans="1:22" s="516" customFormat="1">
      <c r="A14" s="510">
        <v>1.6</v>
      </c>
      <c r="B14" s="557" t="s">
        <v>646</v>
      </c>
      <c r="C14" s="670">
        <v>35221622.489075899</v>
      </c>
      <c r="D14" s="621">
        <v>27672842.120128602</v>
      </c>
      <c r="E14" s="621">
        <v>174086.23999999996</v>
      </c>
      <c r="F14" s="621">
        <v>0</v>
      </c>
      <c r="G14" s="621">
        <v>4828428.2200459987</v>
      </c>
      <c r="H14" s="621">
        <v>766207.34805600031</v>
      </c>
      <c r="I14" s="621">
        <v>2752021.3669439997</v>
      </c>
      <c r="J14" s="621">
        <v>0</v>
      </c>
      <c r="K14" s="621">
        <v>1310199.5050460005</v>
      </c>
      <c r="L14" s="621">
        <v>2720352.1489010016</v>
      </c>
      <c r="M14" s="621">
        <v>92290.219999999987</v>
      </c>
      <c r="N14" s="621">
        <v>128815.80000000003</v>
      </c>
      <c r="O14" s="621">
        <v>331686.05809999985</v>
      </c>
      <c r="P14" s="621">
        <v>232201.59</v>
      </c>
      <c r="Q14" s="621">
        <v>72.75</v>
      </c>
      <c r="R14" s="621">
        <v>8921.5</v>
      </c>
      <c r="S14" s="621">
        <v>0</v>
      </c>
      <c r="T14" s="621">
        <v>0</v>
      </c>
      <c r="U14" s="621">
        <v>106584.55</v>
      </c>
      <c r="V14" s="522"/>
    </row>
    <row r="15" spans="1:22">
      <c r="A15" s="539">
        <v>2</v>
      </c>
      <c r="B15" s="519" t="s">
        <v>647</v>
      </c>
      <c r="C15" s="688">
        <v>40554528.987399995</v>
      </c>
      <c r="D15" s="621">
        <f>D17+D19+D20</f>
        <v>40554528.987399995</v>
      </c>
      <c r="E15" s="621">
        <v>0</v>
      </c>
      <c r="F15" s="621">
        <v>0</v>
      </c>
      <c r="G15" s="621">
        <v>0</v>
      </c>
      <c r="H15" s="621">
        <v>0</v>
      </c>
      <c r="I15" s="621">
        <v>0</v>
      </c>
      <c r="J15" s="621">
        <v>0</v>
      </c>
      <c r="K15" s="621">
        <v>0</v>
      </c>
      <c r="L15" s="621">
        <v>0</v>
      </c>
      <c r="M15" s="621">
        <v>0</v>
      </c>
      <c r="N15" s="621">
        <v>0</v>
      </c>
      <c r="O15" s="621">
        <v>0</v>
      </c>
      <c r="P15" s="621">
        <v>0</v>
      </c>
      <c r="Q15" s="621">
        <v>0</v>
      </c>
      <c r="R15" s="621">
        <v>0</v>
      </c>
      <c r="S15" s="621">
        <v>0</v>
      </c>
      <c r="T15" s="621">
        <v>0</v>
      </c>
      <c r="U15" s="621">
        <v>0</v>
      </c>
      <c r="V15" s="518"/>
    </row>
    <row r="16" spans="1:22">
      <c r="A16" s="509">
        <v>2.1</v>
      </c>
      <c r="B16" s="540" t="s">
        <v>641</v>
      </c>
      <c r="C16" s="670"/>
      <c r="D16" s="621"/>
      <c r="E16" s="621"/>
      <c r="F16" s="621"/>
      <c r="G16" s="621"/>
      <c r="H16" s="621"/>
      <c r="I16" s="621"/>
      <c r="J16" s="621"/>
      <c r="K16" s="621"/>
      <c r="L16" s="621"/>
      <c r="M16" s="621"/>
      <c r="N16" s="621"/>
      <c r="O16" s="621"/>
      <c r="P16" s="621"/>
      <c r="Q16" s="621"/>
      <c r="R16" s="621"/>
      <c r="S16" s="621"/>
      <c r="T16" s="621"/>
      <c r="U16" s="621"/>
      <c r="V16" s="518"/>
    </row>
    <row r="17" spans="1:22">
      <c r="A17" s="509">
        <v>2.2000000000000002</v>
      </c>
      <c r="B17" s="540" t="s">
        <v>642</v>
      </c>
      <c r="C17" s="670">
        <v>5248000</v>
      </c>
      <c r="D17" s="621">
        <v>5248000</v>
      </c>
      <c r="E17" s="621"/>
      <c r="F17" s="621"/>
      <c r="G17" s="621"/>
      <c r="H17" s="621"/>
      <c r="I17" s="621"/>
      <c r="J17" s="621"/>
      <c r="K17" s="621"/>
      <c r="L17" s="621"/>
      <c r="M17" s="621"/>
      <c r="N17" s="621"/>
      <c r="O17" s="621"/>
      <c r="P17" s="621"/>
      <c r="Q17" s="621"/>
      <c r="R17" s="621"/>
      <c r="S17" s="621"/>
      <c r="T17" s="621"/>
      <c r="U17" s="621"/>
      <c r="V17" s="518"/>
    </row>
    <row r="18" spans="1:22">
      <c r="A18" s="509">
        <v>2.2999999999999998</v>
      </c>
      <c r="B18" s="540" t="s">
        <v>643</v>
      </c>
      <c r="C18" s="670"/>
      <c r="D18" s="621"/>
      <c r="E18" s="621"/>
      <c r="F18" s="621"/>
      <c r="G18" s="621"/>
      <c r="H18" s="621"/>
      <c r="I18" s="621"/>
      <c r="J18" s="621"/>
      <c r="K18" s="621"/>
      <c r="L18" s="621"/>
      <c r="M18" s="621"/>
      <c r="N18" s="621"/>
      <c r="O18" s="621"/>
      <c r="P18" s="621"/>
      <c r="Q18" s="621"/>
      <c r="R18" s="621"/>
      <c r="S18" s="621"/>
      <c r="T18" s="621"/>
      <c r="U18" s="621"/>
      <c r="V18" s="518"/>
    </row>
    <row r="19" spans="1:22">
      <c r="A19" s="509">
        <v>2.4</v>
      </c>
      <c r="B19" s="540" t="s">
        <v>644</v>
      </c>
      <c r="C19" s="670">
        <v>16000000</v>
      </c>
      <c r="D19" s="621">
        <v>16000000</v>
      </c>
      <c r="E19" s="621">
        <v>0</v>
      </c>
      <c r="F19" s="621">
        <v>0</v>
      </c>
      <c r="G19" s="621">
        <v>0</v>
      </c>
      <c r="H19" s="621">
        <v>0</v>
      </c>
      <c r="I19" s="621">
        <v>0</v>
      </c>
      <c r="J19" s="621"/>
      <c r="K19" s="621"/>
      <c r="L19" s="621"/>
      <c r="M19" s="621"/>
      <c r="N19" s="621"/>
      <c r="O19" s="621"/>
      <c r="P19" s="621"/>
      <c r="Q19" s="621"/>
      <c r="R19" s="621"/>
      <c r="S19" s="621"/>
      <c r="T19" s="621"/>
      <c r="U19" s="621"/>
      <c r="V19" s="518"/>
    </row>
    <row r="20" spans="1:22">
      <c r="A20" s="509">
        <v>2.5</v>
      </c>
      <c r="B20" s="540" t="s">
        <v>645</v>
      </c>
      <c r="C20" s="670">
        <v>19306528.987399999</v>
      </c>
      <c r="D20" s="670">
        <v>19306528.987399999</v>
      </c>
      <c r="E20" s="621">
        <v>0</v>
      </c>
      <c r="F20" s="621">
        <v>0</v>
      </c>
      <c r="G20" s="621">
        <v>0</v>
      </c>
      <c r="H20" s="621">
        <v>0</v>
      </c>
      <c r="I20" s="621">
        <v>0</v>
      </c>
      <c r="J20" s="621"/>
      <c r="K20" s="621"/>
      <c r="L20" s="621"/>
      <c r="M20" s="621"/>
      <c r="N20" s="621"/>
      <c r="O20" s="621"/>
      <c r="P20" s="621"/>
      <c r="Q20" s="621"/>
      <c r="R20" s="621"/>
      <c r="S20" s="621"/>
      <c r="T20" s="621"/>
      <c r="U20" s="621"/>
      <c r="V20" s="518"/>
    </row>
    <row r="21" spans="1:22">
      <c r="A21" s="509">
        <v>2.6</v>
      </c>
      <c r="B21" s="540" t="s">
        <v>646</v>
      </c>
      <c r="C21" s="670"/>
      <c r="D21" s="621"/>
      <c r="E21" s="621"/>
      <c r="F21" s="621"/>
      <c r="G21" s="621"/>
      <c r="H21" s="621"/>
      <c r="I21" s="621"/>
      <c r="J21" s="621"/>
      <c r="K21" s="621"/>
      <c r="L21" s="621"/>
      <c r="M21" s="621"/>
      <c r="N21" s="621"/>
      <c r="O21" s="621"/>
      <c r="P21" s="621"/>
      <c r="Q21" s="621"/>
      <c r="R21" s="621"/>
      <c r="S21" s="621"/>
      <c r="T21" s="621"/>
      <c r="U21" s="621"/>
      <c r="V21" s="518"/>
    </row>
    <row r="22" spans="1:22">
      <c r="A22" s="539">
        <v>3</v>
      </c>
      <c r="B22" s="501" t="s">
        <v>648</v>
      </c>
      <c r="C22" s="688">
        <v>56867498.114600003</v>
      </c>
      <c r="D22" s="621">
        <v>31656421.412700001</v>
      </c>
      <c r="E22" s="680"/>
      <c r="F22" s="680"/>
      <c r="G22" s="623">
        <v>595508.01</v>
      </c>
      <c r="H22" s="667"/>
      <c r="I22" s="667"/>
      <c r="J22" s="667"/>
      <c r="K22" s="667"/>
      <c r="L22" s="623"/>
      <c r="M22" s="667"/>
      <c r="N22" s="667"/>
      <c r="O22" s="667"/>
      <c r="P22" s="667"/>
      <c r="Q22" s="667"/>
      <c r="R22" s="667"/>
      <c r="S22" s="667"/>
      <c r="T22" s="667"/>
      <c r="U22" s="623"/>
      <c r="V22" s="518"/>
    </row>
    <row r="23" spans="1:22">
      <c r="A23" s="509">
        <v>3.1</v>
      </c>
      <c r="B23" s="540" t="s">
        <v>641</v>
      </c>
      <c r="C23" s="621"/>
      <c r="D23" s="623"/>
      <c r="E23" s="680"/>
      <c r="F23" s="680"/>
      <c r="G23" s="623"/>
      <c r="H23" s="667"/>
      <c r="I23" s="667"/>
      <c r="J23" s="667"/>
      <c r="K23" s="667"/>
      <c r="L23" s="623"/>
      <c r="M23" s="667"/>
      <c r="N23" s="667"/>
      <c r="O23" s="667"/>
      <c r="P23" s="667"/>
      <c r="Q23" s="667"/>
      <c r="R23" s="667"/>
      <c r="S23" s="667"/>
      <c r="T23" s="667"/>
      <c r="U23" s="623"/>
      <c r="V23" s="518"/>
    </row>
    <row r="24" spans="1:22">
      <c r="A24" s="509">
        <v>3.2</v>
      </c>
      <c r="B24" s="540" t="s">
        <v>642</v>
      </c>
      <c r="C24" s="666"/>
      <c r="D24" s="623"/>
      <c r="E24" s="680"/>
      <c r="F24" s="680"/>
      <c r="G24" s="623"/>
      <c r="H24" s="667"/>
      <c r="I24" s="667"/>
      <c r="J24" s="667"/>
      <c r="K24" s="667"/>
      <c r="L24" s="623"/>
      <c r="M24" s="667"/>
      <c r="N24" s="667"/>
      <c r="O24" s="667"/>
      <c r="P24" s="667"/>
      <c r="Q24" s="667"/>
      <c r="R24" s="667"/>
      <c r="S24" s="667"/>
      <c r="T24" s="667"/>
      <c r="U24" s="623"/>
      <c r="V24" s="518"/>
    </row>
    <row r="25" spans="1:22">
      <c r="A25" s="509">
        <v>3.3</v>
      </c>
      <c r="B25" s="540" t="s">
        <v>643</v>
      </c>
      <c r="C25" s="666">
        <v>300000</v>
      </c>
      <c r="D25" s="623">
        <v>300000</v>
      </c>
      <c r="E25" s="680"/>
      <c r="F25" s="680"/>
      <c r="G25" s="623">
        <v>0</v>
      </c>
      <c r="H25" s="667"/>
      <c r="I25" s="667"/>
      <c r="J25" s="667"/>
      <c r="K25" s="667"/>
      <c r="L25" s="623">
        <v>0</v>
      </c>
      <c r="M25" s="667">
        <v>0</v>
      </c>
      <c r="N25" s="667">
        <v>0</v>
      </c>
      <c r="O25" s="667">
        <v>0</v>
      </c>
      <c r="P25" s="667">
        <v>0</v>
      </c>
      <c r="Q25" s="667">
        <v>0</v>
      </c>
      <c r="R25" s="667">
        <v>0</v>
      </c>
      <c r="S25" s="667">
        <v>0</v>
      </c>
      <c r="T25" s="667">
        <v>0</v>
      </c>
      <c r="U25" s="623">
        <v>0</v>
      </c>
      <c r="V25" s="518"/>
    </row>
    <row r="26" spans="1:22">
      <c r="A26" s="509">
        <v>3.4</v>
      </c>
      <c r="B26" s="540" t="s">
        <v>644</v>
      </c>
      <c r="C26" s="666">
        <v>2166004.86</v>
      </c>
      <c r="D26" s="623">
        <v>1264120</v>
      </c>
      <c r="E26" s="680"/>
      <c r="F26" s="680"/>
      <c r="G26" s="623">
        <v>0</v>
      </c>
      <c r="H26" s="667"/>
      <c r="I26" s="667"/>
      <c r="J26" s="667"/>
      <c r="K26" s="667"/>
      <c r="L26" s="623">
        <v>0</v>
      </c>
      <c r="M26" s="667">
        <v>0</v>
      </c>
      <c r="N26" s="667">
        <v>0</v>
      </c>
      <c r="O26" s="667">
        <v>0</v>
      </c>
      <c r="P26" s="667">
        <v>0</v>
      </c>
      <c r="Q26" s="667">
        <v>0</v>
      </c>
      <c r="R26" s="667">
        <v>0</v>
      </c>
      <c r="S26" s="667">
        <v>0</v>
      </c>
      <c r="T26" s="667">
        <v>0</v>
      </c>
      <c r="U26" s="623">
        <v>0</v>
      </c>
      <c r="V26" s="518"/>
    </row>
    <row r="27" spans="1:22" s="694" customFormat="1">
      <c r="A27" s="689">
        <v>3.5</v>
      </c>
      <c r="B27" s="690" t="s">
        <v>645</v>
      </c>
      <c r="C27" s="691">
        <v>54401493.254600003</v>
      </c>
      <c r="D27" s="681">
        <v>30092301.412700001</v>
      </c>
      <c r="E27" s="692"/>
      <c r="F27" s="692"/>
      <c r="G27" s="681">
        <v>595508.01</v>
      </c>
      <c r="H27" s="692"/>
      <c r="I27" s="692"/>
      <c r="J27" s="692"/>
      <c r="K27" s="692"/>
      <c r="L27" s="681">
        <v>0</v>
      </c>
      <c r="M27" s="692">
        <v>0</v>
      </c>
      <c r="N27" s="692">
        <v>0</v>
      </c>
      <c r="O27" s="692">
        <v>0</v>
      </c>
      <c r="P27" s="692">
        <v>0</v>
      </c>
      <c r="Q27" s="692">
        <v>0</v>
      </c>
      <c r="R27" s="692">
        <v>0</v>
      </c>
      <c r="S27" s="692">
        <v>0</v>
      </c>
      <c r="T27" s="692">
        <v>0</v>
      </c>
      <c r="U27" s="681">
        <v>0</v>
      </c>
      <c r="V27" s="693"/>
    </row>
    <row r="28" spans="1:22">
      <c r="A28" s="509">
        <v>3.6</v>
      </c>
      <c r="B28" s="540" t="s">
        <v>646</v>
      </c>
      <c r="C28" s="666"/>
      <c r="D28" s="623"/>
      <c r="E28" s="680"/>
      <c r="F28" s="680"/>
      <c r="G28" s="623"/>
      <c r="H28" s="667"/>
      <c r="I28" s="667"/>
      <c r="J28" s="667"/>
      <c r="K28" s="667"/>
      <c r="L28" s="623"/>
      <c r="M28" s="667"/>
      <c r="N28" s="667"/>
      <c r="O28" s="667"/>
      <c r="P28" s="667"/>
      <c r="Q28" s="667"/>
      <c r="R28" s="667"/>
      <c r="S28" s="667"/>
      <c r="T28" s="667"/>
      <c r="U28" s="623"/>
      <c r="V28" s="518"/>
    </row>
    <row r="29" spans="1:22" ht="14.5">
      <c r="B29"/>
      <c r="C29"/>
    </row>
    <row r="30" spans="1:22" ht="14.4" customHeight="1">
      <c r="B30"/>
      <c r="C30"/>
      <c r="E30"/>
    </row>
    <row r="31" spans="1:22" ht="14.5">
      <c r="B31"/>
      <c r="C31"/>
      <c r="E31"/>
    </row>
    <row r="32" spans="1:22" ht="14.5">
      <c r="B32"/>
      <c r="C32"/>
      <c r="E32"/>
      <c r="G32"/>
      <c r="H32"/>
      <c r="I32"/>
      <c r="J32"/>
      <c r="K32"/>
      <c r="L32"/>
      <c r="M32"/>
    </row>
    <row r="33" spans="2:13" ht="12" customHeight="1">
      <c r="B33"/>
      <c r="C33"/>
      <c r="G33"/>
      <c r="H33"/>
      <c r="I33"/>
      <c r="J33"/>
      <c r="K33"/>
      <c r="L33"/>
      <c r="M33"/>
    </row>
    <row r="34" spans="2:13" ht="12" customHeight="1">
      <c r="B34"/>
      <c r="C34"/>
      <c r="G34"/>
      <c r="H34"/>
      <c r="I34"/>
      <c r="J34"/>
      <c r="K34"/>
      <c r="L34"/>
      <c r="M34"/>
    </row>
    <row r="35" spans="2:13" ht="14.5">
      <c r="B35"/>
      <c r="C35"/>
      <c r="G35"/>
      <c r="H35"/>
      <c r="I35"/>
      <c r="J35"/>
      <c r="K35"/>
      <c r="L35"/>
      <c r="M35"/>
    </row>
    <row r="36" spans="2:13" ht="14.4" customHeight="1">
      <c r="B36"/>
      <c r="C36"/>
      <c r="G36"/>
      <c r="H36"/>
      <c r="I36"/>
      <c r="J36"/>
      <c r="K36"/>
      <c r="L36"/>
      <c r="M36"/>
    </row>
    <row r="37" spans="2:13" ht="14.5">
      <c r="B37"/>
      <c r="C37"/>
      <c r="G37"/>
      <c r="H37"/>
      <c r="I37"/>
      <c r="J37"/>
      <c r="K37"/>
      <c r="L37"/>
      <c r="M37"/>
    </row>
    <row r="38" spans="2:13" ht="14.5">
      <c r="B38"/>
      <c r="C38" s="727">
        <f>C20-D20</f>
        <v>0</v>
      </c>
      <c r="G38"/>
      <c r="H38"/>
      <c r="I38"/>
      <c r="J38"/>
      <c r="K38"/>
      <c r="L38"/>
      <c r="M38"/>
    </row>
    <row r="39" spans="2:13" ht="14.5">
      <c r="B39"/>
      <c r="C39"/>
      <c r="G39"/>
      <c r="H39"/>
      <c r="I39"/>
      <c r="J39"/>
      <c r="K39"/>
      <c r="L39"/>
      <c r="M39"/>
    </row>
    <row r="40" spans="2:13" ht="14.4" customHeight="1">
      <c r="C40"/>
      <c r="I40"/>
    </row>
    <row r="41" spans="2:13" ht="14.5">
      <c r="C41"/>
      <c r="I41"/>
    </row>
    <row r="42" spans="2:13" ht="14.5">
      <c r="C42"/>
      <c r="I42"/>
    </row>
    <row r="43" spans="2:13" ht="12" customHeight="1">
      <c r="C43"/>
      <c r="I43"/>
    </row>
    <row r="44" spans="2:13" ht="14.5">
      <c r="C44"/>
      <c r="I44"/>
    </row>
    <row r="45" spans="2:13" ht="14.5">
      <c r="C45"/>
      <c r="I45"/>
    </row>
    <row r="46" spans="2:13" ht="14.5">
      <c r="C46"/>
      <c r="I46"/>
    </row>
    <row r="47" spans="2:13" ht="14.5">
      <c r="I47"/>
    </row>
  </sheetData>
  <mergeCells count="6">
    <mergeCell ref="A5:B7"/>
    <mergeCell ref="C5:U5"/>
    <mergeCell ref="C6:C7"/>
    <mergeCell ref="D6:F6"/>
    <mergeCell ref="G6:K6"/>
    <mergeCell ref="M6:U6"/>
  </mergeCells>
  <pageMargins left="0.7" right="0.7" top="0.75" bottom="0.75" header="0.3" footer="0.3"/>
  <pageSetup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7"/>
  <sheetViews>
    <sheetView showGridLines="0" topLeftCell="O1" zoomScale="80" zoomScaleNormal="80" workbookViewId="0">
      <selection activeCell="S26" sqref="A25:S26"/>
    </sheetView>
  </sheetViews>
  <sheetFormatPr defaultColWidth="9.1796875" defaultRowHeight="12"/>
  <cols>
    <col min="1" max="1" width="11.81640625" style="494" bestFit="1" customWidth="1"/>
    <col min="2" max="2" width="81.81640625" style="494" customWidth="1"/>
    <col min="3" max="20" width="14.453125" style="494" customWidth="1"/>
    <col min="21" max="21" width="20" style="494" customWidth="1"/>
    <col min="22" max="16384" width="9.1796875" style="494"/>
  </cols>
  <sheetData>
    <row r="1" spans="1:21">
      <c r="A1" s="493" t="s">
        <v>188</v>
      </c>
    </row>
    <row r="2" spans="1:21">
      <c r="A2" s="495" t="s">
        <v>189</v>
      </c>
    </row>
    <row r="3" spans="1:21">
      <c r="A3" s="496" t="s">
        <v>649</v>
      </c>
      <c r="B3" s="497">
        <f>'1. key ratios'!B2</f>
        <v>44377</v>
      </c>
      <c r="C3" s="497"/>
    </row>
    <row r="4" spans="1:21">
      <c r="A4" s="496"/>
      <c r="B4" s="497"/>
      <c r="C4" s="497"/>
    </row>
    <row r="5" spans="1:21" s="516" customFormat="1" ht="13.5" customHeight="1">
      <c r="A5" s="823" t="s">
        <v>650</v>
      </c>
      <c r="B5" s="824"/>
      <c r="C5" s="829" t="s">
        <v>651</v>
      </c>
      <c r="D5" s="830"/>
      <c r="E5" s="830"/>
      <c r="F5" s="830"/>
      <c r="G5" s="830"/>
      <c r="H5" s="830"/>
      <c r="I5" s="830"/>
      <c r="J5" s="830"/>
      <c r="K5" s="830"/>
      <c r="L5" s="830"/>
      <c r="M5" s="830"/>
      <c r="N5" s="830"/>
      <c r="O5" s="830"/>
      <c r="P5" s="830"/>
      <c r="Q5" s="830"/>
      <c r="R5" s="830"/>
      <c r="S5" s="830"/>
      <c r="T5" s="831"/>
      <c r="U5" s="565"/>
    </row>
    <row r="6" spans="1:21" s="516" customFormat="1">
      <c r="A6" s="825"/>
      <c r="B6" s="826"/>
      <c r="C6" s="810" t="s">
        <v>68</v>
      </c>
      <c r="D6" s="829" t="s">
        <v>652</v>
      </c>
      <c r="E6" s="830"/>
      <c r="F6" s="831"/>
      <c r="G6" s="829" t="s">
        <v>653</v>
      </c>
      <c r="H6" s="830"/>
      <c r="I6" s="830"/>
      <c r="J6" s="830"/>
      <c r="K6" s="831"/>
      <c r="L6" s="832" t="s">
        <v>654</v>
      </c>
      <c r="M6" s="833"/>
      <c r="N6" s="833"/>
      <c r="O6" s="833"/>
      <c r="P6" s="833"/>
      <c r="Q6" s="833"/>
      <c r="R6" s="833"/>
      <c r="S6" s="833"/>
      <c r="T6" s="834"/>
      <c r="U6" s="561"/>
    </row>
    <row r="7" spans="1:21" s="516" customFormat="1" ht="36">
      <c r="A7" s="827"/>
      <c r="B7" s="828"/>
      <c r="C7" s="810"/>
      <c r="E7" s="553" t="s">
        <v>628</v>
      </c>
      <c r="F7" s="564" t="s">
        <v>629</v>
      </c>
      <c r="H7" s="553" t="s">
        <v>628</v>
      </c>
      <c r="I7" s="564" t="s">
        <v>655</v>
      </c>
      <c r="J7" s="564" t="s">
        <v>630</v>
      </c>
      <c r="K7" s="564" t="s">
        <v>631</v>
      </c>
      <c r="L7" s="566"/>
      <c r="M7" s="553" t="s">
        <v>632</v>
      </c>
      <c r="N7" s="564" t="s">
        <v>630</v>
      </c>
      <c r="O7" s="564" t="s">
        <v>633</v>
      </c>
      <c r="P7" s="564" t="s">
        <v>634</v>
      </c>
      <c r="Q7" s="564" t="s">
        <v>635</v>
      </c>
      <c r="R7" s="564" t="s">
        <v>636</v>
      </c>
      <c r="S7" s="564" t="s">
        <v>637</v>
      </c>
      <c r="T7" s="567" t="s">
        <v>638</v>
      </c>
      <c r="U7" s="565"/>
    </row>
    <row r="8" spans="1:21" s="516" customFormat="1">
      <c r="A8" s="566">
        <v>1</v>
      </c>
      <c r="B8" s="717" t="s">
        <v>640</v>
      </c>
      <c r="C8" s="718">
        <v>288145994.35119998</v>
      </c>
      <c r="D8" s="621">
        <v>238339993.10960001</v>
      </c>
      <c r="E8" s="621">
        <v>14716596.668299999</v>
      </c>
      <c r="F8" s="621">
        <v>18666688.105</v>
      </c>
      <c r="G8" s="621">
        <v>26056958.379000001</v>
      </c>
      <c r="H8" s="621">
        <v>1241207.3481000001</v>
      </c>
      <c r="I8" s="621">
        <v>3231056.0381999998</v>
      </c>
      <c r="J8" s="621"/>
      <c r="K8" s="621">
        <v>2521051.1894</v>
      </c>
      <c r="L8" s="621">
        <v>23749042.6525</v>
      </c>
      <c r="M8" s="621">
        <v>3708349.5233</v>
      </c>
      <c r="N8" s="621">
        <v>4949642.6923000002</v>
      </c>
      <c r="O8" s="621">
        <v>1036383.6221</v>
      </c>
      <c r="P8" s="621">
        <v>232154.47</v>
      </c>
      <c r="Q8" s="621">
        <v>3528466.3506</v>
      </c>
      <c r="R8" s="621">
        <v>8921.5</v>
      </c>
      <c r="S8" s="621">
        <v>0</v>
      </c>
      <c r="T8" s="621"/>
      <c r="U8" s="522"/>
    </row>
    <row r="9" spans="1:21">
      <c r="A9" s="540">
        <v>1.1000000000000001</v>
      </c>
      <c r="B9" s="540" t="s">
        <v>656</v>
      </c>
      <c r="C9" s="666">
        <v>263109194.3531</v>
      </c>
      <c r="D9" s="623">
        <v>214128582.04960001</v>
      </c>
      <c r="E9" s="623">
        <v>14542657.258300001</v>
      </c>
      <c r="F9" s="623">
        <v>18666688.105</v>
      </c>
      <c r="G9" s="623">
        <v>25797513.739</v>
      </c>
      <c r="H9" s="623">
        <v>1201797.4280999999</v>
      </c>
      <c r="I9" s="623">
        <v>3103744.6782</v>
      </c>
      <c r="J9" s="623"/>
      <c r="K9" s="623">
        <v>2521051.1894</v>
      </c>
      <c r="L9" s="623">
        <v>23183098.564399999</v>
      </c>
      <c r="M9" s="623">
        <v>3616109.3032999998</v>
      </c>
      <c r="N9" s="623">
        <v>4820882.3822999997</v>
      </c>
      <c r="O9" s="623">
        <v>764189.28209999995</v>
      </c>
      <c r="P9" s="623">
        <v>195378.36</v>
      </c>
      <c r="Q9" s="623">
        <v>3528466.3506</v>
      </c>
      <c r="R9" s="623"/>
      <c r="S9" s="623"/>
      <c r="T9" s="623"/>
      <c r="U9" s="518"/>
    </row>
    <row r="10" spans="1:21">
      <c r="A10" s="541" t="s">
        <v>252</v>
      </c>
      <c r="B10" s="541" t="s">
        <v>657</v>
      </c>
      <c r="C10" s="668">
        <v>240148206.5196</v>
      </c>
      <c r="D10" s="623">
        <v>192431714.21619999</v>
      </c>
      <c r="E10" s="623">
        <v>13342834.438300001</v>
      </c>
      <c r="F10" s="623">
        <v>18666688.105</v>
      </c>
      <c r="G10" s="623">
        <v>25797513.739</v>
      </c>
      <c r="H10" s="623">
        <v>1201797.4280999999</v>
      </c>
      <c r="I10" s="623">
        <v>3103744.6782</v>
      </c>
      <c r="J10" s="623"/>
      <c r="K10" s="623">
        <v>2521051.1894</v>
      </c>
      <c r="L10" s="623">
        <v>21918978.564399999</v>
      </c>
      <c r="M10" s="623">
        <v>2351989.3032999998</v>
      </c>
      <c r="N10" s="623">
        <v>4820882.3822999997</v>
      </c>
      <c r="O10" s="623">
        <v>764189.28209999995</v>
      </c>
      <c r="P10" s="623">
        <v>195378.36</v>
      </c>
      <c r="Q10" s="623">
        <v>3528466.3506</v>
      </c>
      <c r="R10" s="623"/>
      <c r="S10" s="623"/>
      <c r="T10" s="623"/>
      <c r="U10" s="518"/>
    </row>
    <row r="11" spans="1:21">
      <c r="A11" s="542" t="s">
        <v>658</v>
      </c>
      <c r="B11" s="543" t="s">
        <v>659</v>
      </c>
      <c r="C11" s="669">
        <v>134923876.14860001</v>
      </c>
      <c r="D11" s="623">
        <v>106177688.04889999</v>
      </c>
      <c r="E11" s="623">
        <v>11743118.587200001</v>
      </c>
      <c r="F11" s="623">
        <v>5188344.63</v>
      </c>
      <c r="G11" s="623">
        <v>18762798.233199999</v>
      </c>
      <c r="H11" s="623">
        <v>1201797.4280999999</v>
      </c>
      <c r="I11" s="623">
        <v>3103744.6782</v>
      </c>
      <c r="J11" s="623"/>
      <c r="K11" s="623"/>
      <c r="L11" s="623">
        <v>9983389.8664999995</v>
      </c>
      <c r="M11" s="623"/>
      <c r="N11" s="623"/>
      <c r="O11" s="623">
        <v>764189.28209999995</v>
      </c>
      <c r="P11" s="623"/>
      <c r="Q11" s="623"/>
      <c r="R11" s="623"/>
      <c r="S11" s="623"/>
      <c r="T11" s="623"/>
      <c r="U11" s="518"/>
    </row>
    <row r="12" spans="1:21">
      <c r="A12" s="542" t="s">
        <v>660</v>
      </c>
      <c r="B12" s="543" t="s">
        <v>661</v>
      </c>
      <c r="C12" s="669">
        <v>36578605.907200001</v>
      </c>
      <c r="D12" s="623">
        <v>34887037.919</v>
      </c>
      <c r="E12" s="623">
        <v>1599715.8511000001</v>
      </c>
      <c r="F12" s="623">
        <v>4307604.0928999996</v>
      </c>
      <c r="G12" s="623">
        <v>992508.01650000003</v>
      </c>
      <c r="H12" s="623"/>
      <c r="I12" s="623"/>
      <c r="J12" s="623"/>
      <c r="K12" s="623"/>
      <c r="L12" s="623">
        <v>699059.97180000006</v>
      </c>
      <c r="M12" s="623"/>
      <c r="N12" s="623"/>
      <c r="O12" s="623"/>
      <c r="P12" s="623"/>
      <c r="Q12" s="623"/>
      <c r="R12" s="623"/>
      <c r="S12" s="623"/>
      <c r="T12" s="623"/>
      <c r="U12" s="518"/>
    </row>
    <row r="13" spans="1:21">
      <c r="A13" s="542" t="s">
        <v>662</v>
      </c>
      <c r="B13" s="543" t="s">
        <v>663</v>
      </c>
      <c r="C13" s="669">
        <v>31095545.110300001</v>
      </c>
      <c r="D13" s="623">
        <v>23979569.095600002</v>
      </c>
      <c r="E13" s="623"/>
      <c r="F13" s="623">
        <v>4174488</v>
      </c>
      <c r="G13" s="623">
        <v>3095595.7749000001</v>
      </c>
      <c r="H13" s="623"/>
      <c r="I13" s="623"/>
      <c r="J13" s="623"/>
      <c r="K13" s="623"/>
      <c r="L13" s="623">
        <v>4020380.2398000001</v>
      </c>
      <c r="M13" s="623">
        <v>1224608.6653</v>
      </c>
      <c r="N13" s="623"/>
      <c r="O13" s="623"/>
      <c r="P13" s="623"/>
      <c r="Q13" s="623">
        <v>2795771.5745000001</v>
      </c>
      <c r="R13" s="623"/>
      <c r="S13" s="623"/>
      <c r="T13" s="623"/>
      <c r="U13" s="518"/>
    </row>
    <row r="14" spans="1:21">
      <c r="A14" s="542" t="s">
        <v>664</v>
      </c>
      <c r="B14" s="543" t="s">
        <v>665</v>
      </c>
      <c r="C14" s="669">
        <v>37550179.353500001</v>
      </c>
      <c r="D14" s="623">
        <v>27387419.1527</v>
      </c>
      <c r="E14" s="623"/>
      <c r="F14" s="623">
        <v>4996251.3821</v>
      </c>
      <c r="G14" s="623">
        <v>2946611.7143999999</v>
      </c>
      <c r="H14" s="623"/>
      <c r="I14" s="623"/>
      <c r="J14" s="623"/>
      <c r="K14" s="623">
        <v>2521051.1894</v>
      </c>
      <c r="L14" s="623">
        <v>7216148.4863999998</v>
      </c>
      <c r="M14" s="623">
        <v>1127380.638</v>
      </c>
      <c r="N14" s="623">
        <v>4820882.3822999997</v>
      </c>
      <c r="O14" s="623"/>
      <c r="P14" s="623">
        <v>195378.36</v>
      </c>
      <c r="Q14" s="623">
        <v>732694.77610000002</v>
      </c>
      <c r="R14" s="623"/>
      <c r="S14" s="623"/>
      <c r="T14" s="623"/>
      <c r="U14" s="518"/>
    </row>
    <row r="15" spans="1:21">
      <c r="A15" s="544">
        <v>1.2</v>
      </c>
      <c r="B15" s="545" t="s">
        <v>666</v>
      </c>
      <c r="C15" s="670">
        <v>14702136.7029</v>
      </c>
      <c r="D15" s="623">
        <v>4282571.7589999996</v>
      </c>
      <c r="E15" s="623">
        <v>290853.16080000001</v>
      </c>
      <c r="F15" s="623">
        <v>373333.75510000001</v>
      </c>
      <c r="G15" s="623">
        <v>2579751.4158999999</v>
      </c>
      <c r="H15" s="623">
        <v>120179.75410000001</v>
      </c>
      <c r="I15" s="623">
        <v>310374.48800000001</v>
      </c>
      <c r="J15" s="623"/>
      <c r="K15" s="623">
        <v>252105.1152</v>
      </c>
      <c r="L15" s="623">
        <v>7839813.5279999999</v>
      </c>
      <c r="M15" s="623">
        <v>1969716.8023000001</v>
      </c>
      <c r="N15" s="623">
        <v>1446264.7183999999</v>
      </c>
      <c r="O15" s="623">
        <v>229256.76560000001</v>
      </c>
      <c r="P15" s="623">
        <v>58613.51</v>
      </c>
      <c r="Q15" s="623">
        <v>1058539.8901</v>
      </c>
      <c r="R15" s="623"/>
      <c r="S15" s="623"/>
      <c r="T15" s="623"/>
      <c r="U15" s="518"/>
    </row>
    <row r="16" spans="1:21">
      <c r="A16" s="546">
        <v>1.3</v>
      </c>
      <c r="B16" s="545" t="s">
        <v>667</v>
      </c>
      <c r="C16" s="671"/>
      <c r="D16" s="671"/>
      <c r="E16" s="671"/>
      <c r="F16" s="671"/>
      <c r="G16" s="671"/>
      <c r="H16" s="671"/>
      <c r="I16" s="671"/>
      <c r="J16" s="671"/>
      <c r="K16" s="671"/>
      <c r="L16" s="671"/>
      <c r="M16" s="671"/>
      <c r="N16" s="671"/>
      <c r="O16" s="671"/>
      <c r="P16" s="671"/>
      <c r="Q16" s="671"/>
      <c r="R16" s="671"/>
      <c r="S16" s="671"/>
      <c r="T16" s="671"/>
      <c r="U16" s="518"/>
    </row>
    <row r="17" spans="1:21" s="516" customFormat="1" ht="24">
      <c r="A17" s="547" t="s">
        <v>668</v>
      </c>
      <c r="B17" s="548" t="s">
        <v>669</v>
      </c>
      <c r="C17" s="672">
        <v>232626468.6548</v>
      </c>
      <c r="D17" s="621">
        <v>184002313.1859</v>
      </c>
      <c r="E17" s="621">
        <v>13342834.438300001</v>
      </c>
      <c r="F17" s="621">
        <v>17303909.359000001</v>
      </c>
      <c r="G17" s="621">
        <v>25441056.904300001</v>
      </c>
      <c r="H17" s="621">
        <v>1201797.4280999999</v>
      </c>
      <c r="I17" s="621">
        <v>3103744.6782</v>
      </c>
      <c r="J17" s="621"/>
      <c r="K17" s="621">
        <v>2521051.1894</v>
      </c>
      <c r="L17" s="621">
        <v>23183098.564599998</v>
      </c>
      <c r="M17" s="621">
        <v>3616109.3032999998</v>
      </c>
      <c r="N17" s="621">
        <v>4820882.3822999997</v>
      </c>
      <c r="O17" s="621">
        <v>764189.28209999995</v>
      </c>
      <c r="P17" s="621">
        <v>195378.36</v>
      </c>
      <c r="Q17" s="621">
        <v>3528466.3506</v>
      </c>
      <c r="R17" s="621"/>
      <c r="S17" s="621"/>
      <c r="T17" s="621"/>
      <c r="U17" s="522"/>
    </row>
    <row r="18" spans="1:21" s="716" customFormat="1" ht="24">
      <c r="A18" s="712" t="s">
        <v>670</v>
      </c>
      <c r="B18" s="712" t="s">
        <v>671</v>
      </c>
      <c r="C18" s="713">
        <v>229138698.46759999</v>
      </c>
      <c r="D18" s="714">
        <v>181915180.0896</v>
      </c>
      <c r="E18" s="714">
        <v>12866888.9978</v>
      </c>
      <c r="F18" s="714">
        <v>17303909.359000001</v>
      </c>
      <c r="G18" s="714">
        <v>25441056.904300001</v>
      </c>
      <c r="H18" s="714">
        <v>1201797.4280999999</v>
      </c>
      <c r="I18" s="714">
        <v>3103744.6782</v>
      </c>
      <c r="J18" s="714"/>
      <c r="K18" s="714">
        <v>2521051.1894</v>
      </c>
      <c r="L18" s="714">
        <v>21782461.473700002</v>
      </c>
      <c r="M18" s="714">
        <v>2351989.3032999998</v>
      </c>
      <c r="N18" s="714">
        <v>4820882.3822999997</v>
      </c>
      <c r="O18" s="714">
        <v>764189.28209999995</v>
      </c>
      <c r="P18" s="714">
        <v>195378.36</v>
      </c>
      <c r="Q18" s="714">
        <v>3528466.3506</v>
      </c>
      <c r="R18" s="714"/>
      <c r="S18" s="714"/>
      <c r="T18" s="714"/>
      <c r="U18" s="715"/>
    </row>
    <row r="19" spans="1:21" s="516" customFormat="1">
      <c r="A19" s="547" t="s">
        <v>672</v>
      </c>
      <c r="B19" s="550" t="s">
        <v>673</v>
      </c>
      <c r="C19" s="674">
        <v>908369872.05939996</v>
      </c>
      <c r="D19" s="621">
        <v>875982985.85389996</v>
      </c>
      <c r="E19" s="621">
        <v>258929059.64969999</v>
      </c>
      <c r="F19" s="621">
        <v>9526463.3879000004</v>
      </c>
      <c r="G19" s="621">
        <v>19853012.117400002</v>
      </c>
      <c r="H19" s="621">
        <v>1061606.9708</v>
      </c>
      <c r="I19" s="621">
        <v>5295906.0811000001</v>
      </c>
      <c r="J19" s="621"/>
      <c r="K19" s="621">
        <v>402226.31060000003</v>
      </c>
      <c r="L19" s="621">
        <v>12533874.088099999</v>
      </c>
      <c r="M19" s="621">
        <v>1396580.5708999999</v>
      </c>
      <c r="N19" s="621">
        <v>282563.7917</v>
      </c>
      <c r="O19" s="621">
        <v>825727.22360000003</v>
      </c>
      <c r="P19" s="621">
        <v>10041.14</v>
      </c>
      <c r="Q19" s="621">
        <v>1083225.5629</v>
      </c>
      <c r="R19" s="621"/>
      <c r="S19" s="621"/>
      <c r="T19" s="621"/>
      <c r="U19" s="522"/>
    </row>
    <row r="20" spans="1:21" s="516" customFormat="1">
      <c r="A20" s="549" t="s">
        <v>674</v>
      </c>
      <c r="B20" s="549" t="s">
        <v>675</v>
      </c>
      <c r="C20" s="673">
        <v>897349461.08270001</v>
      </c>
      <c r="D20" s="621">
        <v>868024122.98259997</v>
      </c>
      <c r="E20" s="621">
        <v>257756533.03400001</v>
      </c>
      <c r="F20" s="621">
        <v>9526463.3879000004</v>
      </c>
      <c r="G20" s="621">
        <v>19853012.117400002</v>
      </c>
      <c r="H20" s="621">
        <v>1061606.9708</v>
      </c>
      <c r="I20" s="621">
        <v>5295906.0811000001</v>
      </c>
      <c r="J20" s="621"/>
      <c r="K20" s="621">
        <v>402226.31060000003</v>
      </c>
      <c r="L20" s="621">
        <v>9472325.9826999996</v>
      </c>
      <c r="M20" s="621">
        <v>384981.57089999999</v>
      </c>
      <c r="N20" s="621">
        <v>282563.7917</v>
      </c>
      <c r="O20" s="621">
        <v>825727.22360000003</v>
      </c>
      <c r="P20" s="621">
        <v>10041.14</v>
      </c>
      <c r="Q20" s="621">
        <v>1083225.5629</v>
      </c>
      <c r="R20" s="621"/>
      <c r="S20" s="621"/>
      <c r="T20" s="621"/>
      <c r="U20" s="522"/>
    </row>
    <row r="21" spans="1:21" s="516" customFormat="1">
      <c r="A21" s="551">
        <v>1.4</v>
      </c>
      <c r="B21" s="559" t="s">
        <v>708</v>
      </c>
      <c r="C21" s="675"/>
      <c r="D21" s="621"/>
      <c r="E21" s="621"/>
      <c r="F21" s="621"/>
      <c r="G21" s="621"/>
      <c r="H21" s="621"/>
      <c r="I21" s="621"/>
      <c r="J21" s="621"/>
      <c r="K21" s="621"/>
      <c r="L21" s="621"/>
      <c r="M21" s="621"/>
      <c r="N21" s="621"/>
      <c r="O21" s="621"/>
      <c r="P21" s="621"/>
      <c r="Q21" s="621"/>
      <c r="R21" s="621"/>
      <c r="S21" s="621"/>
      <c r="T21" s="621"/>
      <c r="U21" s="522"/>
    </row>
    <row r="22" spans="1:21" s="516" customFormat="1">
      <c r="A22" s="551">
        <v>1.5</v>
      </c>
      <c r="B22" s="559" t="s">
        <v>709</v>
      </c>
      <c r="C22" s="675">
        <v>1418981.52</v>
      </c>
      <c r="D22" s="621">
        <v>1418981.52</v>
      </c>
      <c r="E22" s="621"/>
      <c r="F22" s="621"/>
      <c r="G22" s="621"/>
      <c r="H22" s="621"/>
      <c r="I22" s="621"/>
      <c r="J22" s="621"/>
      <c r="K22" s="621"/>
      <c r="L22" s="621"/>
      <c r="M22" s="621"/>
      <c r="N22" s="621"/>
      <c r="O22" s="621"/>
      <c r="P22" s="621"/>
      <c r="Q22" s="621"/>
      <c r="R22" s="621"/>
      <c r="S22" s="621"/>
      <c r="T22" s="621"/>
      <c r="U22" s="522"/>
    </row>
    <row r="24" spans="1:21" ht="12" customHeight="1">
      <c r="C24"/>
      <c r="D24"/>
      <c r="F24"/>
      <c r="G24"/>
      <c r="H24"/>
      <c r="I24"/>
    </row>
    <row r="25" spans="1:21" ht="14.5">
      <c r="C25"/>
      <c r="D25"/>
      <c r="F25"/>
      <c r="G25"/>
      <c r="H25"/>
      <c r="I25"/>
    </row>
    <row r="26" spans="1:21" ht="14.5">
      <c r="C26"/>
      <c r="D26"/>
      <c r="F26"/>
      <c r="G26"/>
      <c r="H26"/>
      <c r="I26"/>
    </row>
    <row r="27" spans="1:21" ht="14.5">
      <c r="F27"/>
      <c r="G27"/>
      <c r="H27"/>
      <c r="I2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70" zoomScaleNormal="70" workbookViewId="0">
      <selection activeCell="L38" sqref="A35:L38"/>
    </sheetView>
  </sheetViews>
  <sheetFormatPr defaultColWidth="9.1796875" defaultRowHeight="12"/>
  <cols>
    <col min="1" max="1" width="11.81640625" style="494" bestFit="1" customWidth="1"/>
    <col min="2" max="2" width="93.453125" style="494" customWidth="1"/>
    <col min="3" max="3" width="14.6328125" style="513" customWidth="1"/>
    <col min="4" max="4" width="17.1796875" style="494" customWidth="1"/>
    <col min="5" max="5" width="16.08984375" style="494" customWidth="1"/>
    <col min="6" max="6" width="18.08984375" style="554" bestFit="1" customWidth="1"/>
    <col min="7" max="7" width="13.08984375" style="554" bestFit="1" customWidth="1"/>
    <col min="8" max="8" width="14.6328125" style="494" bestFit="1" customWidth="1"/>
    <col min="9" max="9" width="15.54296875" style="513" bestFit="1" customWidth="1"/>
    <col min="10" max="10" width="15.08984375" style="554" bestFit="1" customWidth="1"/>
    <col min="11" max="11" width="15" style="554" bestFit="1" customWidth="1"/>
    <col min="12" max="12" width="18.08984375" style="554" bestFit="1" customWidth="1"/>
    <col min="13" max="13" width="12.1796875" style="554" bestFit="1" customWidth="1"/>
    <col min="14" max="14" width="14.6328125" style="554" bestFit="1" customWidth="1"/>
    <col min="15" max="15" width="11.81640625" style="513" customWidth="1"/>
    <col min="16" max="16384" width="9.1796875" style="494"/>
  </cols>
  <sheetData>
    <row r="1" spans="1:15">
      <c r="A1" s="493" t="s">
        <v>188</v>
      </c>
      <c r="F1" s="494"/>
      <c r="G1" s="494"/>
      <c r="J1" s="494"/>
      <c r="K1" s="494"/>
      <c r="L1" s="494"/>
      <c r="M1" s="494"/>
      <c r="N1" s="494"/>
    </row>
    <row r="2" spans="1:15">
      <c r="A2" s="495" t="s">
        <v>189</v>
      </c>
      <c r="F2" s="494"/>
      <c r="G2" s="494"/>
      <c r="J2" s="494"/>
      <c r="K2" s="494"/>
      <c r="L2" s="494"/>
      <c r="M2" s="494"/>
      <c r="N2" s="494"/>
    </row>
    <row r="3" spans="1:15">
      <c r="A3" s="496" t="s">
        <v>678</v>
      </c>
      <c r="B3" s="497">
        <f>'1. key ratios'!B2</f>
        <v>44377</v>
      </c>
      <c r="F3" s="494"/>
      <c r="G3" s="494"/>
      <c r="J3" s="494"/>
      <c r="K3" s="494"/>
      <c r="L3" s="494"/>
      <c r="M3" s="494"/>
      <c r="N3" s="494"/>
    </row>
    <row r="4" spans="1:15">
      <c r="F4" s="494"/>
      <c r="G4" s="494"/>
      <c r="J4" s="494"/>
      <c r="K4" s="494"/>
      <c r="L4" s="494"/>
      <c r="M4" s="494"/>
      <c r="N4" s="494"/>
    </row>
    <row r="5" spans="1:15" ht="37.5" customHeight="1">
      <c r="A5" s="786" t="s">
        <v>679</v>
      </c>
      <c r="B5" s="787"/>
      <c r="C5" s="835" t="s">
        <v>680</v>
      </c>
      <c r="D5" s="836"/>
      <c r="E5" s="836"/>
      <c r="F5" s="836"/>
      <c r="G5" s="836"/>
      <c r="H5" s="837"/>
      <c r="I5" s="838" t="s">
        <v>681</v>
      </c>
      <c r="J5" s="839"/>
      <c r="K5" s="839"/>
      <c r="L5" s="839"/>
      <c r="M5" s="839"/>
      <c r="N5" s="840"/>
      <c r="O5" s="841" t="s">
        <v>551</v>
      </c>
    </row>
    <row r="6" spans="1:15" ht="39.5" customHeight="1">
      <c r="A6" s="790"/>
      <c r="B6" s="791"/>
      <c r="C6" s="552"/>
      <c r="D6" s="553" t="s">
        <v>682</v>
      </c>
      <c r="E6" s="553" t="s">
        <v>683</v>
      </c>
      <c r="F6" s="553" t="s">
        <v>684</v>
      </c>
      <c r="G6" s="553" t="s">
        <v>685</v>
      </c>
      <c r="H6" s="553" t="s">
        <v>686</v>
      </c>
      <c r="I6" s="683"/>
      <c r="J6" s="553" t="s">
        <v>682</v>
      </c>
      <c r="K6" s="553" t="s">
        <v>683</v>
      </c>
      <c r="L6" s="553" t="s">
        <v>684</v>
      </c>
      <c r="M6" s="553" t="s">
        <v>685</v>
      </c>
      <c r="N6" s="553" t="s">
        <v>686</v>
      </c>
      <c r="O6" s="842"/>
    </row>
    <row r="7" spans="1:15">
      <c r="A7" s="509">
        <v>1</v>
      </c>
      <c r="B7" s="517" t="s">
        <v>561</v>
      </c>
      <c r="C7" s="698">
        <v>4392065.99</v>
      </c>
      <c r="D7" s="695">
        <v>4223798.96</v>
      </c>
      <c r="E7" s="695">
        <v>103723.35</v>
      </c>
      <c r="F7" s="696">
        <v>19949.25</v>
      </c>
      <c r="G7" s="696">
        <v>33390.6</v>
      </c>
      <c r="H7" s="695">
        <v>11203.83</v>
      </c>
      <c r="I7" s="699">
        <v>128732.44</v>
      </c>
      <c r="J7" s="696">
        <v>84476.18</v>
      </c>
      <c r="K7" s="696">
        <v>10372.34</v>
      </c>
      <c r="L7" s="696">
        <v>5984.77</v>
      </c>
      <c r="M7" s="696">
        <v>16695.32</v>
      </c>
      <c r="N7" s="696">
        <v>11203.83</v>
      </c>
      <c r="O7" s="699"/>
    </row>
    <row r="8" spans="1:15">
      <c r="A8" s="509">
        <v>2</v>
      </c>
      <c r="B8" s="517" t="s">
        <v>562</v>
      </c>
      <c r="C8" s="698">
        <v>23739123.940000001</v>
      </c>
      <c r="D8" s="695">
        <v>23730154.120000001</v>
      </c>
      <c r="E8" s="695">
        <v>2830.52</v>
      </c>
      <c r="F8" s="696">
        <v>183.05</v>
      </c>
      <c r="G8" s="696">
        <v>5207.17</v>
      </c>
      <c r="H8" s="695">
        <v>749.08</v>
      </c>
      <c r="I8" s="699">
        <v>478293.81</v>
      </c>
      <c r="J8" s="696">
        <v>474603.15</v>
      </c>
      <c r="K8" s="696">
        <v>283.07</v>
      </c>
      <c r="L8" s="696">
        <v>54.92</v>
      </c>
      <c r="M8" s="696">
        <v>2603.59</v>
      </c>
      <c r="N8" s="696">
        <v>749.08</v>
      </c>
      <c r="O8" s="699"/>
    </row>
    <row r="9" spans="1:15">
      <c r="A9" s="509">
        <v>3</v>
      </c>
      <c r="B9" s="517" t="s">
        <v>563</v>
      </c>
      <c r="C9" s="698">
        <v>5244.94</v>
      </c>
      <c r="D9" s="695">
        <v>2464.9899999999998</v>
      </c>
      <c r="E9" s="695">
        <v>2779.95</v>
      </c>
      <c r="F9" s="697"/>
      <c r="G9" s="697"/>
      <c r="H9" s="695"/>
      <c r="I9" s="699">
        <v>327.3</v>
      </c>
      <c r="J9" s="697">
        <v>49.3</v>
      </c>
      <c r="K9" s="697">
        <v>278</v>
      </c>
      <c r="L9" s="697"/>
      <c r="M9" s="697"/>
      <c r="N9" s="697"/>
      <c r="O9" s="699"/>
    </row>
    <row r="10" spans="1:15">
      <c r="A10" s="509">
        <v>4</v>
      </c>
      <c r="B10" s="517" t="s">
        <v>564</v>
      </c>
      <c r="C10" s="698">
        <v>43602340.419799998</v>
      </c>
      <c r="D10" s="695">
        <v>41313899.571000002</v>
      </c>
      <c r="E10" s="695">
        <v>479034.67129999999</v>
      </c>
      <c r="F10" s="697">
        <v>1809406.1775</v>
      </c>
      <c r="G10" s="697"/>
      <c r="H10" s="695">
        <v>0</v>
      </c>
      <c r="I10" s="699">
        <v>1417003.3407999999</v>
      </c>
      <c r="J10" s="697">
        <v>826278.02989999996</v>
      </c>
      <c r="K10" s="697">
        <v>47903.479800000001</v>
      </c>
      <c r="L10" s="697">
        <v>542821.83109999995</v>
      </c>
      <c r="M10" s="697"/>
      <c r="N10" s="697"/>
      <c r="O10" s="699"/>
    </row>
    <row r="11" spans="1:15">
      <c r="A11" s="509">
        <v>5</v>
      </c>
      <c r="B11" s="517" t="s">
        <v>565</v>
      </c>
      <c r="C11" s="698">
        <v>41752346.541500002</v>
      </c>
      <c r="D11" s="695">
        <v>39326601.8336</v>
      </c>
      <c r="E11" s="695">
        <v>992508.01650000003</v>
      </c>
      <c r="F11" s="697">
        <v>1433236.6915</v>
      </c>
      <c r="G11" s="697"/>
      <c r="H11" s="695">
        <v>0</v>
      </c>
      <c r="I11" s="699">
        <v>1315753.8699</v>
      </c>
      <c r="J11" s="697">
        <v>786532.05449999997</v>
      </c>
      <c r="K11" s="697">
        <v>99250.801699999996</v>
      </c>
      <c r="L11" s="697">
        <v>429971.01380000002</v>
      </c>
      <c r="M11" s="697"/>
      <c r="N11" s="697"/>
      <c r="O11" s="699"/>
    </row>
    <row r="12" spans="1:15">
      <c r="A12" s="509">
        <v>6</v>
      </c>
      <c r="B12" s="517" t="s">
        <v>566</v>
      </c>
      <c r="C12" s="698">
        <v>3256744.8413999998</v>
      </c>
      <c r="D12" s="695">
        <v>2044506.03</v>
      </c>
      <c r="E12" s="695">
        <v>1170127.6114000001</v>
      </c>
      <c r="F12" s="697">
        <v>23475.65</v>
      </c>
      <c r="G12" s="697">
        <v>12969.8</v>
      </c>
      <c r="H12" s="695">
        <v>5665.75</v>
      </c>
      <c r="I12" s="699">
        <v>177096.22940000001</v>
      </c>
      <c r="J12" s="697">
        <v>40890.11</v>
      </c>
      <c r="K12" s="697">
        <v>117012.7694</v>
      </c>
      <c r="L12" s="697">
        <v>7042.7</v>
      </c>
      <c r="M12" s="697">
        <v>6484.9</v>
      </c>
      <c r="N12" s="697">
        <v>5665.75</v>
      </c>
      <c r="O12" s="699"/>
    </row>
    <row r="13" spans="1:15">
      <c r="A13" s="509">
        <v>7</v>
      </c>
      <c r="B13" s="517" t="s">
        <v>567</v>
      </c>
      <c r="C13" s="698">
        <v>6105424.8055999996</v>
      </c>
      <c r="D13" s="695">
        <v>2934630.6710999999</v>
      </c>
      <c r="E13" s="695">
        <v>0</v>
      </c>
      <c r="F13" s="697">
        <v>3169790.6044999999</v>
      </c>
      <c r="G13" s="697">
        <v>997.16</v>
      </c>
      <c r="H13" s="695">
        <v>6.37</v>
      </c>
      <c r="I13" s="699">
        <v>1010134.8081</v>
      </c>
      <c r="J13" s="697">
        <v>58692.675799999997</v>
      </c>
      <c r="K13" s="697"/>
      <c r="L13" s="697">
        <v>950937.18229999999</v>
      </c>
      <c r="M13" s="697">
        <v>498.58</v>
      </c>
      <c r="N13" s="697">
        <v>6.37</v>
      </c>
      <c r="O13" s="699"/>
    </row>
    <row r="14" spans="1:15">
      <c r="A14" s="509">
        <v>8</v>
      </c>
      <c r="B14" s="517" t="s">
        <v>568</v>
      </c>
      <c r="C14" s="698">
        <v>6951577.3098999998</v>
      </c>
      <c r="D14" s="695">
        <v>6215352.1036999999</v>
      </c>
      <c r="E14" s="695">
        <v>0</v>
      </c>
      <c r="F14" s="697">
        <v>736220.20609999995</v>
      </c>
      <c r="G14" s="697"/>
      <c r="H14" s="695">
        <v>5</v>
      </c>
      <c r="I14" s="699">
        <v>345178.08639999997</v>
      </c>
      <c r="J14" s="697">
        <v>124307.0386</v>
      </c>
      <c r="K14" s="697"/>
      <c r="L14" s="697">
        <v>220866.0478</v>
      </c>
      <c r="M14" s="697"/>
      <c r="N14" s="697">
        <v>5</v>
      </c>
      <c r="O14" s="699"/>
    </row>
    <row r="15" spans="1:15">
      <c r="A15" s="509">
        <v>9</v>
      </c>
      <c r="B15" s="517" t="s">
        <v>569</v>
      </c>
      <c r="C15" s="698">
        <v>2685561.2453999999</v>
      </c>
      <c r="D15" s="695">
        <v>2513702.8854</v>
      </c>
      <c r="E15" s="695">
        <v>167673.44</v>
      </c>
      <c r="F15" s="697">
        <v>3000</v>
      </c>
      <c r="G15" s="697"/>
      <c r="H15" s="695">
        <v>1184.92</v>
      </c>
      <c r="I15" s="699">
        <v>69126.332999999999</v>
      </c>
      <c r="J15" s="697">
        <v>50274.072999999997</v>
      </c>
      <c r="K15" s="697">
        <v>16767.34</v>
      </c>
      <c r="L15" s="697">
        <v>900</v>
      </c>
      <c r="M15" s="697"/>
      <c r="N15" s="697">
        <v>1184.92</v>
      </c>
      <c r="O15" s="699"/>
    </row>
    <row r="16" spans="1:15">
      <c r="A16" s="509">
        <v>10</v>
      </c>
      <c r="B16" s="517" t="s">
        <v>570</v>
      </c>
      <c r="C16" s="698">
        <v>652475.65890000004</v>
      </c>
      <c r="D16" s="695">
        <v>652475.65890000004</v>
      </c>
      <c r="E16" s="695"/>
      <c r="F16" s="697"/>
      <c r="G16" s="697"/>
      <c r="H16" s="695"/>
      <c r="I16" s="699">
        <v>13049.5281</v>
      </c>
      <c r="J16" s="697">
        <v>13049.5281</v>
      </c>
      <c r="K16" s="697"/>
      <c r="L16" s="697"/>
      <c r="M16" s="697"/>
      <c r="N16" s="697"/>
      <c r="O16" s="699"/>
    </row>
    <row r="17" spans="1:15">
      <c r="A17" s="509">
        <v>11</v>
      </c>
      <c r="B17" s="517" t="s">
        <v>571</v>
      </c>
      <c r="C17" s="698">
        <v>5190792.5980000002</v>
      </c>
      <c r="D17" s="695">
        <v>64791.44</v>
      </c>
      <c r="E17" s="695">
        <v>5126001.1579999998</v>
      </c>
      <c r="F17" s="697"/>
      <c r="G17" s="697"/>
      <c r="H17" s="695"/>
      <c r="I17" s="699">
        <v>513895.9388</v>
      </c>
      <c r="J17" s="697">
        <v>1295.82</v>
      </c>
      <c r="K17" s="697">
        <v>512600.1188</v>
      </c>
      <c r="L17" s="697"/>
      <c r="M17" s="697"/>
      <c r="N17" s="697"/>
      <c r="O17" s="699"/>
    </row>
    <row r="18" spans="1:15">
      <c r="A18" s="509">
        <v>12</v>
      </c>
      <c r="B18" s="517" t="s">
        <v>572</v>
      </c>
      <c r="C18" s="698">
        <v>5014794.7388000004</v>
      </c>
      <c r="D18" s="695">
        <v>4784796.7687999997</v>
      </c>
      <c r="E18" s="695">
        <v>54051.05</v>
      </c>
      <c r="F18" s="697">
        <v>96090.6</v>
      </c>
      <c r="G18" s="697">
        <v>69695.8</v>
      </c>
      <c r="H18" s="695">
        <v>10160.52</v>
      </c>
      <c r="I18" s="699">
        <v>174936.80679999999</v>
      </c>
      <c r="J18" s="697">
        <v>95696.026800000007</v>
      </c>
      <c r="K18" s="697">
        <v>5405.12</v>
      </c>
      <c r="L18" s="697">
        <v>28827.19</v>
      </c>
      <c r="M18" s="697">
        <v>34847.949999999997</v>
      </c>
      <c r="N18" s="697">
        <v>10160.52</v>
      </c>
      <c r="O18" s="699"/>
    </row>
    <row r="19" spans="1:15">
      <c r="A19" s="509">
        <v>13</v>
      </c>
      <c r="B19" s="517" t="s">
        <v>573</v>
      </c>
      <c r="C19" s="698">
        <v>4653353.2928999998</v>
      </c>
      <c r="D19" s="695">
        <v>4561109.7928999998</v>
      </c>
      <c r="E19" s="695">
        <v>12893.67</v>
      </c>
      <c r="F19" s="697">
        <v>37406.870000000003</v>
      </c>
      <c r="G19" s="697">
        <v>4003.61</v>
      </c>
      <c r="H19" s="695">
        <v>37939.35</v>
      </c>
      <c r="I19" s="699">
        <v>143674.84700000001</v>
      </c>
      <c r="J19" s="697">
        <v>91222.236999999994</v>
      </c>
      <c r="K19" s="697">
        <v>1289.3699999999999</v>
      </c>
      <c r="L19" s="697">
        <v>11222.07</v>
      </c>
      <c r="M19" s="697">
        <v>2001.82</v>
      </c>
      <c r="N19" s="697">
        <v>37939.35</v>
      </c>
      <c r="O19" s="699"/>
    </row>
    <row r="20" spans="1:15">
      <c r="A20" s="509">
        <v>14</v>
      </c>
      <c r="B20" s="517" t="s">
        <v>574</v>
      </c>
      <c r="C20" s="698">
        <v>55466639.399700001</v>
      </c>
      <c r="D20" s="695">
        <v>42959561.237400003</v>
      </c>
      <c r="E20" s="695">
        <v>2548189.56</v>
      </c>
      <c r="F20" s="697">
        <v>8690211.5222999994</v>
      </c>
      <c r="G20" s="697">
        <v>4557.08</v>
      </c>
      <c r="H20" s="695">
        <v>1264120</v>
      </c>
      <c r="I20" s="699">
        <v>4987472.1703000003</v>
      </c>
      <c r="J20" s="697">
        <v>859191.1936</v>
      </c>
      <c r="K20" s="697">
        <v>254818.97</v>
      </c>
      <c r="L20" s="697">
        <v>2607063.4567</v>
      </c>
      <c r="M20" s="697">
        <v>2278.5500000000002</v>
      </c>
      <c r="N20" s="697">
        <v>1264120</v>
      </c>
      <c r="O20" s="699"/>
    </row>
    <row r="21" spans="1:15">
      <c r="A21" s="509">
        <v>15</v>
      </c>
      <c r="B21" s="517" t="s">
        <v>575</v>
      </c>
      <c r="C21" s="698">
        <v>16560949.7195</v>
      </c>
      <c r="D21" s="695">
        <v>13606083.565099999</v>
      </c>
      <c r="E21" s="695">
        <v>2949543.9643999999</v>
      </c>
      <c r="F21" s="697">
        <v>1903.82</v>
      </c>
      <c r="G21" s="697">
        <v>3418.37</v>
      </c>
      <c r="H21" s="695">
        <v>0</v>
      </c>
      <c r="I21" s="699">
        <v>569356.44200000004</v>
      </c>
      <c r="J21" s="697">
        <v>272121.70370000001</v>
      </c>
      <c r="K21" s="697">
        <v>294954.3884</v>
      </c>
      <c r="L21" s="697">
        <v>571.15</v>
      </c>
      <c r="M21" s="697">
        <v>1709.2</v>
      </c>
      <c r="N21" s="697"/>
      <c r="O21" s="699"/>
    </row>
    <row r="22" spans="1:15">
      <c r="A22" s="509">
        <v>16</v>
      </c>
      <c r="B22" s="517" t="s">
        <v>576</v>
      </c>
      <c r="C22" s="698">
        <v>18092.79</v>
      </c>
      <c r="D22" s="695">
        <v>18092.79</v>
      </c>
      <c r="E22" s="695"/>
      <c r="F22" s="697"/>
      <c r="G22" s="697"/>
      <c r="H22" s="695"/>
      <c r="I22" s="699">
        <v>361.86</v>
      </c>
      <c r="J22" s="697">
        <v>361.86</v>
      </c>
      <c r="K22" s="697"/>
      <c r="L22" s="697"/>
      <c r="M22" s="697"/>
      <c r="N22" s="697"/>
      <c r="O22" s="699"/>
    </row>
    <row r="23" spans="1:15">
      <c r="A23" s="509">
        <v>17</v>
      </c>
      <c r="B23" s="517" t="s">
        <v>577</v>
      </c>
      <c r="C23" s="698">
        <v>9681839.8660000004</v>
      </c>
      <c r="D23" s="695">
        <v>5222103.1343</v>
      </c>
      <c r="E23" s="695"/>
      <c r="F23" s="697">
        <v>4459736.7317000004</v>
      </c>
      <c r="G23" s="697"/>
      <c r="H23" s="695"/>
      <c r="I23" s="699">
        <v>1442363.0759999999</v>
      </c>
      <c r="J23" s="697">
        <v>104442.0439</v>
      </c>
      <c r="K23" s="697"/>
      <c r="L23" s="697">
        <v>1337921.0322</v>
      </c>
      <c r="M23" s="697"/>
      <c r="N23" s="697"/>
      <c r="O23" s="699"/>
    </row>
    <row r="24" spans="1:15">
      <c r="A24" s="509">
        <v>18</v>
      </c>
      <c r="B24" s="517" t="s">
        <v>578</v>
      </c>
      <c r="C24" s="698">
        <v>23598510.807100002</v>
      </c>
      <c r="D24" s="695">
        <v>23596139.5671</v>
      </c>
      <c r="E24" s="695">
        <v>0</v>
      </c>
      <c r="F24" s="697">
        <v>1371.24</v>
      </c>
      <c r="G24" s="697">
        <v>1000</v>
      </c>
      <c r="H24" s="695">
        <v>0</v>
      </c>
      <c r="I24" s="699">
        <v>472834.1888</v>
      </c>
      <c r="J24" s="697">
        <v>471922.81880000001</v>
      </c>
      <c r="K24" s="697"/>
      <c r="L24" s="697">
        <v>411.37</v>
      </c>
      <c r="M24" s="697">
        <v>500</v>
      </c>
      <c r="N24" s="697"/>
      <c r="O24" s="699"/>
    </row>
    <row r="25" spans="1:15">
      <c r="A25" s="509">
        <v>19</v>
      </c>
      <c r="B25" s="517" t="s">
        <v>579</v>
      </c>
      <c r="C25" s="698">
        <v>3470029.3818000001</v>
      </c>
      <c r="D25" s="695">
        <v>3467145.3117999998</v>
      </c>
      <c r="E25" s="695">
        <v>2884.07</v>
      </c>
      <c r="F25" s="697"/>
      <c r="G25" s="697"/>
      <c r="H25" s="695"/>
      <c r="I25" s="699">
        <v>69631.326400000005</v>
      </c>
      <c r="J25" s="697">
        <v>69342.916400000002</v>
      </c>
      <c r="K25" s="697">
        <v>288.41000000000003</v>
      </c>
      <c r="L25" s="697"/>
      <c r="M25" s="697"/>
      <c r="N25" s="697"/>
      <c r="O25" s="699"/>
    </row>
    <row r="26" spans="1:15">
      <c r="A26" s="509">
        <v>20</v>
      </c>
      <c r="B26" s="517" t="s">
        <v>580</v>
      </c>
      <c r="C26" s="698">
        <v>755629.52</v>
      </c>
      <c r="D26" s="695">
        <v>746992.69</v>
      </c>
      <c r="E26" s="695">
        <v>3481.3</v>
      </c>
      <c r="F26" s="697">
        <v>698.47</v>
      </c>
      <c r="G26" s="697">
        <v>830.79</v>
      </c>
      <c r="H26" s="695">
        <v>3626.27</v>
      </c>
      <c r="I26" s="699">
        <v>19539.240000000002</v>
      </c>
      <c r="J26" s="697">
        <v>14939.89</v>
      </c>
      <c r="K26" s="697">
        <v>348.14</v>
      </c>
      <c r="L26" s="697">
        <v>209.54</v>
      </c>
      <c r="M26" s="697">
        <v>415.4</v>
      </c>
      <c r="N26" s="697">
        <v>3626.27</v>
      </c>
      <c r="O26" s="699"/>
    </row>
    <row r="27" spans="1:15">
      <c r="A27" s="509">
        <v>21</v>
      </c>
      <c r="B27" s="517" t="s">
        <v>581</v>
      </c>
      <c r="C27" s="698">
        <v>217666.49</v>
      </c>
      <c r="D27" s="695">
        <v>217666.49</v>
      </c>
      <c r="E27" s="695">
        <v>0</v>
      </c>
      <c r="F27" s="697"/>
      <c r="G27" s="697"/>
      <c r="H27" s="695"/>
      <c r="I27" s="699">
        <v>4353.32</v>
      </c>
      <c r="J27" s="697">
        <v>4353.32</v>
      </c>
      <c r="K27" s="697"/>
      <c r="L27" s="697"/>
      <c r="M27" s="697"/>
      <c r="N27" s="697"/>
      <c r="O27" s="699"/>
    </row>
    <row r="28" spans="1:15">
      <c r="A28" s="509">
        <v>22</v>
      </c>
      <c r="B28" s="517" t="s">
        <v>582</v>
      </c>
      <c r="C28" s="698">
        <v>164795.96</v>
      </c>
      <c r="D28" s="695">
        <v>159795.96</v>
      </c>
      <c r="E28" s="695">
        <v>0</v>
      </c>
      <c r="F28" s="697"/>
      <c r="G28" s="697">
        <v>5000</v>
      </c>
      <c r="H28" s="695">
        <v>0</v>
      </c>
      <c r="I28" s="699">
        <v>5695.94</v>
      </c>
      <c r="J28" s="697">
        <v>3195.94</v>
      </c>
      <c r="K28" s="697"/>
      <c r="L28" s="697"/>
      <c r="M28" s="697">
        <v>2500</v>
      </c>
      <c r="N28" s="697"/>
      <c r="O28" s="699"/>
    </row>
    <row r="29" spans="1:15">
      <c r="A29" s="509">
        <v>23</v>
      </c>
      <c r="B29" s="517" t="s">
        <v>583</v>
      </c>
      <c r="C29" s="698">
        <v>14109228.236400001</v>
      </c>
      <c r="D29" s="695">
        <v>8810884.1056999993</v>
      </c>
      <c r="E29" s="695">
        <v>4264480.5899</v>
      </c>
      <c r="F29" s="697">
        <v>1003108.4508</v>
      </c>
      <c r="G29" s="697">
        <v>19614.22</v>
      </c>
      <c r="H29" s="695">
        <v>11140.87</v>
      </c>
      <c r="I29" s="699">
        <v>924546.31229999999</v>
      </c>
      <c r="J29" s="697">
        <v>176217.69200000001</v>
      </c>
      <c r="K29" s="697">
        <v>426448.08610000001</v>
      </c>
      <c r="L29" s="697">
        <v>300932.53409999999</v>
      </c>
      <c r="M29" s="697">
        <v>9807.1299999999992</v>
      </c>
      <c r="N29" s="697">
        <v>11140.87</v>
      </c>
      <c r="O29" s="699"/>
    </row>
    <row r="30" spans="1:15">
      <c r="A30" s="509">
        <v>24</v>
      </c>
      <c r="B30" s="517" t="s">
        <v>584</v>
      </c>
      <c r="C30" s="698">
        <v>4991388.7433000002</v>
      </c>
      <c r="D30" s="695">
        <v>4351715.7433000002</v>
      </c>
      <c r="E30" s="695"/>
      <c r="F30" s="697">
        <v>639673</v>
      </c>
      <c r="G30" s="697"/>
      <c r="H30" s="695"/>
      <c r="I30" s="699">
        <v>278936.2316</v>
      </c>
      <c r="J30" s="697">
        <v>87034.331600000005</v>
      </c>
      <c r="K30" s="697"/>
      <c r="L30" s="697">
        <v>191901.9</v>
      </c>
      <c r="M30" s="697"/>
      <c r="N30" s="697"/>
      <c r="O30" s="699"/>
    </row>
    <row r="31" spans="1:15">
      <c r="A31" s="509">
        <v>25</v>
      </c>
      <c r="B31" s="517" t="s">
        <v>585</v>
      </c>
      <c r="C31" s="698">
        <v>11091254.416999999</v>
      </c>
      <c r="D31" s="695">
        <v>2806329.9095000001</v>
      </c>
      <c r="E31" s="695">
        <v>8176755.4574999996</v>
      </c>
      <c r="F31" s="697">
        <v>29495.32</v>
      </c>
      <c r="G31" s="697">
        <v>62693.1</v>
      </c>
      <c r="H31" s="695">
        <v>15980.63</v>
      </c>
      <c r="I31" s="699">
        <v>929978.07709999999</v>
      </c>
      <c r="J31" s="697">
        <v>56126.725400000003</v>
      </c>
      <c r="K31" s="697">
        <v>817675.54180000001</v>
      </c>
      <c r="L31" s="697">
        <v>8848.59</v>
      </c>
      <c r="M31" s="697">
        <v>31346.59</v>
      </c>
      <c r="N31" s="697">
        <v>15980.63</v>
      </c>
      <c r="O31" s="699"/>
    </row>
    <row r="32" spans="1:15">
      <c r="A32" s="509">
        <v>26</v>
      </c>
      <c r="B32" s="517" t="s">
        <v>687</v>
      </c>
      <c r="C32" s="698">
        <v>18122.698100000001</v>
      </c>
      <c r="D32" s="695">
        <v>9197.99</v>
      </c>
      <c r="E32" s="695"/>
      <c r="F32" s="697">
        <v>0.94810000000000005</v>
      </c>
      <c r="G32" s="697">
        <v>1.8</v>
      </c>
      <c r="H32" s="695">
        <v>8921.9599999999991</v>
      </c>
      <c r="I32" s="699">
        <v>9107.1044000000002</v>
      </c>
      <c r="J32" s="697">
        <v>183.96</v>
      </c>
      <c r="K32" s="697"/>
      <c r="L32" s="697">
        <v>0.28439999999999999</v>
      </c>
      <c r="M32" s="697">
        <v>0.9</v>
      </c>
      <c r="N32" s="697">
        <v>8921.9599999999991</v>
      </c>
      <c r="O32" s="699"/>
    </row>
    <row r="33" spans="1:15" s="723" customFormat="1">
      <c r="A33" s="519">
        <v>27</v>
      </c>
      <c r="B33" s="719" t="s">
        <v>68</v>
      </c>
      <c r="C33" s="720">
        <v>288145994.35119998</v>
      </c>
      <c r="D33" s="721">
        <v>238339993.31959999</v>
      </c>
      <c r="E33" s="721">
        <v>26056958.379000001</v>
      </c>
      <c r="F33" s="722">
        <v>22154958.602499999</v>
      </c>
      <c r="G33" s="722">
        <v>223379.5</v>
      </c>
      <c r="H33" s="721">
        <v>1370704.55</v>
      </c>
      <c r="I33" s="721">
        <v>15501378.6273</v>
      </c>
      <c r="J33" s="722">
        <v>4766800.6189999999</v>
      </c>
      <c r="K33" s="722">
        <v>2605695.9459000002</v>
      </c>
      <c r="L33" s="722">
        <v>6646487.5823999997</v>
      </c>
      <c r="M33" s="722">
        <v>111689.93</v>
      </c>
      <c r="N33" s="722">
        <v>1370704.55</v>
      </c>
      <c r="O33" s="721">
        <v>3242689</v>
      </c>
    </row>
    <row r="34" spans="1:15">
      <c r="A34" s="518"/>
      <c r="B34" s="518"/>
      <c r="C34" s="701"/>
      <c r="D34" s="702"/>
      <c r="E34" s="702"/>
      <c r="F34" s="703"/>
      <c r="G34" s="703"/>
      <c r="H34" s="702"/>
      <c r="I34" s="701"/>
      <c r="J34" s="703"/>
      <c r="K34" s="703"/>
      <c r="L34" s="703"/>
      <c r="M34" s="703"/>
      <c r="N34" s="703"/>
      <c r="O34" s="701"/>
    </row>
    <row r="35" spans="1:15">
      <c r="A35" s="518"/>
      <c r="B35" s="520"/>
      <c r="C35" s="704"/>
      <c r="D35" s="705"/>
      <c r="E35" s="705"/>
      <c r="F35" s="705"/>
      <c r="G35" s="705"/>
      <c r="H35" s="705"/>
      <c r="I35" s="704"/>
      <c r="J35" s="705"/>
      <c r="K35" s="705"/>
      <c r="L35" s="705"/>
      <c r="M35" s="705"/>
      <c r="N35" s="705"/>
      <c r="O35" s="704"/>
    </row>
    <row r="36" spans="1:15" ht="14.4" customHeight="1">
      <c r="A36" s="518"/>
      <c r="B36" s="518"/>
      <c r="C36"/>
      <c r="D36"/>
      <c r="E36"/>
      <c r="F36"/>
      <c r="H36" s="518"/>
      <c r="I36" s="521"/>
      <c r="O36" s="521"/>
    </row>
    <row r="37" spans="1:15" ht="14.5">
      <c r="A37" s="518"/>
      <c r="B37" s="518"/>
      <c r="C37"/>
      <c r="D37"/>
      <c r="E37"/>
      <c r="F37"/>
      <c r="H37" s="518"/>
      <c r="I37" s="521"/>
      <c r="O37" s="521"/>
    </row>
    <row r="38" spans="1:15" ht="14.5">
      <c r="A38" s="518"/>
      <c r="B38" s="518"/>
      <c r="C38"/>
      <c r="D38"/>
      <c r="E38"/>
      <c r="F38"/>
      <c r="H38" s="518"/>
      <c r="I38" s="521"/>
      <c r="O38" s="521"/>
    </row>
    <row r="39" spans="1:15" ht="14.5">
      <c r="A39" s="518"/>
      <c r="B39" s="518"/>
      <c r="C39"/>
      <c r="D39"/>
      <c r="E39"/>
      <c r="F39"/>
      <c r="H39" s="518"/>
      <c r="I39" s="521"/>
      <c r="O39" s="521"/>
    </row>
    <row r="40" spans="1:15" ht="14.5">
      <c r="A40" s="518"/>
      <c r="B40" s="518"/>
      <c r="C40"/>
      <c r="D40"/>
      <c r="E40"/>
      <c r="F40"/>
      <c r="H40" s="518"/>
      <c r="I40" s="521"/>
      <c r="O40" s="521"/>
    </row>
    <row r="41" spans="1:15">
      <c r="A41" s="521"/>
      <c r="B41" s="521"/>
      <c r="C41" s="521"/>
      <c r="D41" s="518"/>
      <c r="E41" s="518"/>
      <c r="H41" s="518"/>
      <c r="I41" s="521"/>
      <c r="O41" s="521"/>
    </row>
    <row r="42" spans="1:15">
      <c r="A42" s="521"/>
      <c r="B42" s="521"/>
      <c r="C42" s="521"/>
      <c r="D42" s="518"/>
      <c r="E42" s="518"/>
      <c r="H42" s="518"/>
      <c r="I42" s="521"/>
      <c r="O42" s="521"/>
    </row>
    <row r="43" spans="1:15">
      <c r="A43" s="518"/>
      <c r="B43" s="522"/>
      <c r="C43" s="700"/>
      <c r="D43" s="518"/>
      <c r="E43" s="518"/>
      <c r="H43" s="518"/>
      <c r="I43" s="521"/>
      <c r="O43" s="521"/>
    </row>
    <row r="44" spans="1:15">
      <c r="A44" s="518"/>
      <c r="B44" s="522"/>
      <c r="C44" s="700"/>
      <c r="D44" s="518"/>
      <c r="E44" s="518"/>
      <c r="H44" s="518"/>
      <c r="I44" s="521"/>
      <c r="O44" s="521"/>
    </row>
    <row r="45" spans="1:15">
      <c r="A45" s="518"/>
      <c r="B45" s="522"/>
      <c r="C45" s="700"/>
      <c r="D45" s="518"/>
      <c r="E45" s="518"/>
      <c r="H45" s="518"/>
      <c r="I45" s="521"/>
      <c r="O45" s="521"/>
    </row>
    <row r="46" spans="1:15">
      <c r="A46" s="518"/>
      <c r="B46" s="518"/>
      <c r="C46" s="521"/>
      <c r="D46" s="518"/>
      <c r="E46" s="518"/>
      <c r="H46" s="518"/>
      <c r="I46" s="521"/>
      <c r="O46" s="52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29"/>
  <sheetViews>
    <sheetView showGridLines="0" topLeftCell="B1" zoomScale="70" zoomScaleNormal="70" workbookViewId="0">
      <selection activeCell="H19" sqref="H19"/>
    </sheetView>
  </sheetViews>
  <sheetFormatPr defaultColWidth="8.81640625" defaultRowHeight="12"/>
  <cols>
    <col min="1" max="1" width="11.81640625" style="555" bestFit="1" customWidth="1"/>
    <col min="2" max="2" width="80.1796875" style="555" customWidth="1"/>
    <col min="3" max="11" width="18.90625" style="555" customWidth="1"/>
    <col min="12" max="12" width="13.36328125" style="555" bestFit="1" customWidth="1"/>
    <col min="13" max="16384" width="8.81640625" style="555"/>
  </cols>
  <sheetData>
    <row r="1" spans="1:15" s="494" customFormat="1">
      <c r="A1" s="493" t="s">
        <v>188</v>
      </c>
    </row>
    <row r="2" spans="1:15" s="494" customFormat="1">
      <c r="A2" s="495" t="s">
        <v>189</v>
      </c>
    </row>
    <row r="3" spans="1:15" s="494" customFormat="1">
      <c r="A3" s="496" t="s">
        <v>688</v>
      </c>
      <c r="B3" s="497">
        <f>'1. key ratios'!B2</f>
        <v>44377</v>
      </c>
    </row>
    <row r="4" spans="1:15">
      <c r="C4" s="556" t="s">
        <v>538</v>
      </c>
      <c r="D4" s="556" t="s">
        <v>539</v>
      </c>
      <c r="E4" s="556" t="s">
        <v>540</v>
      </c>
      <c r="F4" s="556" t="s">
        <v>541</v>
      </c>
      <c r="G4" s="556" t="s">
        <v>542</v>
      </c>
      <c r="H4" s="556" t="s">
        <v>543</v>
      </c>
      <c r="I4" s="556" t="s">
        <v>544</v>
      </c>
      <c r="J4" s="556" t="s">
        <v>545</v>
      </c>
      <c r="K4" s="556" t="s">
        <v>546</v>
      </c>
    </row>
    <row r="5" spans="1:15" ht="126" customHeight="1">
      <c r="A5" s="843" t="s">
        <v>689</v>
      </c>
      <c r="B5" s="844"/>
      <c r="C5" s="498" t="s">
        <v>690</v>
      </c>
      <c r="D5" s="498" t="s">
        <v>676</v>
      </c>
      <c r="E5" s="498" t="s">
        <v>677</v>
      </c>
      <c r="F5" s="498" t="s">
        <v>691</v>
      </c>
      <c r="G5" s="498" t="s">
        <v>692</v>
      </c>
      <c r="H5" s="498" t="s">
        <v>693</v>
      </c>
      <c r="I5" s="498" t="s">
        <v>694</v>
      </c>
      <c r="J5" s="498" t="s">
        <v>695</v>
      </c>
      <c r="K5" s="498" t="s">
        <v>696</v>
      </c>
      <c r="L5"/>
      <c r="M5"/>
      <c r="N5"/>
      <c r="O5"/>
    </row>
    <row r="6" spans="1:15" s="724" customFormat="1" ht="14.5">
      <c r="A6" s="510">
        <v>1</v>
      </c>
      <c r="B6" s="510" t="s">
        <v>697</v>
      </c>
      <c r="C6" s="621">
        <v>1346576.2694999999</v>
      </c>
      <c r="D6" s="621"/>
      <c r="E6" s="621">
        <v>1418981.52</v>
      </c>
      <c r="F6" s="621"/>
      <c r="G6" s="621">
        <v>229138698.46759999</v>
      </c>
      <c r="H6" s="621"/>
      <c r="I6" s="621">
        <v>20557789.149</v>
      </c>
      <c r="J6" s="621">
        <v>4058249.5747000002</v>
      </c>
      <c r="K6" s="621">
        <v>31625699.370299999</v>
      </c>
      <c r="L6" s="727"/>
      <c r="M6"/>
      <c r="N6"/>
      <c r="O6"/>
    </row>
    <row r="7" spans="1:15" s="724" customFormat="1" ht="14.5">
      <c r="A7" s="510">
        <v>2</v>
      </c>
      <c r="B7" s="510" t="s">
        <v>698</v>
      </c>
      <c r="C7" s="621"/>
      <c r="D7" s="621"/>
      <c r="E7" s="621"/>
      <c r="F7" s="621"/>
      <c r="G7" s="621">
        <v>3500000</v>
      </c>
      <c r="H7" s="621"/>
      <c r="I7" s="621">
        <v>14000000</v>
      </c>
      <c r="J7" s="621"/>
      <c r="K7" s="621">
        <v>17806528.987399999</v>
      </c>
      <c r="L7" s="727"/>
      <c r="M7"/>
      <c r="N7"/>
      <c r="O7"/>
    </row>
    <row r="8" spans="1:15" s="724" customFormat="1" ht="14.5">
      <c r="A8" s="510">
        <v>3</v>
      </c>
      <c r="B8" s="510" t="s">
        <v>648</v>
      </c>
      <c r="C8" s="621">
        <v>8357463.0521</v>
      </c>
      <c r="D8" s="621">
        <v>0</v>
      </c>
      <c r="E8" s="621">
        <v>20830647.214400001</v>
      </c>
      <c r="F8" s="621">
        <v>0</v>
      </c>
      <c r="G8" s="621">
        <v>7556086.2567999996</v>
      </c>
      <c r="H8" s="621">
        <v>0</v>
      </c>
      <c r="I8" s="621">
        <v>974200</v>
      </c>
      <c r="J8" s="621">
        <v>2841053.5920000002</v>
      </c>
      <c r="K8" s="621">
        <v>16308047.999299999</v>
      </c>
      <c r="L8" s="727"/>
      <c r="M8"/>
      <c r="N8"/>
      <c r="O8"/>
    </row>
    <row r="9" spans="1:15" s="724" customFormat="1" ht="14.5">
      <c r="A9" s="510">
        <v>4</v>
      </c>
      <c r="B9" s="557" t="s">
        <v>699</v>
      </c>
      <c r="C9" s="621"/>
      <c r="D9" s="621"/>
      <c r="E9" s="621"/>
      <c r="F9" s="621"/>
      <c r="G9" s="621">
        <v>21782461.473700002</v>
      </c>
      <c r="H9" s="621"/>
      <c r="I9" s="621">
        <v>1400637.0909</v>
      </c>
      <c r="J9" s="621">
        <v>0</v>
      </c>
      <c r="K9" s="621">
        <v>565944.08810000005</v>
      </c>
      <c r="L9" s="727"/>
      <c r="M9"/>
      <c r="N9"/>
      <c r="O9"/>
    </row>
    <row r="10" spans="1:15" s="724" customFormat="1" ht="14.5">
      <c r="A10" s="510">
        <v>5</v>
      </c>
      <c r="B10" s="557" t="s">
        <v>700</v>
      </c>
      <c r="C10" s="621"/>
      <c r="D10" s="621"/>
      <c r="E10" s="621"/>
      <c r="F10" s="621"/>
      <c r="G10" s="621"/>
      <c r="H10" s="621"/>
      <c r="I10" s="621"/>
      <c r="J10" s="621"/>
      <c r="K10" s="621"/>
      <c r="L10" s="727"/>
      <c r="M10"/>
      <c r="N10"/>
      <c r="O10"/>
    </row>
    <row r="11" spans="1:15" ht="14.5">
      <c r="A11" s="509">
        <v>6</v>
      </c>
      <c r="B11" s="557" t="s">
        <v>701</v>
      </c>
      <c r="C11" s="621"/>
      <c r="D11" s="621"/>
      <c r="E11" s="621"/>
      <c r="F11" s="621"/>
      <c r="G11" s="621"/>
      <c r="H11" s="621"/>
      <c r="I11" s="621"/>
      <c r="J11" s="621"/>
      <c r="K11" s="621"/>
      <c r="L11" s="727"/>
      <c r="M11"/>
      <c r="N11"/>
      <c r="O11"/>
    </row>
    <row r="12" spans="1:15" customFormat="1" ht="14.5"/>
    <row r="13" spans="1:15" customFormat="1" ht="14.4" customHeight="1"/>
    <row r="14" spans="1:15" customFormat="1" ht="14.5"/>
    <row r="15" spans="1:15" customFormat="1" ht="14.5"/>
    <row r="16" spans="1:15" customFormat="1" ht="14.5"/>
    <row r="17" spans="3:12" customFormat="1" ht="14.5"/>
    <row r="18" spans="3:12" customFormat="1" ht="14.5"/>
    <row r="19" spans="3:12" customFormat="1" ht="14.5"/>
    <row r="20" spans="3:12" customFormat="1" ht="14.5"/>
    <row r="21" spans="3:12" customFormat="1" ht="14.5"/>
    <row r="22" spans="3:12" customFormat="1" ht="14.5">
      <c r="C22" s="727"/>
      <c r="D22" s="727"/>
      <c r="E22" s="727"/>
      <c r="F22" s="727"/>
      <c r="G22" s="727"/>
      <c r="H22" s="727"/>
      <c r="I22" s="727"/>
      <c r="J22" s="727"/>
      <c r="K22" s="727"/>
      <c r="L22" s="727"/>
    </row>
    <row r="23" spans="3:12" customFormat="1" ht="14.5">
      <c r="L23" s="727"/>
    </row>
    <row r="24" spans="3:12" customFormat="1" ht="14.5">
      <c r="L24" s="727"/>
    </row>
    <row r="25" spans="3:12" customFormat="1" ht="14.5">
      <c r="L25" s="727"/>
    </row>
    <row r="26" spans="3:12" customFormat="1" ht="14.5">
      <c r="L26" s="727"/>
    </row>
    <row r="27" spans="3:12" customFormat="1" ht="14.5">
      <c r="L27" s="727"/>
    </row>
    <row r="28" spans="3:12" customFormat="1" ht="14.5">
      <c r="L28" s="727"/>
    </row>
    <row r="29" spans="3:12" customFormat="1" ht="14.5">
      <c r="L29" s="72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4"/>
  <sheetViews>
    <sheetView zoomScale="80" zoomScaleNormal="80" workbookViewId="0">
      <pane xSplit="1" ySplit="5" topLeftCell="B21" activePane="bottomRight" state="frozen"/>
      <selection pane="topRight" activeCell="B1" sqref="B1"/>
      <selection pane="bottomLeft" activeCell="A5" sqref="A5"/>
      <selection pane="bottomRight" activeCell="C46" sqref="C46"/>
    </sheetView>
  </sheetViews>
  <sheetFormatPr defaultRowHeight="14.5"/>
  <cols>
    <col min="1" max="1" width="9.54296875" style="2" bestFit="1" customWidth="1"/>
    <col min="2" max="2" width="55.1796875" style="2" bestFit="1" customWidth="1"/>
    <col min="3" max="3" width="11.81640625" style="2" customWidth="1"/>
    <col min="4" max="4" width="13.1796875" style="2" customWidth="1"/>
    <col min="5" max="5" width="14.54296875" style="2" customWidth="1"/>
    <col min="6" max="6" width="11.81640625" style="2" customWidth="1"/>
    <col min="7" max="7" width="13.81640625" style="2" customWidth="1"/>
    <col min="8" max="8" width="14.54296875" style="2" customWidth="1"/>
  </cols>
  <sheetData>
    <row r="1" spans="1:8">
      <c r="A1" s="17" t="s">
        <v>188</v>
      </c>
      <c r="B1" s="335" t="str">
        <f>Info!C2</f>
        <v>სს " პაშა ბანკი საქართველო"</v>
      </c>
    </row>
    <row r="2" spans="1:8">
      <c r="A2" s="17" t="s">
        <v>189</v>
      </c>
      <c r="B2" s="471">
        <f>'1. key ratios'!B2</f>
        <v>44377</v>
      </c>
    </row>
    <row r="3" spans="1:8">
      <c r="A3" s="17"/>
    </row>
    <row r="4" spans="1:8" ht="15" thickBot="1">
      <c r="A4" s="31" t="s">
        <v>329</v>
      </c>
      <c r="B4" s="71" t="s">
        <v>244</v>
      </c>
      <c r="C4" s="31"/>
      <c r="D4" s="32"/>
      <c r="E4" s="32"/>
      <c r="F4" s="33"/>
      <c r="G4" s="33"/>
      <c r="H4" s="34" t="s">
        <v>93</v>
      </c>
    </row>
    <row r="5" spans="1:8">
      <c r="A5" s="35"/>
      <c r="B5" s="36"/>
      <c r="C5" s="732" t="s">
        <v>194</v>
      </c>
      <c r="D5" s="733"/>
      <c r="E5" s="734"/>
      <c r="F5" s="732" t="s">
        <v>195</v>
      </c>
      <c r="G5" s="733"/>
      <c r="H5" s="735"/>
    </row>
    <row r="6" spans="1:8">
      <c r="A6" s="37" t="s">
        <v>26</v>
      </c>
      <c r="B6" s="38" t="s">
        <v>153</v>
      </c>
      <c r="C6" s="39" t="s">
        <v>27</v>
      </c>
      <c r="D6" s="39" t="s">
        <v>94</v>
      </c>
      <c r="E6" s="39" t="s">
        <v>68</v>
      </c>
      <c r="F6" s="39" t="s">
        <v>27</v>
      </c>
      <c r="G6" s="39" t="s">
        <v>94</v>
      </c>
      <c r="H6" s="40" t="s">
        <v>68</v>
      </c>
    </row>
    <row r="7" spans="1:8">
      <c r="A7" s="37">
        <v>1</v>
      </c>
      <c r="B7" s="41" t="s">
        <v>154</v>
      </c>
      <c r="C7" s="230">
        <v>1023980.29</v>
      </c>
      <c r="D7" s="230">
        <v>4123446.8193999999</v>
      </c>
      <c r="E7" s="231">
        <f>C7+D7</f>
        <v>5147427.1094000004</v>
      </c>
      <c r="F7" s="232">
        <v>2325938.73</v>
      </c>
      <c r="G7" s="233">
        <v>3916200.6068000002</v>
      </c>
      <c r="H7" s="234">
        <f>F7+G7</f>
        <v>6242139.3367999997</v>
      </c>
    </row>
    <row r="8" spans="1:8">
      <c r="A8" s="37">
        <v>2</v>
      </c>
      <c r="B8" s="41" t="s">
        <v>155</v>
      </c>
      <c r="C8" s="230">
        <v>986673.28</v>
      </c>
      <c r="D8" s="230">
        <v>40364172.928100005</v>
      </c>
      <c r="E8" s="231">
        <f t="shared" ref="E8:E20" si="0">C8+D8</f>
        <v>41350846.208100006</v>
      </c>
      <c r="F8" s="232">
        <v>2504893.79</v>
      </c>
      <c r="G8" s="233">
        <v>54005065.862000003</v>
      </c>
      <c r="H8" s="234">
        <f t="shared" ref="H8:H40" si="1">F8+G8</f>
        <v>56509959.652000003</v>
      </c>
    </row>
    <row r="9" spans="1:8">
      <c r="A9" s="37">
        <v>3</v>
      </c>
      <c r="B9" s="41" t="s">
        <v>156</v>
      </c>
      <c r="C9" s="230">
        <v>5730438.3799999999</v>
      </c>
      <c r="D9" s="230">
        <v>30077963.303000003</v>
      </c>
      <c r="E9" s="231">
        <f t="shared" si="0"/>
        <v>35808401.683000006</v>
      </c>
      <c r="F9" s="232">
        <v>8073166.4000000004</v>
      </c>
      <c r="G9" s="233">
        <v>50524160.877099998</v>
      </c>
      <c r="H9" s="234">
        <f t="shared" si="1"/>
        <v>58597327.277099997</v>
      </c>
    </row>
    <row r="10" spans="1:8">
      <c r="A10" s="37">
        <v>4</v>
      </c>
      <c r="B10" s="41" t="s">
        <v>185</v>
      </c>
      <c r="C10" s="230">
        <v>0</v>
      </c>
      <c r="D10" s="230">
        <v>0</v>
      </c>
      <c r="E10" s="231">
        <f t="shared" si="0"/>
        <v>0</v>
      </c>
      <c r="F10" s="232">
        <v>0</v>
      </c>
      <c r="G10" s="233">
        <v>0</v>
      </c>
      <c r="H10" s="234">
        <f t="shared" si="1"/>
        <v>0</v>
      </c>
    </row>
    <row r="11" spans="1:8">
      <c r="A11" s="37">
        <v>5</v>
      </c>
      <c r="B11" s="41" t="s">
        <v>157</v>
      </c>
      <c r="C11" s="230">
        <v>27004000</v>
      </c>
      <c r="D11" s="230">
        <v>12844224.087400001</v>
      </c>
      <c r="E11" s="231">
        <f t="shared" si="0"/>
        <v>39848224.087400004</v>
      </c>
      <c r="F11" s="232">
        <v>41659744.609999999</v>
      </c>
      <c r="G11" s="233">
        <v>1485493.1418999999</v>
      </c>
      <c r="H11" s="234">
        <f t="shared" si="1"/>
        <v>43145237.751900002</v>
      </c>
    </row>
    <row r="12" spans="1:8">
      <c r="A12" s="37">
        <v>6.1</v>
      </c>
      <c r="B12" s="42" t="s">
        <v>158</v>
      </c>
      <c r="C12" s="230">
        <v>83471327.390000001</v>
      </c>
      <c r="D12" s="230">
        <v>204674667.01129997</v>
      </c>
      <c r="E12" s="231">
        <f t="shared" si="0"/>
        <v>288145994.40129995</v>
      </c>
      <c r="F12" s="232">
        <v>93296183.38000001</v>
      </c>
      <c r="G12" s="233">
        <v>211503014.69099998</v>
      </c>
      <c r="H12" s="234">
        <f t="shared" si="1"/>
        <v>304799198.07099998</v>
      </c>
    </row>
    <row r="13" spans="1:8">
      <c r="A13" s="37">
        <v>6.2</v>
      </c>
      <c r="B13" s="42" t="s">
        <v>159</v>
      </c>
      <c r="C13" s="230">
        <v>-6455557.3799999999</v>
      </c>
      <c r="D13" s="230">
        <v>-12288511.0973</v>
      </c>
      <c r="E13" s="231">
        <f t="shared" si="0"/>
        <v>-18744068.477299999</v>
      </c>
      <c r="F13" s="232">
        <v>-7235737.8682000004</v>
      </c>
      <c r="G13" s="233">
        <v>-11879979.431</v>
      </c>
      <c r="H13" s="234">
        <f t="shared" si="1"/>
        <v>-19115717.299199998</v>
      </c>
    </row>
    <row r="14" spans="1:8">
      <c r="A14" s="37">
        <v>6</v>
      </c>
      <c r="B14" s="41" t="s">
        <v>160</v>
      </c>
      <c r="C14" s="231">
        <f>C12+C13</f>
        <v>77015770.010000005</v>
      </c>
      <c r="D14" s="231">
        <f>D12+D13</f>
        <v>192386155.91399997</v>
      </c>
      <c r="E14" s="231">
        <f t="shared" si="0"/>
        <v>269401925.92399997</v>
      </c>
      <c r="F14" s="231">
        <f>F12+F13</f>
        <v>86060445.511800006</v>
      </c>
      <c r="G14" s="231">
        <f>G12+G13</f>
        <v>199623035.25999999</v>
      </c>
      <c r="H14" s="234">
        <f t="shared" si="1"/>
        <v>285683480.77179998</v>
      </c>
    </row>
    <row r="15" spans="1:8">
      <c r="A15" s="37">
        <v>7</v>
      </c>
      <c r="B15" s="41" t="s">
        <v>161</v>
      </c>
      <c r="C15" s="230">
        <v>1277663.93</v>
      </c>
      <c r="D15" s="230">
        <v>1734140.6033000003</v>
      </c>
      <c r="E15" s="231">
        <f t="shared" si="0"/>
        <v>3011804.5333000002</v>
      </c>
      <c r="F15" s="232">
        <v>2072468.4</v>
      </c>
      <c r="G15" s="233">
        <v>2613379.4777000002</v>
      </c>
      <c r="H15" s="234">
        <f t="shared" si="1"/>
        <v>4685847.8777000001</v>
      </c>
    </row>
    <row r="16" spans="1:8">
      <c r="A16" s="37">
        <v>8</v>
      </c>
      <c r="B16" s="41" t="s">
        <v>162</v>
      </c>
      <c r="C16" s="230">
        <v>98175</v>
      </c>
      <c r="D16" s="230">
        <v>0</v>
      </c>
      <c r="E16" s="231">
        <f t="shared" si="0"/>
        <v>98175</v>
      </c>
      <c r="F16" s="232">
        <v>0</v>
      </c>
      <c r="G16" s="233">
        <v>0</v>
      </c>
      <c r="H16" s="234">
        <f t="shared" si="1"/>
        <v>0</v>
      </c>
    </row>
    <row r="17" spans="1:8">
      <c r="A17" s="37">
        <v>9</v>
      </c>
      <c r="B17" s="41" t="s">
        <v>163</v>
      </c>
      <c r="C17" s="230">
        <v>0</v>
      </c>
      <c r="D17" s="230">
        <v>0</v>
      </c>
      <c r="E17" s="231">
        <f t="shared" si="0"/>
        <v>0</v>
      </c>
      <c r="F17" s="232">
        <v>0</v>
      </c>
      <c r="G17" s="233">
        <v>0</v>
      </c>
      <c r="H17" s="234">
        <f t="shared" si="1"/>
        <v>0</v>
      </c>
    </row>
    <row r="18" spans="1:8">
      <c r="A18" s="37">
        <v>10</v>
      </c>
      <c r="B18" s="41" t="s">
        <v>164</v>
      </c>
      <c r="C18" s="230">
        <v>16641424.84</v>
      </c>
      <c r="D18" s="230">
        <v>0</v>
      </c>
      <c r="E18" s="231">
        <f t="shared" si="0"/>
        <v>16641424.84</v>
      </c>
      <c r="F18" s="232">
        <v>23628444.620000001</v>
      </c>
      <c r="G18" s="233">
        <v>0</v>
      </c>
      <c r="H18" s="234">
        <f t="shared" si="1"/>
        <v>23628444.620000001</v>
      </c>
    </row>
    <row r="19" spans="1:8">
      <c r="A19" s="37">
        <v>11</v>
      </c>
      <c r="B19" s="41" t="s">
        <v>165</v>
      </c>
      <c r="C19" s="230">
        <v>1970509.4200000002</v>
      </c>
      <c r="D19" s="230">
        <v>262897.59879999998</v>
      </c>
      <c r="E19" s="231">
        <f t="shared" si="0"/>
        <v>2233407.0188000002</v>
      </c>
      <c r="F19" s="232">
        <v>5554775.29</v>
      </c>
      <c r="G19" s="233">
        <v>992487.69620000001</v>
      </c>
      <c r="H19" s="234">
        <f t="shared" si="1"/>
        <v>6547262.9862000002</v>
      </c>
    </row>
    <row r="20" spans="1:8">
      <c r="A20" s="37">
        <v>12</v>
      </c>
      <c r="B20" s="43" t="s">
        <v>166</v>
      </c>
      <c r="C20" s="231">
        <f>SUM(C7:C11)+SUM(C14:C19)</f>
        <v>131748635.15000002</v>
      </c>
      <c r="D20" s="231">
        <f>SUM(D7:D11)+SUM(D14:D19)</f>
        <v>281793001.25400001</v>
      </c>
      <c r="E20" s="231">
        <f t="shared" si="0"/>
        <v>413541636.40400004</v>
      </c>
      <c r="F20" s="231">
        <f>SUM(F7:F11)+SUM(F14:F19)</f>
        <v>171879877.35180002</v>
      </c>
      <c r="G20" s="231">
        <f>SUM(G7:G11)+SUM(G14:G19)</f>
        <v>313159822.9217</v>
      </c>
      <c r="H20" s="234">
        <f t="shared" si="1"/>
        <v>485039700.27350003</v>
      </c>
    </row>
    <row r="21" spans="1:8">
      <c r="A21" s="37"/>
      <c r="B21" s="38" t="s">
        <v>183</v>
      </c>
      <c r="C21" s="235"/>
      <c r="D21" s="235"/>
      <c r="E21" s="235"/>
      <c r="F21" s="236"/>
      <c r="G21" s="237"/>
      <c r="H21" s="238"/>
    </row>
    <row r="22" spans="1:8">
      <c r="A22" s="37">
        <v>13</v>
      </c>
      <c r="B22" s="41" t="s">
        <v>167</v>
      </c>
      <c r="C22" s="230">
        <v>10532358.18</v>
      </c>
      <c r="D22" s="230">
        <v>60047939.189800002</v>
      </c>
      <c r="E22" s="231">
        <f>C22+D22</f>
        <v>70580297.369800001</v>
      </c>
      <c r="F22" s="232">
        <v>3145649.1</v>
      </c>
      <c r="G22" s="233">
        <v>65298387.718400002</v>
      </c>
      <c r="H22" s="234">
        <f t="shared" si="1"/>
        <v>68444036.818399996</v>
      </c>
    </row>
    <row r="23" spans="1:8">
      <c r="A23" s="37">
        <v>14</v>
      </c>
      <c r="B23" s="41" t="s">
        <v>168</v>
      </c>
      <c r="C23" s="230">
        <v>5653503.1399999997</v>
      </c>
      <c r="D23" s="230">
        <v>37798879.9727</v>
      </c>
      <c r="E23" s="231">
        <f t="shared" ref="E23:E40" si="2">C23+D23</f>
        <v>43452383.1127</v>
      </c>
      <c r="F23" s="232">
        <v>5654974.5999999996</v>
      </c>
      <c r="G23" s="233">
        <v>69753268.572899997</v>
      </c>
      <c r="H23" s="234">
        <f t="shared" si="1"/>
        <v>75408243.172899991</v>
      </c>
    </row>
    <row r="24" spans="1:8">
      <c r="A24" s="37">
        <v>15</v>
      </c>
      <c r="B24" s="41" t="s">
        <v>169</v>
      </c>
      <c r="C24" s="230">
        <v>427716.37</v>
      </c>
      <c r="D24" s="230">
        <v>849891.86070000008</v>
      </c>
      <c r="E24" s="231">
        <f t="shared" si="2"/>
        <v>1277608.2307000002</v>
      </c>
      <c r="F24" s="232">
        <v>21012077.5</v>
      </c>
      <c r="G24" s="233">
        <v>845666.91570000001</v>
      </c>
      <c r="H24" s="234">
        <f t="shared" si="1"/>
        <v>21857744.4157</v>
      </c>
    </row>
    <row r="25" spans="1:8">
      <c r="A25" s="37">
        <v>16</v>
      </c>
      <c r="B25" s="41" t="s">
        <v>170</v>
      </c>
      <c r="C25" s="230">
        <v>22723570.509999998</v>
      </c>
      <c r="D25" s="230">
        <v>115307168.0812</v>
      </c>
      <c r="E25" s="231">
        <f t="shared" si="2"/>
        <v>138030738.59119999</v>
      </c>
      <c r="F25" s="232">
        <v>27599017.379999999</v>
      </c>
      <c r="G25" s="233">
        <v>116401387.93970001</v>
      </c>
      <c r="H25" s="234">
        <f t="shared" si="1"/>
        <v>144000405.3197</v>
      </c>
    </row>
    <row r="26" spans="1:8">
      <c r="A26" s="37">
        <v>17</v>
      </c>
      <c r="B26" s="41" t="s">
        <v>171</v>
      </c>
      <c r="C26" s="235"/>
      <c r="D26" s="235"/>
      <c r="E26" s="231">
        <f t="shared" si="2"/>
        <v>0</v>
      </c>
      <c r="F26" s="236">
        <v>0</v>
      </c>
      <c r="G26" s="237">
        <v>0</v>
      </c>
      <c r="H26" s="234">
        <f t="shared" si="1"/>
        <v>0</v>
      </c>
    </row>
    <row r="27" spans="1:8">
      <c r="A27" s="37">
        <v>18</v>
      </c>
      <c r="B27" s="41" t="s">
        <v>172</v>
      </c>
      <c r="C27" s="230">
        <v>20000000</v>
      </c>
      <c r="D27" s="230">
        <v>15815031.772299999</v>
      </c>
      <c r="E27" s="231">
        <f t="shared" si="2"/>
        <v>35815031.772299998</v>
      </c>
      <c r="F27" s="232">
        <v>15000000</v>
      </c>
      <c r="G27" s="233">
        <v>17119489.322799999</v>
      </c>
      <c r="H27" s="234">
        <f t="shared" si="1"/>
        <v>32119489.322799999</v>
      </c>
    </row>
    <row r="28" spans="1:8">
      <c r="A28" s="37">
        <v>19</v>
      </c>
      <c r="B28" s="41" t="s">
        <v>173</v>
      </c>
      <c r="C28" s="230">
        <v>402975.25</v>
      </c>
      <c r="D28" s="230">
        <v>6068931.2045999998</v>
      </c>
      <c r="E28" s="231">
        <f t="shared" si="2"/>
        <v>6471906.4545999998</v>
      </c>
      <c r="F28" s="232">
        <v>597190.84</v>
      </c>
      <c r="G28" s="233">
        <v>2915295.7230000002</v>
      </c>
      <c r="H28" s="234">
        <f t="shared" si="1"/>
        <v>3512486.5630000001</v>
      </c>
    </row>
    <row r="29" spans="1:8">
      <c r="A29" s="37">
        <v>20</v>
      </c>
      <c r="B29" s="41" t="s">
        <v>95</v>
      </c>
      <c r="C29" s="230">
        <v>2902481.25</v>
      </c>
      <c r="D29" s="230">
        <v>8816977.3572000004</v>
      </c>
      <c r="E29" s="231">
        <f t="shared" si="2"/>
        <v>11719458.6072</v>
      </c>
      <c r="F29" s="232">
        <v>13311036.32</v>
      </c>
      <c r="G29" s="233">
        <v>13284826.8368</v>
      </c>
      <c r="H29" s="234">
        <f t="shared" si="1"/>
        <v>26595863.156800002</v>
      </c>
    </row>
    <row r="30" spans="1:8">
      <c r="A30" s="37">
        <v>21</v>
      </c>
      <c r="B30" s="41" t="s">
        <v>174</v>
      </c>
      <c r="C30" s="230">
        <v>0</v>
      </c>
      <c r="D30" s="230">
        <v>31603000</v>
      </c>
      <c r="E30" s="231">
        <f t="shared" si="2"/>
        <v>31603000</v>
      </c>
      <c r="F30" s="232">
        <v>0</v>
      </c>
      <c r="G30" s="233">
        <v>30552000</v>
      </c>
      <c r="H30" s="234">
        <f t="shared" si="1"/>
        <v>30552000</v>
      </c>
    </row>
    <row r="31" spans="1:8">
      <c r="A31" s="37">
        <v>22</v>
      </c>
      <c r="B31" s="43" t="s">
        <v>175</v>
      </c>
      <c r="C31" s="231">
        <f>SUM(C22:C30)</f>
        <v>62642604.699999996</v>
      </c>
      <c r="D31" s="231">
        <f>SUM(D22:D30)</f>
        <v>276307819.43849999</v>
      </c>
      <c r="E31" s="231">
        <f>C31+D31</f>
        <v>338950424.13849998</v>
      </c>
      <c r="F31" s="231">
        <f>SUM(F22:F30)</f>
        <v>86319945.74000001</v>
      </c>
      <c r="G31" s="231">
        <f>SUM(G22:G30)</f>
        <v>316170323.02929997</v>
      </c>
      <c r="H31" s="234">
        <f t="shared" si="1"/>
        <v>402490268.76929998</v>
      </c>
    </row>
    <row r="32" spans="1:8">
      <c r="A32" s="37"/>
      <c r="B32" s="38" t="s">
        <v>184</v>
      </c>
      <c r="C32" s="235"/>
      <c r="D32" s="235"/>
      <c r="E32" s="230"/>
      <c r="F32" s="236"/>
      <c r="G32" s="237"/>
      <c r="H32" s="238"/>
    </row>
    <row r="33" spans="1:8">
      <c r="A33" s="37">
        <v>23</v>
      </c>
      <c r="B33" s="41" t="s">
        <v>176</v>
      </c>
      <c r="C33" s="230">
        <v>103000000</v>
      </c>
      <c r="D33" s="235">
        <v>0</v>
      </c>
      <c r="E33" s="231">
        <f t="shared" si="2"/>
        <v>103000000</v>
      </c>
      <c r="F33" s="232">
        <v>103000000</v>
      </c>
      <c r="G33" s="237">
        <v>0</v>
      </c>
      <c r="H33" s="234">
        <f t="shared" si="1"/>
        <v>103000000</v>
      </c>
    </row>
    <row r="34" spans="1:8">
      <c r="A34" s="37">
        <v>24</v>
      </c>
      <c r="B34" s="41" t="s">
        <v>177</v>
      </c>
      <c r="C34" s="230">
        <v>0</v>
      </c>
      <c r="D34" s="235">
        <v>0</v>
      </c>
      <c r="E34" s="231">
        <f t="shared" si="2"/>
        <v>0</v>
      </c>
      <c r="F34" s="232">
        <v>0</v>
      </c>
      <c r="G34" s="237">
        <v>0</v>
      </c>
      <c r="H34" s="234">
        <f t="shared" si="1"/>
        <v>0</v>
      </c>
    </row>
    <row r="35" spans="1:8">
      <c r="A35" s="37">
        <v>25</v>
      </c>
      <c r="B35" s="42" t="s">
        <v>178</v>
      </c>
      <c r="C35" s="230">
        <v>0</v>
      </c>
      <c r="D35" s="235">
        <v>0</v>
      </c>
      <c r="E35" s="231">
        <f t="shared" si="2"/>
        <v>0</v>
      </c>
      <c r="F35" s="232">
        <v>0</v>
      </c>
      <c r="G35" s="237">
        <v>0</v>
      </c>
      <c r="H35" s="234">
        <f t="shared" si="1"/>
        <v>0</v>
      </c>
    </row>
    <row r="36" spans="1:8">
      <c r="A36" s="37">
        <v>26</v>
      </c>
      <c r="B36" s="41" t="s">
        <v>179</v>
      </c>
      <c r="C36" s="230">
        <v>0</v>
      </c>
      <c r="D36" s="235">
        <v>0</v>
      </c>
      <c r="E36" s="231">
        <f t="shared" si="2"/>
        <v>0</v>
      </c>
      <c r="F36" s="232">
        <v>0</v>
      </c>
      <c r="G36" s="237">
        <v>0</v>
      </c>
      <c r="H36" s="234">
        <f t="shared" si="1"/>
        <v>0</v>
      </c>
    </row>
    <row r="37" spans="1:8">
      <c r="A37" s="37">
        <v>27</v>
      </c>
      <c r="B37" s="41" t="s">
        <v>180</v>
      </c>
      <c r="C37" s="230">
        <v>0</v>
      </c>
      <c r="D37" s="235">
        <v>0</v>
      </c>
      <c r="E37" s="231">
        <f t="shared" si="2"/>
        <v>0</v>
      </c>
      <c r="F37" s="232">
        <v>0</v>
      </c>
      <c r="G37" s="237">
        <v>0</v>
      </c>
      <c r="H37" s="234">
        <f t="shared" si="1"/>
        <v>0</v>
      </c>
    </row>
    <row r="38" spans="1:8">
      <c r="A38" s="37">
        <v>28</v>
      </c>
      <c r="B38" s="41" t="s">
        <v>181</v>
      </c>
      <c r="C38" s="230">
        <v>-28408787.73</v>
      </c>
      <c r="D38" s="235">
        <v>0</v>
      </c>
      <c r="E38" s="231">
        <f t="shared" si="2"/>
        <v>-28408787.73</v>
      </c>
      <c r="F38" s="232">
        <v>-20450568.440000001</v>
      </c>
      <c r="G38" s="237">
        <v>0</v>
      </c>
      <c r="H38" s="234">
        <f t="shared" si="1"/>
        <v>-20450568.440000001</v>
      </c>
    </row>
    <row r="39" spans="1:8">
      <c r="A39" s="37">
        <v>29</v>
      </c>
      <c r="B39" s="41" t="s">
        <v>196</v>
      </c>
      <c r="C39" s="230">
        <v>0</v>
      </c>
      <c r="D39" s="235">
        <v>0</v>
      </c>
      <c r="E39" s="231">
        <f t="shared" si="2"/>
        <v>0</v>
      </c>
      <c r="F39" s="232">
        <v>0</v>
      </c>
      <c r="G39" s="237">
        <v>0</v>
      </c>
      <c r="H39" s="234">
        <f t="shared" si="1"/>
        <v>0</v>
      </c>
    </row>
    <row r="40" spans="1:8">
      <c r="A40" s="37">
        <v>30</v>
      </c>
      <c r="B40" s="43" t="s">
        <v>182</v>
      </c>
      <c r="C40" s="230">
        <v>74591212.269999996</v>
      </c>
      <c r="D40" s="235">
        <v>0</v>
      </c>
      <c r="E40" s="231">
        <f t="shared" si="2"/>
        <v>74591212.269999996</v>
      </c>
      <c r="F40" s="232">
        <v>82549431.560000002</v>
      </c>
      <c r="G40" s="237">
        <v>0</v>
      </c>
      <c r="H40" s="234">
        <f t="shared" si="1"/>
        <v>82549431.560000002</v>
      </c>
    </row>
    <row r="41" spans="1:8" ht="15" thickBot="1">
      <c r="A41" s="44">
        <v>31</v>
      </c>
      <c r="B41" s="45" t="s">
        <v>197</v>
      </c>
      <c r="C41" s="239">
        <f>C31+C40</f>
        <v>137233816.97</v>
      </c>
      <c r="D41" s="239">
        <f>D31+D40</f>
        <v>276307819.43849999</v>
      </c>
      <c r="E41" s="239">
        <f>C41+D41</f>
        <v>413541636.40849996</v>
      </c>
      <c r="F41" s="239">
        <f>F31+F40</f>
        <v>168869377.30000001</v>
      </c>
      <c r="G41" s="239">
        <f>G31+G40</f>
        <v>316170323.02929997</v>
      </c>
      <c r="H41" s="240">
        <f>F41+G41</f>
        <v>485039700.32929999</v>
      </c>
    </row>
    <row r="43" spans="1:8">
      <c r="B43" s="46"/>
    </row>
    <row r="44" spans="1:8">
      <c r="E44" s="574"/>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zoomScale="80" zoomScaleNormal="80" workbookViewId="0">
      <pane xSplit="1" ySplit="6" topLeftCell="B7" activePane="bottomRight" state="frozen"/>
      <selection pane="topRight" activeCell="B1" sqref="B1"/>
      <selection pane="bottomLeft" activeCell="A6" sqref="A6"/>
      <selection pane="bottomRight" activeCell="B71" sqref="B71"/>
    </sheetView>
  </sheetViews>
  <sheetFormatPr defaultColWidth="9.1796875" defaultRowHeight="14.5"/>
  <cols>
    <col min="1" max="1" width="9.54296875" style="2" bestFit="1" customWidth="1"/>
    <col min="2" max="2" width="89.1796875" style="2" customWidth="1"/>
    <col min="3" max="8" width="12.81640625" style="2" customWidth="1"/>
    <col min="9" max="9" width="8.81640625" customWidth="1"/>
    <col min="10" max="16384" width="9.1796875" style="13"/>
  </cols>
  <sheetData>
    <row r="1" spans="1:8">
      <c r="A1" s="17" t="s">
        <v>188</v>
      </c>
      <c r="B1" s="16" t="str">
        <f>Info!C2</f>
        <v>სს " პაშა ბანკი საქართველო"</v>
      </c>
      <c r="C1" s="16"/>
    </row>
    <row r="2" spans="1:8">
      <c r="A2" s="17" t="s">
        <v>189</v>
      </c>
      <c r="B2" s="471">
        <f>'1. key ratios'!B2</f>
        <v>44377</v>
      </c>
      <c r="C2" s="29"/>
      <c r="D2" s="18"/>
      <c r="E2" s="18"/>
      <c r="F2" s="18"/>
      <c r="G2" s="18"/>
      <c r="H2" s="18"/>
    </row>
    <row r="3" spans="1:8">
      <c r="A3" s="17"/>
      <c r="B3" s="16"/>
      <c r="C3" s="29"/>
      <c r="D3" s="18"/>
      <c r="E3" s="18"/>
      <c r="F3" s="18"/>
      <c r="G3" s="18"/>
      <c r="H3" s="18"/>
    </row>
    <row r="4" spans="1:8" ht="15" thickBot="1">
      <c r="A4" s="47" t="s">
        <v>330</v>
      </c>
      <c r="B4" s="30" t="s">
        <v>222</v>
      </c>
      <c r="C4" s="33"/>
      <c r="D4" s="33"/>
      <c r="E4" s="33"/>
      <c r="F4" s="47"/>
      <c r="G4" s="47"/>
      <c r="H4" s="48" t="s">
        <v>93</v>
      </c>
    </row>
    <row r="5" spans="1:8">
      <c r="A5" s="123"/>
      <c r="B5" s="124"/>
      <c r="C5" s="732" t="s">
        <v>194</v>
      </c>
      <c r="D5" s="733"/>
      <c r="E5" s="734"/>
      <c r="F5" s="732" t="s">
        <v>195</v>
      </c>
      <c r="G5" s="733"/>
      <c r="H5" s="735"/>
    </row>
    <row r="6" spans="1:8">
      <c r="A6" s="125" t="s">
        <v>26</v>
      </c>
      <c r="B6" s="49"/>
      <c r="C6" s="50" t="s">
        <v>27</v>
      </c>
      <c r="D6" s="50" t="s">
        <v>96</v>
      </c>
      <c r="E6" s="50" t="s">
        <v>68</v>
      </c>
      <c r="F6" s="50" t="s">
        <v>27</v>
      </c>
      <c r="G6" s="50" t="s">
        <v>96</v>
      </c>
      <c r="H6" s="126" t="s">
        <v>68</v>
      </c>
    </row>
    <row r="7" spans="1:8">
      <c r="A7" s="127"/>
      <c r="B7" s="52" t="s">
        <v>92</v>
      </c>
      <c r="C7" s="53"/>
      <c r="D7" s="53"/>
      <c r="E7" s="53"/>
      <c r="F7" s="53"/>
      <c r="G7" s="53"/>
      <c r="H7" s="128"/>
    </row>
    <row r="8" spans="1:8">
      <c r="A8" s="127">
        <v>1</v>
      </c>
      <c r="B8" s="54" t="s">
        <v>97</v>
      </c>
      <c r="C8" s="241">
        <v>253922.66</v>
      </c>
      <c r="D8" s="241">
        <v>-18267.28</v>
      </c>
      <c r="E8" s="231">
        <f>C8+D8</f>
        <v>235655.38</v>
      </c>
      <c r="F8" s="241">
        <v>340195.81</v>
      </c>
      <c r="G8" s="241">
        <v>300940.15999999997</v>
      </c>
      <c r="H8" s="242">
        <f>F8+G8</f>
        <v>641135.97</v>
      </c>
    </row>
    <row r="9" spans="1:8">
      <c r="A9" s="127">
        <v>2</v>
      </c>
      <c r="B9" s="54" t="s">
        <v>98</v>
      </c>
      <c r="C9" s="243">
        <f>SUM(C10:C18)</f>
        <v>5630301.3200000003</v>
      </c>
      <c r="D9" s="243">
        <f>SUM(D10:D18)</f>
        <v>7120361.5800000001</v>
      </c>
      <c r="E9" s="231">
        <f t="shared" ref="E9:E67" si="0">C9+D9</f>
        <v>12750662.9</v>
      </c>
      <c r="F9" s="243">
        <f>SUM(F10:F18)</f>
        <v>6519303.6600000001</v>
      </c>
      <c r="G9" s="243">
        <f>SUM(G10:G18)</f>
        <v>6448007.8900000006</v>
      </c>
      <c r="H9" s="242">
        <f t="shared" ref="H9:H67" si="1">F9+G9</f>
        <v>12967311.550000001</v>
      </c>
    </row>
    <row r="10" spans="1:8">
      <c r="A10" s="127">
        <v>2.1</v>
      </c>
      <c r="B10" s="55" t="s">
        <v>99</v>
      </c>
      <c r="C10" s="241"/>
      <c r="D10" s="241">
        <v>3.16</v>
      </c>
      <c r="E10" s="231">
        <f t="shared" si="0"/>
        <v>3.16</v>
      </c>
      <c r="F10" s="241"/>
      <c r="G10" s="241"/>
      <c r="H10" s="242">
        <f t="shared" si="1"/>
        <v>0</v>
      </c>
    </row>
    <row r="11" spans="1:8">
      <c r="A11" s="127">
        <v>2.2000000000000002</v>
      </c>
      <c r="B11" s="55" t="s">
        <v>100</v>
      </c>
      <c r="C11" s="241">
        <v>1978111</v>
      </c>
      <c r="D11" s="241">
        <v>3472222.26</v>
      </c>
      <c r="E11" s="231">
        <f t="shared" si="0"/>
        <v>5450333.2599999998</v>
      </c>
      <c r="F11" s="241">
        <v>3364213.44</v>
      </c>
      <c r="G11" s="241">
        <v>2920189.45</v>
      </c>
      <c r="H11" s="242">
        <f t="shared" si="1"/>
        <v>6284402.8900000006</v>
      </c>
    </row>
    <row r="12" spans="1:8">
      <c r="A12" s="127">
        <v>2.2999999999999998</v>
      </c>
      <c r="B12" s="55" t="s">
        <v>101</v>
      </c>
      <c r="C12" s="241"/>
      <c r="D12" s="241">
        <v>148303.14000000001</v>
      </c>
      <c r="E12" s="231">
        <f t="shared" si="0"/>
        <v>148303.14000000001</v>
      </c>
      <c r="F12" s="241">
        <v>359981.08</v>
      </c>
      <c r="G12" s="241">
        <v>72468.929999999993</v>
      </c>
      <c r="H12" s="242">
        <f t="shared" si="1"/>
        <v>432450.01</v>
      </c>
    </row>
    <row r="13" spans="1:8">
      <c r="A13" s="127">
        <v>2.4</v>
      </c>
      <c r="B13" s="55" t="s">
        <v>102</v>
      </c>
      <c r="C13" s="241">
        <v>292200.96000000002</v>
      </c>
      <c r="D13" s="241">
        <v>34323.83</v>
      </c>
      <c r="E13" s="231">
        <f t="shared" si="0"/>
        <v>326524.79000000004</v>
      </c>
      <c r="F13" s="241">
        <v>95621.31</v>
      </c>
      <c r="G13" s="241">
        <v>11510.79</v>
      </c>
      <c r="H13" s="242">
        <f t="shared" si="1"/>
        <v>107132.1</v>
      </c>
    </row>
    <row r="14" spans="1:8">
      <c r="A14" s="127">
        <v>2.5</v>
      </c>
      <c r="B14" s="55" t="s">
        <v>103</v>
      </c>
      <c r="C14" s="241">
        <v>525033.28</v>
      </c>
      <c r="D14" s="241">
        <v>1126225.79</v>
      </c>
      <c r="E14" s="231">
        <f t="shared" si="0"/>
        <v>1651259.07</v>
      </c>
      <c r="F14" s="241">
        <v>342793.82</v>
      </c>
      <c r="G14" s="241">
        <v>1018726.46</v>
      </c>
      <c r="H14" s="242">
        <f t="shared" si="1"/>
        <v>1361520.28</v>
      </c>
    </row>
    <row r="15" spans="1:8">
      <c r="A15" s="127">
        <v>2.6</v>
      </c>
      <c r="B15" s="55" t="s">
        <v>104</v>
      </c>
      <c r="C15" s="241">
        <v>500.82</v>
      </c>
      <c r="D15" s="241">
        <v>2842.8</v>
      </c>
      <c r="E15" s="231">
        <f t="shared" si="0"/>
        <v>3343.6200000000003</v>
      </c>
      <c r="F15" s="241">
        <v>175.04</v>
      </c>
      <c r="G15" s="241">
        <v>4664.9399999999996</v>
      </c>
      <c r="H15" s="242">
        <f t="shared" si="1"/>
        <v>4839.9799999999996</v>
      </c>
    </row>
    <row r="16" spans="1:8">
      <c r="A16" s="127">
        <v>2.7</v>
      </c>
      <c r="B16" s="55" t="s">
        <v>105</v>
      </c>
      <c r="C16" s="241"/>
      <c r="D16" s="241"/>
      <c r="E16" s="231">
        <f t="shared" si="0"/>
        <v>0</v>
      </c>
      <c r="F16" s="241"/>
      <c r="G16" s="241"/>
      <c r="H16" s="242">
        <f t="shared" si="1"/>
        <v>0</v>
      </c>
    </row>
    <row r="17" spans="1:8">
      <c r="A17" s="127">
        <v>2.8</v>
      </c>
      <c r="B17" s="55" t="s">
        <v>106</v>
      </c>
      <c r="C17" s="241">
        <v>1268774.8600000001</v>
      </c>
      <c r="D17" s="241">
        <v>650980.9</v>
      </c>
      <c r="E17" s="231">
        <f t="shared" si="0"/>
        <v>1919755.7600000002</v>
      </c>
      <c r="F17" s="241">
        <v>457484.88</v>
      </c>
      <c r="G17" s="241">
        <v>606764.06000000006</v>
      </c>
      <c r="H17" s="242">
        <f t="shared" si="1"/>
        <v>1064248.94</v>
      </c>
    </row>
    <row r="18" spans="1:8">
      <c r="A18" s="127">
        <v>2.9</v>
      </c>
      <c r="B18" s="55" t="s">
        <v>107</v>
      </c>
      <c r="C18" s="241">
        <v>1565680.4</v>
      </c>
      <c r="D18" s="241">
        <v>1685459.7</v>
      </c>
      <c r="E18" s="231">
        <f t="shared" si="0"/>
        <v>3251140.0999999996</v>
      </c>
      <c r="F18" s="241">
        <v>1899034.09</v>
      </c>
      <c r="G18" s="241">
        <v>1813683.26</v>
      </c>
      <c r="H18" s="242">
        <f t="shared" si="1"/>
        <v>3712717.35</v>
      </c>
    </row>
    <row r="19" spans="1:8">
      <c r="A19" s="127">
        <v>3</v>
      </c>
      <c r="B19" s="54" t="s">
        <v>108</v>
      </c>
      <c r="C19" s="241">
        <v>83973.9</v>
      </c>
      <c r="D19" s="241">
        <v>270632.34999999998</v>
      </c>
      <c r="E19" s="231">
        <f t="shared" si="0"/>
        <v>354606.25</v>
      </c>
      <c r="F19" s="241">
        <v>40169.17</v>
      </c>
      <c r="G19" s="241">
        <v>238853.65</v>
      </c>
      <c r="H19" s="242">
        <f t="shared" si="1"/>
        <v>279022.82</v>
      </c>
    </row>
    <row r="20" spans="1:8">
      <c r="A20" s="127">
        <v>4</v>
      </c>
      <c r="B20" s="54" t="s">
        <v>109</v>
      </c>
      <c r="C20" s="241">
        <v>1598699.73</v>
      </c>
      <c r="D20" s="241">
        <v>523793.81</v>
      </c>
      <c r="E20" s="231">
        <f t="shared" si="0"/>
        <v>2122493.54</v>
      </c>
      <c r="F20" s="241">
        <v>2058898.25</v>
      </c>
      <c r="G20" s="241">
        <v>47655.58</v>
      </c>
      <c r="H20" s="242">
        <f t="shared" si="1"/>
        <v>2106553.83</v>
      </c>
    </row>
    <row r="21" spans="1:8">
      <c r="A21" s="127">
        <v>5</v>
      </c>
      <c r="B21" s="54" t="s">
        <v>110</v>
      </c>
      <c r="C21" s="241"/>
      <c r="D21" s="241"/>
      <c r="E21" s="231">
        <f t="shared" si="0"/>
        <v>0</v>
      </c>
      <c r="F21" s="241"/>
      <c r="G21" s="241"/>
      <c r="H21" s="242">
        <f>F21+G21</f>
        <v>0</v>
      </c>
    </row>
    <row r="22" spans="1:8">
      <c r="A22" s="127">
        <v>6</v>
      </c>
      <c r="B22" s="56" t="s">
        <v>111</v>
      </c>
      <c r="C22" s="243">
        <f>C8+C9+C19+C20+C21</f>
        <v>7566897.6100000013</v>
      </c>
      <c r="D22" s="243">
        <f>D8+D9+D19+D20+D21</f>
        <v>7896520.459999999</v>
      </c>
      <c r="E22" s="231">
        <f>C22+D22</f>
        <v>15463418.07</v>
      </c>
      <c r="F22" s="243">
        <f>F8+F9+F19+F20+F21</f>
        <v>8958566.8900000006</v>
      </c>
      <c r="G22" s="243">
        <f>G8+G9+G19+G20+G21</f>
        <v>7035457.2800000012</v>
      </c>
      <c r="H22" s="242">
        <f>F22+G22</f>
        <v>15994024.170000002</v>
      </c>
    </row>
    <row r="23" spans="1:8">
      <c r="A23" s="127"/>
      <c r="B23" s="52" t="s">
        <v>90</v>
      </c>
      <c r="C23" s="241"/>
      <c r="D23" s="241"/>
      <c r="E23" s="230"/>
      <c r="F23" s="241"/>
      <c r="G23" s="241"/>
      <c r="H23" s="244"/>
    </row>
    <row r="24" spans="1:8">
      <c r="A24" s="127">
        <v>7</v>
      </c>
      <c r="B24" s="54" t="s">
        <v>112</v>
      </c>
      <c r="C24" s="241">
        <v>210036.76</v>
      </c>
      <c r="D24" s="241">
        <v>56638.46</v>
      </c>
      <c r="E24" s="231">
        <f t="shared" si="0"/>
        <v>266675.22000000003</v>
      </c>
      <c r="F24" s="241">
        <v>170252.05</v>
      </c>
      <c r="G24" s="241">
        <v>54474.37</v>
      </c>
      <c r="H24" s="242">
        <f t="shared" si="1"/>
        <v>224726.41999999998</v>
      </c>
    </row>
    <row r="25" spans="1:8">
      <c r="A25" s="127">
        <v>8</v>
      </c>
      <c r="B25" s="54" t="s">
        <v>113</v>
      </c>
      <c r="C25" s="241">
        <v>1221327.46</v>
      </c>
      <c r="D25" s="241">
        <v>2016594</v>
      </c>
      <c r="E25" s="231">
        <f t="shared" si="0"/>
        <v>3237921.46</v>
      </c>
      <c r="F25" s="241">
        <v>1430018.94</v>
      </c>
      <c r="G25" s="241">
        <v>1167218.3400000001</v>
      </c>
      <c r="H25" s="242">
        <f t="shared" si="1"/>
        <v>2597237.2800000003</v>
      </c>
    </row>
    <row r="26" spans="1:8">
      <c r="A26" s="127">
        <v>9</v>
      </c>
      <c r="B26" s="54" t="s">
        <v>114</v>
      </c>
      <c r="C26" s="241">
        <v>192989.64</v>
      </c>
      <c r="D26" s="241">
        <v>1426941.34</v>
      </c>
      <c r="E26" s="231">
        <f t="shared" si="0"/>
        <v>1619930.98</v>
      </c>
      <c r="F26" s="241">
        <v>420894.56</v>
      </c>
      <c r="G26" s="241">
        <v>1461574.86</v>
      </c>
      <c r="H26" s="242">
        <f t="shared" si="1"/>
        <v>1882469.4200000002</v>
      </c>
    </row>
    <row r="27" spans="1:8">
      <c r="A27" s="127">
        <v>10</v>
      </c>
      <c r="B27" s="54" t="s">
        <v>115</v>
      </c>
      <c r="C27" s="241"/>
      <c r="D27" s="241"/>
      <c r="E27" s="231">
        <f t="shared" si="0"/>
        <v>0</v>
      </c>
      <c r="F27" s="241">
        <v>991812.01</v>
      </c>
      <c r="G27" s="241">
        <v>790854.91</v>
      </c>
      <c r="H27" s="242">
        <f t="shared" si="1"/>
        <v>1782666.92</v>
      </c>
    </row>
    <row r="28" spans="1:8">
      <c r="A28" s="127">
        <v>11</v>
      </c>
      <c r="B28" s="54" t="s">
        <v>116</v>
      </c>
      <c r="C28" s="241">
        <v>745910.65</v>
      </c>
      <c r="D28" s="241">
        <v>1172398.19</v>
      </c>
      <c r="E28" s="231">
        <f t="shared" si="0"/>
        <v>1918308.8399999999</v>
      </c>
      <c r="F28" s="241">
        <v>165540.39000000001</v>
      </c>
      <c r="G28" s="241">
        <v>1116691.93</v>
      </c>
      <c r="H28" s="242">
        <f t="shared" si="1"/>
        <v>1282232.3199999998</v>
      </c>
    </row>
    <row r="29" spans="1:8">
      <c r="A29" s="127">
        <v>12</v>
      </c>
      <c r="B29" s="54" t="s">
        <v>117</v>
      </c>
      <c r="C29" s="241"/>
      <c r="D29" s="241"/>
      <c r="E29" s="231">
        <f t="shared" si="0"/>
        <v>0</v>
      </c>
      <c r="F29" s="241"/>
      <c r="G29" s="241"/>
      <c r="H29" s="242">
        <f t="shared" si="1"/>
        <v>0</v>
      </c>
    </row>
    <row r="30" spans="1:8">
      <c r="A30" s="127">
        <v>13</v>
      </c>
      <c r="B30" s="57" t="s">
        <v>118</v>
      </c>
      <c r="C30" s="243">
        <f>SUM(C24:C29)</f>
        <v>2370264.5099999998</v>
      </c>
      <c r="D30" s="243">
        <f>SUM(D24:D29)</f>
        <v>4672571.99</v>
      </c>
      <c r="E30" s="231">
        <f t="shared" si="0"/>
        <v>7042836.5</v>
      </c>
      <c r="F30" s="243">
        <f>SUM(F24:F29)</f>
        <v>3178517.95</v>
      </c>
      <c r="G30" s="243">
        <f>SUM(G24:G29)</f>
        <v>4590814.41</v>
      </c>
      <c r="H30" s="242">
        <f t="shared" si="1"/>
        <v>7769332.3600000003</v>
      </c>
    </row>
    <row r="31" spans="1:8">
      <c r="A31" s="127">
        <v>14</v>
      </c>
      <c r="B31" s="57" t="s">
        <v>119</v>
      </c>
      <c r="C31" s="243">
        <f>C22-C30</f>
        <v>5196633.1000000015</v>
      </c>
      <c r="D31" s="243">
        <f>D22-D30</f>
        <v>3223948.4699999988</v>
      </c>
      <c r="E31" s="231">
        <f t="shared" si="0"/>
        <v>8420581.5700000003</v>
      </c>
      <c r="F31" s="243">
        <f>F22-F30</f>
        <v>5780048.9400000004</v>
      </c>
      <c r="G31" s="243">
        <f>G22-G30</f>
        <v>2444642.870000001</v>
      </c>
      <c r="H31" s="242">
        <f t="shared" si="1"/>
        <v>8224691.8100000015</v>
      </c>
    </row>
    <row r="32" spans="1:8">
      <c r="A32" s="127"/>
      <c r="B32" s="52"/>
      <c r="C32" s="245"/>
      <c r="D32" s="245"/>
      <c r="E32" s="245"/>
      <c r="F32" s="245"/>
      <c r="G32" s="245"/>
      <c r="H32" s="246"/>
    </row>
    <row r="33" spans="1:8">
      <c r="A33" s="127"/>
      <c r="B33" s="52" t="s">
        <v>120</v>
      </c>
      <c r="C33" s="241"/>
      <c r="D33" s="241"/>
      <c r="E33" s="230"/>
      <c r="F33" s="241"/>
      <c r="G33" s="241"/>
      <c r="H33" s="244"/>
    </row>
    <row r="34" spans="1:8">
      <c r="A34" s="127">
        <v>15</v>
      </c>
      <c r="B34" s="51" t="s">
        <v>91</v>
      </c>
      <c r="C34" s="247">
        <f>C35-C36</f>
        <v>-27213.260000000002</v>
      </c>
      <c r="D34" s="247">
        <f>D35-D36</f>
        <v>47750.299999999988</v>
      </c>
      <c r="E34" s="231">
        <f t="shared" si="0"/>
        <v>20537.039999999986</v>
      </c>
      <c r="F34" s="247">
        <f>F35-F36</f>
        <v>-31392.429999999993</v>
      </c>
      <c r="G34" s="247">
        <f>G35-G36</f>
        <v>8517.9499999999971</v>
      </c>
      <c r="H34" s="242">
        <f t="shared" si="1"/>
        <v>-22874.479999999996</v>
      </c>
    </row>
    <row r="35" spans="1:8">
      <c r="A35" s="127">
        <v>15.1</v>
      </c>
      <c r="B35" s="55" t="s">
        <v>121</v>
      </c>
      <c r="C35" s="241">
        <v>55726.73</v>
      </c>
      <c r="D35" s="241">
        <v>197126.27</v>
      </c>
      <c r="E35" s="231">
        <f t="shared" si="0"/>
        <v>252853</v>
      </c>
      <c r="F35" s="241">
        <v>43342.47</v>
      </c>
      <c r="G35" s="241">
        <v>130558.18</v>
      </c>
      <c r="H35" s="242">
        <f t="shared" si="1"/>
        <v>173900.65</v>
      </c>
    </row>
    <row r="36" spans="1:8">
      <c r="A36" s="127">
        <v>15.2</v>
      </c>
      <c r="B36" s="55" t="s">
        <v>122</v>
      </c>
      <c r="C36" s="241">
        <v>82939.990000000005</v>
      </c>
      <c r="D36" s="241">
        <v>149375.97</v>
      </c>
      <c r="E36" s="231">
        <f t="shared" si="0"/>
        <v>232315.96000000002</v>
      </c>
      <c r="F36" s="241">
        <v>74734.899999999994</v>
      </c>
      <c r="G36" s="241">
        <v>122040.23</v>
      </c>
      <c r="H36" s="242">
        <f t="shared" si="1"/>
        <v>196775.13</v>
      </c>
    </row>
    <row r="37" spans="1:8">
      <c r="A37" s="127">
        <v>16</v>
      </c>
      <c r="B37" s="54" t="s">
        <v>123</v>
      </c>
      <c r="C37" s="241"/>
      <c r="D37" s="241"/>
      <c r="E37" s="231">
        <f t="shared" si="0"/>
        <v>0</v>
      </c>
      <c r="F37" s="241"/>
      <c r="G37" s="241"/>
      <c r="H37" s="242">
        <f t="shared" si="1"/>
        <v>0</v>
      </c>
    </row>
    <row r="38" spans="1:8">
      <c r="A38" s="127">
        <v>17</v>
      </c>
      <c r="B38" s="54" t="s">
        <v>124</v>
      </c>
      <c r="C38" s="241"/>
      <c r="D38" s="241"/>
      <c r="E38" s="231">
        <f t="shared" si="0"/>
        <v>0</v>
      </c>
      <c r="F38" s="241"/>
      <c r="G38" s="241"/>
      <c r="H38" s="242">
        <f t="shared" si="1"/>
        <v>0</v>
      </c>
    </row>
    <row r="39" spans="1:8">
      <c r="A39" s="127">
        <v>18</v>
      </c>
      <c r="B39" s="54" t="s">
        <v>125</v>
      </c>
      <c r="C39" s="241"/>
      <c r="D39" s="241"/>
      <c r="E39" s="231">
        <f t="shared" si="0"/>
        <v>0</v>
      </c>
      <c r="F39" s="241"/>
      <c r="G39" s="241"/>
      <c r="H39" s="242">
        <f t="shared" si="1"/>
        <v>0</v>
      </c>
    </row>
    <row r="40" spans="1:8">
      <c r="A40" s="127">
        <v>19</v>
      </c>
      <c r="B40" s="54" t="s">
        <v>126</v>
      </c>
      <c r="C40" s="241">
        <v>4065036.82</v>
      </c>
      <c r="D40" s="241">
        <v>0</v>
      </c>
      <c r="E40" s="231">
        <f t="shared" si="0"/>
        <v>4065036.82</v>
      </c>
      <c r="F40" s="241">
        <v>-1217203.77</v>
      </c>
      <c r="G40" s="241">
        <v>0</v>
      </c>
      <c r="H40" s="242">
        <f t="shared" si="1"/>
        <v>-1217203.77</v>
      </c>
    </row>
    <row r="41" spans="1:8">
      <c r="A41" s="127">
        <v>20</v>
      </c>
      <c r="B41" s="54" t="s">
        <v>127</v>
      </c>
      <c r="C41" s="241">
        <v>-2622891.94</v>
      </c>
      <c r="D41" s="241">
        <v>0</v>
      </c>
      <c r="E41" s="231">
        <f t="shared" si="0"/>
        <v>-2622891.94</v>
      </c>
      <c r="F41" s="241">
        <v>3745017.61</v>
      </c>
      <c r="G41" s="241">
        <v>0</v>
      </c>
      <c r="H41" s="242">
        <f t="shared" si="1"/>
        <v>3745017.61</v>
      </c>
    </row>
    <row r="42" spans="1:8">
      <c r="A42" s="127">
        <v>21</v>
      </c>
      <c r="B42" s="54" t="s">
        <v>128</v>
      </c>
      <c r="C42" s="241">
        <v>-435813.16</v>
      </c>
      <c r="D42" s="241"/>
      <c r="E42" s="231">
        <f t="shared" si="0"/>
        <v>-435813.16</v>
      </c>
      <c r="F42" s="241">
        <v>-130.31</v>
      </c>
      <c r="G42" s="241"/>
      <c r="H42" s="242">
        <f t="shared" si="1"/>
        <v>-130.31</v>
      </c>
    </row>
    <row r="43" spans="1:8">
      <c r="A43" s="127">
        <v>22</v>
      </c>
      <c r="B43" s="54" t="s">
        <v>129</v>
      </c>
      <c r="C43" s="241">
        <v>688584.67</v>
      </c>
      <c r="D43" s="241">
        <v>229209.43</v>
      </c>
      <c r="E43" s="231">
        <f t="shared" si="0"/>
        <v>917794.10000000009</v>
      </c>
      <c r="F43" s="241">
        <v>504252.37</v>
      </c>
      <c r="G43" s="241">
        <v>202644.5</v>
      </c>
      <c r="H43" s="242">
        <f t="shared" si="1"/>
        <v>706896.87</v>
      </c>
    </row>
    <row r="44" spans="1:8">
      <c r="A44" s="127">
        <v>23</v>
      </c>
      <c r="B44" s="54" t="s">
        <v>130</v>
      </c>
      <c r="C44" s="241">
        <v>322490.03000000003</v>
      </c>
      <c r="D44" s="241"/>
      <c r="E44" s="231">
        <f t="shared" si="0"/>
        <v>322490.03000000003</v>
      </c>
      <c r="F44" s="241">
        <v>32534.49</v>
      </c>
      <c r="G44" s="241"/>
      <c r="H44" s="242">
        <f t="shared" si="1"/>
        <v>32534.49</v>
      </c>
    </row>
    <row r="45" spans="1:8">
      <c r="A45" s="127">
        <v>24</v>
      </c>
      <c r="B45" s="57" t="s">
        <v>131</v>
      </c>
      <c r="C45" s="243">
        <f>C34+C37+C38+C39+C40+C41+C42+C43+C44</f>
        <v>1990193.1600000004</v>
      </c>
      <c r="D45" s="243">
        <f>D34+D37+D38+D39+D40+D41+D42+D43+D44</f>
        <v>276959.73</v>
      </c>
      <c r="E45" s="231">
        <f t="shared" si="0"/>
        <v>2267152.8900000006</v>
      </c>
      <c r="F45" s="243">
        <f>F34+F37+F38+F39+F40+F41+F42+F43+F44</f>
        <v>3033077.9600000004</v>
      </c>
      <c r="G45" s="243">
        <f>G34+G37+G38+G39+G40+G41+G42+G43+G44</f>
        <v>211162.45</v>
      </c>
      <c r="H45" s="242">
        <f t="shared" si="1"/>
        <v>3244240.4100000006</v>
      </c>
    </row>
    <row r="46" spans="1:8">
      <c r="A46" s="127"/>
      <c r="B46" s="52" t="s">
        <v>132</v>
      </c>
      <c r="C46" s="241"/>
      <c r="D46" s="241"/>
      <c r="E46" s="241"/>
      <c r="F46" s="241"/>
      <c r="G46" s="241"/>
      <c r="H46" s="248"/>
    </row>
    <row r="47" spans="1:8">
      <c r="A47" s="127">
        <v>25</v>
      </c>
      <c r="B47" s="54" t="s">
        <v>133</v>
      </c>
      <c r="C47" s="241">
        <v>497897.68</v>
      </c>
      <c r="D47" s="241">
        <v>553172.05000000005</v>
      </c>
      <c r="E47" s="231">
        <f t="shared" si="0"/>
        <v>1051069.73</v>
      </c>
      <c r="F47" s="241">
        <v>502443.18</v>
      </c>
      <c r="G47" s="241">
        <v>428910.17</v>
      </c>
      <c r="H47" s="242">
        <f t="shared" si="1"/>
        <v>931353.35</v>
      </c>
    </row>
    <row r="48" spans="1:8">
      <c r="A48" s="127">
        <v>26</v>
      </c>
      <c r="B48" s="54" t="s">
        <v>134</v>
      </c>
      <c r="C48" s="241">
        <v>1891080.6</v>
      </c>
      <c r="D48" s="241">
        <v>1373.12</v>
      </c>
      <c r="E48" s="231">
        <f t="shared" si="0"/>
        <v>1892453.7200000002</v>
      </c>
      <c r="F48" s="241">
        <v>2374866.91</v>
      </c>
      <c r="G48" s="241"/>
      <c r="H48" s="242">
        <f t="shared" si="1"/>
        <v>2374866.91</v>
      </c>
    </row>
    <row r="49" spans="1:9">
      <c r="A49" s="127">
        <v>27</v>
      </c>
      <c r="B49" s="54" t="s">
        <v>135</v>
      </c>
      <c r="C49" s="241">
        <v>6954539.9400000004</v>
      </c>
      <c r="D49" s="241">
        <v>0</v>
      </c>
      <c r="E49" s="231">
        <f t="shared" si="0"/>
        <v>6954539.9400000004</v>
      </c>
      <c r="F49" s="241">
        <v>8299934.1600000001</v>
      </c>
      <c r="G49" s="241">
        <v>0</v>
      </c>
      <c r="H49" s="242">
        <f t="shared" si="1"/>
        <v>8299934.1600000001</v>
      </c>
    </row>
    <row r="50" spans="1:9">
      <c r="A50" s="127">
        <v>28</v>
      </c>
      <c r="B50" s="54" t="s">
        <v>271</v>
      </c>
      <c r="C50" s="241">
        <v>3206.47</v>
      </c>
      <c r="D50" s="241">
        <v>0</v>
      </c>
      <c r="E50" s="231">
        <f t="shared" si="0"/>
        <v>3206.47</v>
      </c>
      <c r="F50" s="241">
        <v>4256.53</v>
      </c>
      <c r="G50" s="241">
        <v>0</v>
      </c>
      <c r="H50" s="242">
        <f t="shared" si="1"/>
        <v>4256.53</v>
      </c>
    </row>
    <row r="51" spans="1:9">
      <c r="A51" s="127">
        <v>29</v>
      </c>
      <c r="B51" s="54" t="s">
        <v>136</v>
      </c>
      <c r="C51" s="241">
        <v>3021993.74</v>
      </c>
      <c r="D51" s="241">
        <v>0</v>
      </c>
      <c r="E51" s="231">
        <f t="shared" si="0"/>
        <v>3021993.74</v>
      </c>
      <c r="F51" s="241">
        <v>3219896.09</v>
      </c>
      <c r="G51" s="241">
        <v>0</v>
      </c>
      <c r="H51" s="242">
        <f t="shared" si="1"/>
        <v>3219896.09</v>
      </c>
    </row>
    <row r="52" spans="1:9">
      <c r="A52" s="127">
        <v>30</v>
      </c>
      <c r="B52" s="54" t="s">
        <v>137</v>
      </c>
      <c r="C52" s="241">
        <v>763099.51</v>
      </c>
      <c r="D52" s="241"/>
      <c r="E52" s="231">
        <f t="shared" si="0"/>
        <v>763099.51</v>
      </c>
      <c r="F52" s="241">
        <v>844584.98</v>
      </c>
      <c r="G52" s="241"/>
      <c r="H52" s="242">
        <f t="shared" si="1"/>
        <v>844584.98</v>
      </c>
    </row>
    <row r="53" spans="1:9">
      <c r="A53" s="127">
        <v>31</v>
      </c>
      <c r="B53" s="57" t="s">
        <v>138</v>
      </c>
      <c r="C53" s="243">
        <f>C47+C48+C49+C50+C51+C52</f>
        <v>13131817.940000001</v>
      </c>
      <c r="D53" s="243">
        <f>D47+D48+D49+D50+D51+D52</f>
        <v>554545.17000000004</v>
      </c>
      <c r="E53" s="231">
        <f t="shared" si="0"/>
        <v>13686363.110000001</v>
      </c>
      <c r="F53" s="243">
        <f>F47+F48+F49+F50+F51+F52</f>
        <v>15245981.85</v>
      </c>
      <c r="G53" s="243">
        <f>G47+G48+G49+G50+G51+G52</f>
        <v>428910.17</v>
      </c>
      <c r="H53" s="242">
        <f t="shared" si="1"/>
        <v>15674892.02</v>
      </c>
    </row>
    <row r="54" spans="1:9">
      <c r="A54" s="127">
        <v>32</v>
      </c>
      <c r="B54" s="57" t="s">
        <v>139</v>
      </c>
      <c r="C54" s="243">
        <f>C45-C53</f>
        <v>-11141624.780000001</v>
      </c>
      <c r="D54" s="243">
        <f>D45-D53</f>
        <v>-277585.44000000006</v>
      </c>
      <c r="E54" s="231">
        <f t="shared" si="0"/>
        <v>-11419210.220000001</v>
      </c>
      <c r="F54" s="243">
        <f>F45-F53</f>
        <v>-12212903.889999999</v>
      </c>
      <c r="G54" s="243">
        <f>G45-G53</f>
        <v>-217747.71999999997</v>
      </c>
      <c r="H54" s="242">
        <f t="shared" si="1"/>
        <v>-12430651.609999999</v>
      </c>
    </row>
    <row r="55" spans="1:9">
      <c r="A55" s="127"/>
      <c r="B55" s="52"/>
      <c r="C55" s="245"/>
      <c r="D55" s="245"/>
      <c r="E55" s="245"/>
      <c r="F55" s="245"/>
      <c r="G55" s="245"/>
      <c r="H55" s="246"/>
    </row>
    <row r="56" spans="1:9">
      <c r="A56" s="127">
        <v>33</v>
      </c>
      <c r="B56" s="57" t="s">
        <v>140</v>
      </c>
      <c r="C56" s="243">
        <f>C31+C54</f>
        <v>-5944991.6799999997</v>
      </c>
      <c r="D56" s="243">
        <f>D31+D54</f>
        <v>2946363.0299999989</v>
      </c>
      <c r="E56" s="231">
        <f t="shared" si="0"/>
        <v>-2998628.6500000008</v>
      </c>
      <c r="F56" s="243">
        <f>F31+F54</f>
        <v>-6432854.9499999983</v>
      </c>
      <c r="G56" s="243">
        <f>G31+G54</f>
        <v>2226895.1500000013</v>
      </c>
      <c r="H56" s="242">
        <f t="shared" si="1"/>
        <v>-4205959.799999997</v>
      </c>
    </row>
    <row r="57" spans="1:9">
      <c r="A57" s="127"/>
      <c r="B57" s="52"/>
      <c r="C57" s="245"/>
      <c r="D57" s="245"/>
      <c r="E57" s="245"/>
      <c r="F57" s="245"/>
      <c r="G57" s="245"/>
      <c r="H57" s="246"/>
    </row>
    <row r="58" spans="1:9">
      <c r="A58" s="127">
        <v>34</v>
      </c>
      <c r="B58" s="54" t="s">
        <v>141</v>
      </c>
      <c r="C58" s="241">
        <v>-850553.28</v>
      </c>
      <c r="D58" s="241">
        <v>0</v>
      </c>
      <c r="E58" s="231">
        <f t="shared" si="0"/>
        <v>-850553.28</v>
      </c>
      <c r="F58" s="241">
        <v>12049116.050000001</v>
      </c>
      <c r="G58" s="241">
        <v>0</v>
      </c>
      <c r="H58" s="242">
        <f t="shared" si="1"/>
        <v>12049116.050000001</v>
      </c>
    </row>
    <row r="59" spans="1:9" s="206" customFormat="1">
      <c r="A59" s="127">
        <v>35</v>
      </c>
      <c r="B59" s="51" t="s">
        <v>142</v>
      </c>
      <c r="C59" s="249"/>
      <c r="D59" s="249">
        <v>0</v>
      </c>
      <c r="E59" s="250">
        <f t="shared" si="0"/>
        <v>0</v>
      </c>
      <c r="F59" s="251"/>
      <c r="G59" s="251">
        <v>0</v>
      </c>
      <c r="H59" s="252">
        <f t="shared" si="1"/>
        <v>0</v>
      </c>
      <c r="I59" s="205"/>
    </row>
    <row r="60" spans="1:9">
      <c r="A60" s="127">
        <v>36</v>
      </c>
      <c r="B60" s="54" t="s">
        <v>143</v>
      </c>
      <c r="C60" s="241">
        <v>-659098.64</v>
      </c>
      <c r="D60" s="241"/>
      <c r="E60" s="231">
        <f t="shared" si="0"/>
        <v>-659098.64</v>
      </c>
      <c r="F60" s="241">
        <v>447026.13</v>
      </c>
      <c r="G60" s="241"/>
      <c r="H60" s="242">
        <f t="shared" si="1"/>
        <v>447026.13</v>
      </c>
    </row>
    <row r="61" spans="1:9">
      <c r="A61" s="127">
        <v>37</v>
      </c>
      <c r="B61" s="57" t="s">
        <v>144</v>
      </c>
      <c r="C61" s="243">
        <f>C58+C59+C60</f>
        <v>-1509651.92</v>
      </c>
      <c r="D61" s="243">
        <f>D58+D59+D60</f>
        <v>0</v>
      </c>
      <c r="E61" s="231">
        <f t="shared" si="0"/>
        <v>-1509651.92</v>
      </c>
      <c r="F61" s="243">
        <f>F58+F59+F60</f>
        <v>12496142.180000002</v>
      </c>
      <c r="G61" s="243">
        <f>G58+G59+G60</f>
        <v>0</v>
      </c>
      <c r="H61" s="242">
        <f t="shared" si="1"/>
        <v>12496142.180000002</v>
      </c>
    </row>
    <row r="62" spans="1:9">
      <c r="A62" s="127"/>
      <c r="B62" s="58"/>
      <c r="C62" s="241"/>
      <c r="D62" s="241"/>
      <c r="E62" s="241"/>
      <c r="F62" s="241"/>
      <c r="G62" s="241"/>
      <c r="H62" s="248"/>
    </row>
    <row r="63" spans="1:9">
      <c r="A63" s="127">
        <v>38</v>
      </c>
      <c r="B63" s="59" t="s">
        <v>272</v>
      </c>
      <c r="C63" s="243">
        <f>C56-C61</f>
        <v>-4435339.76</v>
      </c>
      <c r="D63" s="243">
        <f>D56-D61</f>
        <v>2946363.0299999989</v>
      </c>
      <c r="E63" s="231">
        <f t="shared" si="0"/>
        <v>-1488976.7300000009</v>
      </c>
      <c r="F63" s="243">
        <f>F56-F61</f>
        <v>-18928997.129999999</v>
      </c>
      <c r="G63" s="243">
        <f>G56-G61</f>
        <v>2226895.1500000013</v>
      </c>
      <c r="H63" s="242">
        <f t="shared" si="1"/>
        <v>-16702101.979999997</v>
      </c>
    </row>
    <row r="64" spans="1:9">
      <c r="A64" s="125">
        <v>39</v>
      </c>
      <c r="B64" s="54" t="s">
        <v>145</v>
      </c>
      <c r="C64" s="253">
        <v>0</v>
      </c>
      <c r="D64" s="253">
        <v>0</v>
      </c>
      <c r="E64" s="231">
        <f t="shared" si="0"/>
        <v>0</v>
      </c>
      <c r="F64" s="253">
        <v>0</v>
      </c>
      <c r="G64" s="253">
        <v>0</v>
      </c>
      <c r="H64" s="242">
        <f t="shared" si="1"/>
        <v>0</v>
      </c>
    </row>
    <row r="65" spans="1:8">
      <c r="A65" s="127">
        <v>40</v>
      </c>
      <c r="B65" s="57" t="s">
        <v>146</v>
      </c>
      <c r="C65" s="243">
        <f>C63-C64</f>
        <v>-4435339.76</v>
      </c>
      <c r="D65" s="243">
        <f>D63-D64</f>
        <v>2946363.0299999989</v>
      </c>
      <c r="E65" s="231">
        <f t="shared" si="0"/>
        <v>-1488976.7300000009</v>
      </c>
      <c r="F65" s="243">
        <f>F63-F64</f>
        <v>-18928997.129999999</v>
      </c>
      <c r="G65" s="243">
        <f>G63-G64</f>
        <v>2226895.1500000013</v>
      </c>
      <c r="H65" s="242">
        <f t="shared" si="1"/>
        <v>-16702101.979999997</v>
      </c>
    </row>
    <row r="66" spans="1:8">
      <c r="A66" s="125">
        <v>41</v>
      </c>
      <c r="B66" s="54" t="s">
        <v>147</v>
      </c>
      <c r="C66" s="253">
        <v>62882.32</v>
      </c>
      <c r="D66" s="253">
        <v>0</v>
      </c>
      <c r="E66" s="231">
        <f t="shared" si="0"/>
        <v>62882.32</v>
      </c>
      <c r="F66" s="253">
        <v>40348.339999999997</v>
      </c>
      <c r="G66" s="253">
        <v>0</v>
      </c>
      <c r="H66" s="242">
        <f t="shared" si="1"/>
        <v>40348.339999999997</v>
      </c>
    </row>
    <row r="67" spans="1:8" ht="15" thickBot="1">
      <c r="A67" s="129">
        <v>42</v>
      </c>
      <c r="B67" s="130" t="s">
        <v>148</v>
      </c>
      <c r="C67" s="254">
        <f>C65+C66</f>
        <v>-4372457.4399999995</v>
      </c>
      <c r="D67" s="254">
        <f>D65+D66</f>
        <v>2946363.0299999989</v>
      </c>
      <c r="E67" s="239">
        <f t="shared" si="0"/>
        <v>-1426094.4100000006</v>
      </c>
      <c r="F67" s="254">
        <f>F65+F66</f>
        <v>-18888648.789999999</v>
      </c>
      <c r="G67" s="254">
        <f>G65+G66</f>
        <v>2226895.1500000013</v>
      </c>
      <c r="H67" s="255">
        <f t="shared" si="1"/>
        <v>-16661753.639999997</v>
      </c>
    </row>
  </sheetData>
  <mergeCells count="2">
    <mergeCell ref="C5:E5"/>
    <mergeCell ref="F5:H5"/>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80" zoomScaleNormal="80" workbookViewId="0">
      <selection activeCell="B20" sqref="B20"/>
    </sheetView>
  </sheetViews>
  <sheetFormatPr defaultRowHeight="14.5"/>
  <cols>
    <col min="1" max="1" width="9.54296875" bestFit="1" customWidth="1"/>
    <col min="2" max="2" width="72.1796875" customWidth="1"/>
    <col min="3" max="8" width="12.81640625" customWidth="1"/>
  </cols>
  <sheetData>
    <row r="1" spans="1:8">
      <c r="A1" s="2" t="s">
        <v>188</v>
      </c>
      <c r="B1" t="str">
        <f>Info!C2</f>
        <v>სს " პაშა ბანკი საქართველო"</v>
      </c>
    </row>
    <row r="2" spans="1:8">
      <c r="A2" s="2" t="s">
        <v>189</v>
      </c>
      <c r="B2" s="471">
        <f>'1. key ratios'!B2</f>
        <v>44377</v>
      </c>
    </row>
    <row r="3" spans="1:8">
      <c r="A3" s="2"/>
    </row>
    <row r="4" spans="1:8" ht="15" thickBot="1">
      <c r="A4" s="2" t="s">
        <v>331</v>
      </c>
      <c r="B4" s="2"/>
      <c r="C4" s="213"/>
      <c r="D4" s="213"/>
      <c r="E4" s="213"/>
      <c r="F4" s="214"/>
      <c r="G4" s="214"/>
      <c r="H4" s="215" t="s">
        <v>93</v>
      </c>
    </row>
    <row r="5" spans="1:8">
      <c r="A5" s="736" t="s">
        <v>26</v>
      </c>
      <c r="B5" s="738" t="s">
        <v>245</v>
      </c>
      <c r="C5" s="740" t="s">
        <v>194</v>
      </c>
      <c r="D5" s="740"/>
      <c r="E5" s="740"/>
      <c r="F5" s="740" t="s">
        <v>195</v>
      </c>
      <c r="G5" s="740"/>
      <c r="H5" s="741"/>
    </row>
    <row r="6" spans="1:8">
      <c r="A6" s="737"/>
      <c r="B6" s="739"/>
      <c r="C6" s="39" t="s">
        <v>27</v>
      </c>
      <c r="D6" s="39" t="s">
        <v>94</v>
      </c>
      <c r="E6" s="39" t="s">
        <v>68</v>
      </c>
      <c r="F6" s="39" t="s">
        <v>27</v>
      </c>
      <c r="G6" s="39" t="s">
        <v>94</v>
      </c>
      <c r="H6" s="40" t="s">
        <v>68</v>
      </c>
    </row>
    <row r="7" spans="1:8" s="3" customFormat="1">
      <c r="A7" s="216">
        <v>1</v>
      </c>
      <c r="B7" s="217" t="s">
        <v>367</v>
      </c>
      <c r="C7" s="233">
        <v>30717116.939999998</v>
      </c>
      <c r="D7" s="233">
        <v>26150381.174599998</v>
      </c>
      <c r="E7" s="256">
        <f>C7+D7</f>
        <v>56867498.114599995</v>
      </c>
      <c r="F7" s="233">
        <v>42072360.649999999</v>
      </c>
      <c r="G7" s="233">
        <v>36316113.3992</v>
      </c>
      <c r="H7" s="234">
        <f t="shared" ref="H7:H53" si="0">F7+G7</f>
        <v>78388474.049199998</v>
      </c>
    </row>
    <row r="8" spans="1:8" s="3" customFormat="1">
      <c r="A8" s="216">
        <v>1.1000000000000001</v>
      </c>
      <c r="B8" s="218" t="s">
        <v>276</v>
      </c>
      <c r="C8" s="233">
        <v>14971023.59</v>
      </c>
      <c r="D8" s="233">
        <v>17280905.832699999</v>
      </c>
      <c r="E8" s="256">
        <f t="shared" ref="E8:E53" si="1">C8+D8</f>
        <v>32251929.422699999</v>
      </c>
      <c r="F8" s="233">
        <v>26421703.109999999</v>
      </c>
      <c r="G8" s="233">
        <v>17191757.524599999</v>
      </c>
      <c r="H8" s="234">
        <f t="shared" si="0"/>
        <v>43613460.634599999</v>
      </c>
    </row>
    <row r="9" spans="1:8" s="3" customFormat="1">
      <c r="A9" s="216">
        <v>1.2</v>
      </c>
      <c r="B9" s="218" t="s">
        <v>277</v>
      </c>
      <c r="C9" s="233"/>
      <c r="D9" s="233"/>
      <c r="E9" s="256">
        <f t="shared" si="1"/>
        <v>0</v>
      </c>
      <c r="F9" s="233"/>
      <c r="G9" s="233"/>
      <c r="H9" s="234">
        <f t="shared" si="0"/>
        <v>0</v>
      </c>
    </row>
    <row r="10" spans="1:8" s="3" customFormat="1">
      <c r="A10" s="216">
        <v>1.3</v>
      </c>
      <c r="B10" s="218" t="s">
        <v>278</v>
      </c>
      <c r="C10" s="233">
        <v>15746093.35</v>
      </c>
      <c r="D10" s="233">
        <v>8869475.3419000003</v>
      </c>
      <c r="E10" s="256">
        <f t="shared" si="1"/>
        <v>24615568.6919</v>
      </c>
      <c r="F10" s="233">
        <v>15650657.539999999</v>
      </c>
      <c r="G10" s="233">
        <v>19124355.874600001</v>
      </c>
      <c r="H10" s="234">
        <f t="shared" si="0"/>
        <v>34775013.4146</v>
      </c>
    </row>
    <row r="11" spans="1:8" s="3" customFormat="1">
      <c r="A11" s="216">
        <v>1.4</v>
      </c>
      <c r="B11" s="218" t="s">
        <v>279</v>
      </c>
      <c r="C11" s="233"/>
      <c r="D11" s="233"/>
      <c r="E11" s="256">
        <f t="shared" si="1"/>
        <v>0</v>
      </c>
      <c r="F11" s="233"/>
      <c r="G11" s="233"/>
      <c r="H11" s="234">
        <f t="shared" si="0"/>
        <v>0</v>
      </c>
    </row>
    <row r="12" spans="1:8" s="3" customFormat="1" ht="29.25" customHeight="1">
      <c r="A12" s="216">
        <v>2</v>
      </c>
      <c r="B12" s="217" t="s">
        <v>280</v>
      </c>
      <c r="C12" s="233"/>
      <c r="D12" s="233"/>
      <c r="E12" s="256">
        <f t="shared" si="1"/>
        <v>0</v>
      </c>
      <c r="F12" s="233"/>
      <c r="G12" s="233"/>
      <c r="H12" s="234">
        <f t="shared" si="0"/>
        <v>0</v>
      </c>
    </row>
    <row r="13" spans="1:8" s="3" customFormat="1" ht="26">
      <c r="A13" s="216">
        <v>3</v>
      </c>
      <c r="B13" s="217" t="s">
        <v>281</v>
      </c>
      <c r="C13" s="233">
        <v>0</v>
      </c>
      <c r="D13" s="233">
        <v>0</v>
      </c>
      <c r="E13" s="256">
        <f t="shared" si="1"/>
        <v>0</v>
      </c>
      <c r="F13" s="233">
        <v>0</v>
      </c>
      <c r="G13" s="233">
        <v>0</v>
      </c>
      <c r="H13" s="234">
        <f t="shared" si="0"/>
        <v>0</v>
      </c>
    </row>
    <row r="14" spans="1:8" s="3" customFormat="1">
      <c r="A14" s="216">
        <v>3.1</v>
      </c>
      <c r="B14" s="218" t="s">
        <v>282</v>
      </c>
      <c r="C14" s="233"/>
      <c r="D14" s="233"/>
      <c r="E14" s="256">
        <f t="shared" si="1"/>
        <v>0</v>
      </c>
      <c r="F14" s="233"/>
      <c r="G14" s="233"/>
      <c r="H14" s="234">
        <f t="shared" si="0"/>
        <v>0</v>
      </c>
    </row>
    <row r="15" spans="1:8" s="3" customFormat="1">
      <c r="A15" s="216">
        <v>3.2</v>
      </c>
      <c r="B15" s="218" t="s">
        <v>283</v>
      </c>
      <c r="C15" s="233"/>
      <c r="D15" s="233"/>
      <c r="E15" s="256">
        <f t="shared" si="1"/>
        <v>0</v>
      </c>
      <c r="F15" s="233"/>
      <c r="G15" s="233"/>
      <c r="H15" s="234">
        <f t="shared" si="0"/>
        <v>0</v>
      </c>
    </row>
    <row r="16" spans="1:8" s="3" customFormat="1">
      <c r="A16" s="216">
        <v>4</v>
      </c>
      <c r="B16" s="217" t="s">
        <v>284</v>
      </c>
      <c r="C16" s="233">
        <v>31915399.769100003</v>
      </c>
      <c r="D16" s="233">
        <v>358449787.70660001</v>
      </c>
      <c r="E16" s="256">
        <f t="shared" si="1"/>
        <v>390365187.47570002</v>
      </c>
      <c r="F16" s="233">
        <v>50118403.492299996</v>
      </c>
      <c r="G16" s="233">
        <v>327976187.18090004</v>
      </c>
      <c r="H16" s="234">
        <f t="shared" si="0"/>
        <v>378094590.67320001</v>
      </c>
    </row>
    <row r="17" spans="1:8" s="3" customFormat="1">
      <c r="A17" s="216">
        <v>4.0999999999999996</v>
      </c>
      <c r="B17" s="218" t="s">
        <v>285</v>
      </c>
      <c r="C17" s="233">
        <v>28599903.939100001</v>
      </c>
      <c r="D17" s="233">
        <v>339486259.89950001</v>
      </c>
      <c r="E17" s="256">
        <f t="shared" si="1"/>
        <v>368086163.83860004</v>
      </c>
      <c r="F17" s="233">
        <v>37867858.522299998</v>
      </c>
      <c r="G17" s="233">
        <v>309182919.03060001</v>
      </c>
      <c r="H17" s="234">
        <f t="shared" si="0"/>
        <v>347050777.55290002</v>
      </c>
    </row>
    <row r="18" spans="1:8" s="3" customFormat="1">
      <c r="A18" s="216">
        <v>4.2</v>
      </c>
      <c r="B18" s="218" t="s">
        <v>286</v>
      </c>
      <c r="C18" s="233">
        <v>3315495.83</v>
      </c>
      <c r="D18" s="233">
        <v>18963527.807100002</v>
      </c>
      <c r="E18" s="256">
        <f t="shared" si="1"/>
        <v>22279023.637100004</v>
      </c>
      <c r="F18" s="233">
        <v>12250544.970000001</v>
      </c>
      <c r="G18" s="233">
        <v>18793268.1503</v>
      </c>
      <c r="H18" s="234">
        <f t="shared" si="0"/>
        <v>31043813.120300002</v>
      </c>
    </row>
    <row r="19" spans="1:8" s="3" customFormat="1" ht="26">
      <c r="A19" s="216">
        <v>5</v>
      </c>
      <c r="B19" s="217" t="s">
        <v>287</v>
      </c>
      <c r="C19" s="233">
        <v>71954271.75</v>
      </c>
      <c r="D19" s="233">
        <v>1015434649.4648999</v>
      </c>
      <c r="E19" s="256">
        <f t="shared" si="1"/>
        <v>1087388921.2149</v>
      </c>
      <c r="F19" s="233">
        <v>110373506.23020002</v>
      </c>
      <c r="G19" s="233">
        <v>867148061.52800012</v>
      </c>
      <c r="H19" s="234">
        <f t="shared" si="0"/>
        <v>977521567.75820017</v>
      </c>
    </row>
    <row r="20" spans="1:8" s="3" customFormat="1">
      <c r="A20" s="216">
        <v>5.0999999999999996</v>
      </c>
      <c r="B20" s="218" t="s">
        <v>288</v>
      </c>
      <c r="C20" s="233">
        <v>2831425.46</v>
      </c>
      <c r="D20" s="233">
        <v>10561316.1855</v>
      </c>
      <c r="E20" s="256">
        <f t="shared" si="1"/>
        <v>13392741.645500001</v>
      </c>
      <c r="F20" s="233">
        <v>6927601.0000999998</v>
      </c>
      <c r="G20" s="233">
        <v>19367898.7436</v>
      </c>
      <c r="H20" s="234">
        <f t="shared" si="0"/>
        <v>26295499.743699998</v>
      </c>
    </row>
    <row r="21" spans="1:8" s="3" customFormat="1">
      <c r="A21" s="216">
        <v>5.2</v>
      </c>
      <c r="B21" s="218" t="s">
        <v>289</v>
      </c>
      <c r="C21" s="233"/>
      <c r="D21" s="233"/>
      <c r="E21" s="256">
        <f t="shared" si="1"/>
        <v>0</v>
      </c>
      <c r="F21" s="233"/>
      <c r="G21" s="233"/>
      <c r="H21" s="234">
        <f t="shared" si="0"/>
        <v>0</v>
      </c>
    </row>
    <row r="22" spans="1:8" s="3" customFormat="1">
      <c r="A22" s="216">
        <v>5.3</v>
      </c>
      <c r="B22" s="218" t="s">
        <v>290</v>
      </c>
      <c r="C22" s="233">
        <v>38789450.450000003</v>
      </c>
      <c r="D22" s="233">
        <v>968551743.07419991</v>
      </c>
      <c r="E22" s="256">
        <f t="shared" si="1"/>
        <v>1007341193.5242</v>
      </c>
      <c r="F22" s="233">
        <v>39855876.450100005</v>
      </c>
      <c r="G22" s="233">
        <v>803546491.07160008</v>
      </c>
      <c r="H22" s="234">
        <f t="shared" si="0"/>
        <v>843402367.52170014</v>
      </c>
    </row>
    <row r="23" spans="1:8" s="3" customFormat="1">
      <c r="A23" s="216" t="s">
        <v>291</v>
      </c>
      <c r="B23" s="219" t="s">
        <v>292</v>
      </c>
      <c r="C23" s="233">
        <v>0</v>
      </c>
      <c r="D23" s="233">
        <v>63345407.1536</v>
      </c>
      <c r="E23" s="256">
        <f t="shared" si="1"/>
        <v>63345407.1536</v>
      </c>
      <c r="F23" s="233">
        <v>0</v>
      </c>
      <c r="G23" s="233">
        <v>83340552.203400001</v>
      </c>
      <c r="H23" s="234">
        <f t="shared" si="0"/>
        <v>83340552.203400001</v>
      </c>
    </row>
    <row r="24" spans="1:8" s="3" customFormat="1">
      <c r="A24" s="216" t="s">
        <v>293</v>
      </c>
      <c r="B24" s="219" t="s">
        <v>294</v>
      </c>
      <c r="C24" s="233">
        <v>3855876.45</v>
      </c>
      <c r="D24" s="233">
        <v>855698995.59080005</v>
      </c>
      <c r="E24" s="256">
        <f t="shared" si="1"/>
        <v>859554872.04080009</v>
      </c>
      <c r="F24" s="233">
        <v>3855876.45</v>
      </c>
      <c r="G24" s="233">
        <v>661941678.89330006</v>
      </c>
      <c r="H24" s="234">
        <f t="shared" si="0"/>
        <v>665797555.3433001</v>
      </c>
    </row>
    <row r="25" spans="1:8" s="3" customFormat="1">
      <c r="A25" s="216" t="s">
        <v>295</v>
      </c>
      <c r="B25" s="220" t="s">
        <v>296</v>
      </c>
      <c r="C25" s="233">
        <v>0</v>
      </c>
      <c r="D25" s="233">
        <v>3495291.8</v>
      </c>
      <c r="E25" s="256">
        <f t="shared" si="1"/>
        <v>3495291.8</v>
      </c>
      <c r="F25" s="233">
        <v>0</v>
      </c>
      <c r="G25" s="233">
        <v>5041080</v>
      </c>
      <c r="H25" s="234">
        <f t="shared" si="0"/>
        <v>5041080</v>
      </c>
    </row>
    <row r="26" spans="1:8" s="3" customFormat="1">
      <c r="A26" s="216" t="s">
        <v>297</v>
      </c>
      <c r="B26" s="219" t="s">
        <v>298</v>
      </c>
      <c r="C26" s="233">
        <v>0</v>
      </c>
      <c r="D26" s="233">
        <v>36822208.998899996</v>
      </c>
      <c r="E26" s="256">
        <f t="shared" si="1"/>
        <v>36822208.998899996</v>
      </c>
      <c r="F26" s="233">
        <v>0</v>
      </c>
      <c r="G26" s="233">
        <v>42712381.525300004</v>
      </c>
      <c r="H26" s="234">
        <f t="shared" si="0"/>
        <v>42712381.525300004</v>
      </c>
    </row>
    <row r="27" spans="1:8" s="3" customFormat="1">
      <c r="A27" s="216" t="s">
        <v>299</v>
      </c>
      <c r="B27" s="219" t="s">
        <v>300</v>
      </c>
      <c r="C27" s="233">
        <v>34933574</v>
      </c>
      <c r="D27" s="233">
        <v>9189839.5308999997</v>
      </c>
      <c r="E27" s="256">
        <f t="shared" si="1"/>
        <v>44123413.530900002</v>
      </c>
      <c r="F27" s="233">
        <v>36000000.000100002</v>
      </c>
      <c r="G27" s="233">
        <v>10510798.4496</v>
      </c>
      <c r="H27" s="234">
        <f t="shared" si="0"/>
        <v>46510798.449699998</v>
      </c>
    </row>
    <row r="28" spans="1:8" s="3" customFormat="1">
      <c r="A28" s="216">
        <v>5.4</v>
      </c>
      <c r="B28" s="218" t="s">
        <v>301</v>
      </c>
      <c r="C28" s="233">
        <v>2308546.02</v>
      </c>
      <c r="D28" s="233">
        <v>17359745.960700002</v>
      </c>
      <c r="E28" s="256">
        <f t="shared" si="1"/>
        <v>19668291.980700001</v>
      </c>
      <c r="F28" s="233">
        <v>2180910.02</v>
      </c>
      <c r="G28" s="233">
        <v>25902456.406199999</v>
      </c>
      <c r="H28" s="234">
        <f t="shared" si="0"/>
        <v>28083366.426199999</v>
      </c>
    </row>
    <row r="29" spans="1:8" s="3" customFormat="1">
      <c r="A29" s="216">
        <v>5.5</v>
      </c>
      <c r="B29" s="218" t="s">
        <v>302</v>
      </c>
      <c r="C29" s="233">
        <v>0.05</v>
      </c>
      <c r="D29" s="233">
        <v>25.282699999999998</v>
      </c>
      <c r="E29" s="256">
        <f t="shared" si="1"/>
        <v>25.332699999999999</v>
      </c>
      <c r="F29" s="233">
        <v>0.06</v>
      </c>
      <c r="G29" s="233">
        <v>15.276</v>
      </c>
      <c r="H29" s="234">
        <f t="shared" si="0"/>
        <v>15.336</v>
      </c>
    </row>
    <row r="30" spans="1:8" s="3" customFormat="1">
      <c r="A30" s="216">
        <v>5.6</v>
      </c>
      <c r="B30" s="218" t="s">
        <v>303</v>
      </c>
      <c r="C30" s="233"/>
      <c r="D30" s="233"/>
      <c r="E30" s="256">
        <f t="shared" si="1"/>
        <v>0</v>
      </c>
      <c r="F30" s="233"/>
      <c r="G30" s="233"/>
      <c r="H30" s="234">
        <f t="shared" si="0"/>
        <v>0</v>
      </c>
    </row>
    <row r="31" spans="1:8" s="3" customFormat="1">
      <c r="A31" s="216">
        <v>5.7</v>
      </c>
      <c r="B31" s="218" t="s">
        <v>304</v>
      </c>
      <c r="C31" s="233">
        <v>28024849.77</v>
      </c>
      <c r="D31" s="233">
        <v>19125340.761800002</v>
      </c>
      <c r="E31" s="256">
        <f t="shared" si="1"/>
        <v>47150190.531800002</v>
      </c>
      <c r="F31" s="233">
        <v>61409118.700000003</v>
      </c>
      <c r="G31" s="233">
        <v>18331200.0306</v>
      </c>
      <c r="H31" s="234">
        <f t="shared" si="0"/>
        <v>79740318.730599999</v>
      </c>
    </row>
    <row r="32" spans="1:8" s="3" customFormat="1">
      <c r="A32" s="216">
        <v>6</v>
      </c>
      <c r="B32" s="217" t="s">
        <v>305</v>
      </c>
      <c r="C32" s="233">
        <v>22732664.399999999</v>
      </c>
      <c r="D32" s="233">
        <v>176497116.53490001</v>
      </c>
      <c r="E32" s="256">
        <f t="shared" si="1"/>
        <v>199229780.93490002</v>
      </c>
      <c r="F32" s="233">
        <v>126936722.77000001</v>
      </c>
      <c r="G32" s="233">
        <v>378821996.963</v>
      </c>
      <c r="H32" s="234">
        <f t="shared" si="0"/>
        <v>505758719.73300004</v>
      </c>
    </row>
    <row r="33" spans="1:8" s="3" customFormat="1" ht="26">
      <c r="A33" s="216">
        <v>6.1</v>
      </c>
      <c r="B33" s="218" t="s">
        <v>368</v>
      </c>
      <c r="C33" s="233">
        <v>16784060.199999999</v>
      </c>
      <c r="D33" s="233">
        <v>82950190.098499998</v>
      </c>
      <c r="E33" s="256">
        <f t="shared" si="1"/>
        <v>99734250.298500001</v>
      </c>
      <c r="F33" s="233">
        <v>66633875.770000003</v>
      </c>
      <c r="G33" s="233">
        <v>183396595.28</v>
      </c>
      <c r="H33" s="234">
        <f t="shared" si="0"/>
        <v>250030471.05000001</v>
      </c>
    </row>
    <row r="34" spans="1:8" s="3" customFormat="1" ht="26">
      <c r="A34" s="216">
        <v>6.2</v>
      </c>
      <c r="B34" s="218" t="s">
        <v>306</v>
      </c>
      <c r="C34" s="233">
        <v>5948604.2000000002</v>
      </c>
      <c r="D34" s="233">
        <v>93546926.436399996</v>
      </c>
      <c r="E34" s="256">
        <f t="shared" si="1"/>
        <v>99495530.636399999</v>
      </c>
      <c r="F34" s="233">
        <v>60302847</v>
      </c>
      <c r="G34" s="233">
        <v>195425401.683</v>
      </c>
      <c r="H34" s="234">
        <f t="shared" si="0"/>
        <v>255728248.683</v>
      </c>
    </row>
    <row r="35" spans="1:8" s="3" customFormat="1" ht="26">
      <c r="A35" s="216">
        <v>6.3</v>
      </c>
      <c r="B35" s="218" t="s">
        <v>307</v>
      </c>
      <c r="C35" s="233"/>
      <c r="D35" s="233"/>
      <c r="E35" s="256">
        <f t="shared" si="1"/>
        <v>0</v>
      </c>
      <c r="F35" s="233"/>
      <c r="G35" s="233"/>
      <c r="H35" s="234">
        <f t="shared" si="0"/>
        <v>0</v>
      </c>
    </row>
    <row r="36" spans="1:8" s="3" customFormat="1">
      <c r="A36" s="216">
        <v>6.4</v>
      </c>
      <c r="B36" s="218" t="s">
        <v>308</v>
      </c>
      <c r="C36" s="233"/>
      <c r="D36" s="233"/>
      <c r="E36" s="256">
        <f t="shared" si="1"/>
        <v>0</v>
      </c>
      <c r="F36" s="233"/>
      <c r="G36" s="233"/>
      <c r="H36" s="234">
        <f t="shared" si="0"/>
        <v>0</v>
      </c>
    </row>
    <row r="37" spans="1:8" s="3" customFormat="1">
      <c r="A37" s="216">
        <v>6.5</v>
      </c>
      <c r="B37" s="218" t="s">
        <v>309</v>
      </c>
      <c r="C37" s="233"/>
      <c r="D37" s="233"/>
      <c r="E37" s="256">
        <f t="shared" si="1"/>
        <v>0</v>
      </c>
      <c r="F37" s="233"/>
      <c r="G37" s="233"/>
      <c r="H37" s="234">
        <f t="shared" si="0"/>
        <v>0</v>
      </c>
    </row>
    <row r="38" spans="1:8" s="3" customFormat="1" ht="26">
      <c r="A38" s="216">
        <v>6.6</v>
      </c>
      <c r="B38" s="218" t="s">
        <v>310</v>
      </c>
      <c r="C38" s="233"/>
      <c r="D38" s="233"/>
      <c r="E38" s="256">
        <f t="shared" si="1"/>
        <v>0</v>
      </c>
      <c r="F38" s="233"/>
      <c r="G38" s="233"/>
      <c r="H38" s="234">
        <f t="shared" si="0"/>
        <v>0</v>
      </c>
    </row>
    <row r="39" spans="1:8" s="3" customFormat="1" ht="26">
      <c r="A39" s="216">
        <v>6.7</v>
      </c>
      <c r="B39" s="218" t="s">
        <v>311</v>
      </c>
      <c r="C39" s="233"/>
      <c r="D39" s="233"/>
      <c r="E39" s="256">
        <f t="shared" si="1"/>
        <v>0</v>
      </c>
      <c r="F39" s="233"/>
      <c r="G39" s="233"/>
      <c r="H39" s="234">
        <f t="shared" si="0"/>
        <v>0</v>
      </c>
    </row>
    <row r="40" spans="1:8" s="3" customFormat="1">
      <c r="A40" s="216">
        <v>7</v>
      </c>
      <c r="B40" s="217" t="s">
        <v>312</v>
      </c>
      <c r="C40" s="233">
        <v>2306391.2999999998</v>
      </c>
      <c r="D40" s="233">
        <v>4449342.2407999998</v>
      </c>
      <c r="E40" s="256">
        <f t="shared" si="1"/>
        <v>6755733.5407999996</v>
      </c>
      <c r="F40" s="233">
        <v>483289.33</v>
      </c>
      <c r="G40" s="233">
        <v>10000307.748</v>
      </c>
      <c r="H40" s="234">
        <f t="shared" si="0"/>
        <v>10483597.078</v>
      </c>
    </row>
    <row r="41" spans="1:8" s="3" customFormat="1" ht="26">
      <c r="A41" s="216">
        <v>7.1</v>
      </c>
      <c r="B41" s="218" t="s">
        <v>313</v>
      </c>
      <c r="C41" s="233">
        <v>543799.43999999994</v>
      </c>
      <c r="D41" s="233">
        <v>0</v>
      </c>
      <c r="E41" s="256">
        <f t="shared" si="1"/>
        <v>543799.43999999994</v>
      </c>
      <c r="F41" s="233"/>
      <c r="G41" s="233"/>
      <c r="H41" s="234">
        <f t="shared" si="0"/>
        <v>0</v>
      </c>
    </row>
    <row r="42" spans="1:8" s="3" customFormat="1" ht="26">
      <c r="A42" s="216">
        <v>7.2</v>
      </c>
      <c r="B42" s="218" t="s">
        <v>314</v>
      </c>
      <c r="C42" s="233">
        <v>429825.43</v>
      </c>
      <c r="D42" s="233">
        <v>825311.13379999995</v>
      </c>
      <c r="E42" s="256">
        <f t="shared" si="1"/>
        <v>1255136.5637999999</v>
      </c>
      <c r="F42" s="233">
        <v>209232.79</v>
      </c>
      <c r="G42" s="233">
        <v>243306.62409999999</v>
      </c>
      <c r="H42" s="234">
        <f t="shared" si="0"/>
        <v>452539.41409999999</v>
      </c>
    </row>
    <row r="43" spans="1:8" s="3" customFormat="1" ht="26">
      <c r="A43" s="216">
        <v>7.3</v>
      </c>
      <c r="B43" s="218" t="s">
        <v>315</v>
      </c>
      <c r="C43" s="233">
        <v>1206204.1100000001</v>
      </c>
      <c r="D43" s="233">
        <v>0</v>
      </c>
      <c r="E43" s="256">
        <f t="shared" si="1"/>
        <v>1206204.1100000001</v>
      </c>
      <c r="F43" s="233">
        <v>69960.12</v>
      </c>
      <c r="G43" s="233">
        <v>7857191.6578000002</v>
      </c>
      <c r="H43" s="234">
        <f t="shared" si="0"/>
        <v>7927151.7778000003</v>
      </c>
    </row>
    <row r="44" spans="1:8" s="3" customFormat="1" ht="26">
      <c r="A44" s="216">
        <v>7.4</v>
      </c>
      <c r="B44" s="218" t="s">
        <v>316</v>
      </c>
      <c r="C44" s="233">
        <v>1100187.19</v>
      </c>
      <c r="D44" s="233">
        <v>4449342.2407999998</v>
      </c>
      <c r="E44" s="256">
        <f t="shared" si="1"/>
        <v>5549529.4308000002</v>
      </c>
      <c r="F44" s="233">
        <v>413329.21</v>
      </c>
      <c r="G44" s="233">
        <v>2143116.0902</v>
      </c>
      <c r="H44" s="234">
        <f t="shared" si="0"/>
        <v>2556445.3001999999</v>
      </c>
    </row>
    <row r="45" spans="1:8" s="3" customFormat="1">
      <c r="A45" s="216">
        <v>8</v>
      </c>
      <c r="B45" s="217" t="s">
        <v>317</v>
      </c>
      <c r="C45" s="233">
        <v>0</v>
      </c>
      <c r="D45" s="233">
        <v>0</v>
      </c>
      <c r="E45" s="256">
        <f t="shared" si="1"/>
        <v>0</v>
      </c>
      <c r="F45" s="233">
        <v>0</v>
      </c>
      <c r="G45" s="233">
        <v>0</v>
      </c>
      <c r="H45" s="234">
        <f t="shared" si="0"/>
        <v>0</v>
      </c>
    </row>
    <row r="46" spans="1:8" s="3" customFormat="1">
      <c r="A46" s="216">
        <v>8.1</v>
      </c>
      <c r="B46" s="218" t="s">
        <v>318</v>
      </c>
      <c r="C46" s="233"/>
      <c r="D46" s="233"/>
      <c r="E46" s="256">
        <f t="shared" si="1"/>
        <v>0</v>
      </c>
      <c r="F46" s="233"/>
      <c r="G46" s="233"/>
      <c r="H46" s="234">
        <f t="shared" si="0"/>
        <v>0</v>
      </c>
    </row>
    <row r="47" spans="1:8" s="3" customFormat="1">
      <c r="A47" s="216">
        <v>8.1999999999999993</v>
      </c>
      <c r="B47" s="218" t="s">
        <v>319</v>
      </c>
      <c r="C47" s="233"/>
      <c r="D47" s="233"/>
      <c r="E47" s="256">
        <f t="shared" si="1"/>
        <v>0</v>
      </c>
      <c r="F47" s="233"/>
      <c r="G47" s="233"/>
      <c r="H47" s="234">
        <f t="shared" si="0"/>
        <v>0</v>
      </c>
    </row>
    <row r="48" spans="1:8" s="3" customFormat="1">
      <c r="A48" s="216">
        <v>8.3000000000000007</v>
      </c>
      <c r="B48" s="218" t="s">
        <v>320</v>
      </c>
      <c r="C48" s="233"/>
      <c r="D48" s="233"/>
      <c r="E48" s="256">
        <f t="shared" si="1"/>
        <v>0</v>
      </c>
      <c r="F48" s="233"/>
      <c r="G48" s="233"/>
      <c r="H48" s="234">
        <f t="shared" si="0"/>
        <v>0</v>
      </c>
    </row>
    <row r="49" spans="1:8" s="3" customFormat="1">
      <c r="A49" s="216">
        <v>8.4</v>
      </c>
      <c r="B49" s="218" t="s">
        <v>321</v>
      </c>
      <c r="C49" s="233"/>
      <c r="D49" s="233"/>
      <c r="E49" s="256">
        <f t="shared" si="1"/>
        <v>0</v>
      </c>
      <c r="F49" s="233"/>
      <c r="G49" s="233"/>
      <c r="H49" s="234">
        <f t="shared" si="0"/>
        <v>0</v>
      </c>
    </row>
    <row r="50" spans="1:8" s="3" customFormat="1">
      <c r="A50" s="216">
        <v>8.5</v>
      </c>
      <c r="B50" s="218" t="s">
        <v>322</v>
      </c>
      <c r="C50" s="591"/>
      <c r="D50" s="591"/>
      <c r="E50" s="256">
        <f t="shared" si="1"/>
        <v>0</v>
      </c>
      <c r="F50" s="233"/>
      <c r="G50" s="233"/>
      <c r="H50" s="234">
        <f t="shared" si="0"/>
        <v>0</v>
      </c>
    </row>
    <row r="51" spans="1:8" s="3" customFormat="1">
      <c r="A51" s="216">
        <v>8.6</v>
      </c>
      <c r="B51" s="218" t="s">
        <v>323</v>
      </c>
      <c r="C51" s="591"/>
      <c r="D51" s="591"/>
      <c r="E51" s="256">
        <f t="shared" si="1"/>
        <v>0</v>
      </c>
      <c r="F51" s="233"/>
      <c r="G51" s="233"/>
      <c r="H51" s="234">
        <f t="shared" si="0"/>
        <v>0</v>
      </c>
    </row>
    <row r="52" spans="1:8" s="3" customFormat="1">
      <c r="A52" s="216">
        <v>8.6999999999999993</v>
      </c>
      <c r="B52" s="218" t="s">
        <v>324</v>
      </c>
      <c r="C52" s="591"/>
      <c r="D52" s="591"/>
      <c r="E52" s="256">
        <f t="shared" si="1"/>
        <v>0</v>
      </c>
      <c r="F52" s="233"/>
      <c r="G52" s="233"/>
      <c r="H52" s="234">
        <f t="shared" si="0"/>
        <v>0</v>
      </c>
    </row>
    <row r="53" spans="1:8" s="3" customFormat="1" ht="15" thickBot="1">
      <c r="A53" s="221">
        <v>9</v>
      </c>
      <c r="B53" s="222" t="s">
        <v>325</v>
      </c>
      <c r="C53" s="257"/>
      <c r="D53" s="257"/>
      <c r="E53" s="258">
        <f t="shared" si="1"/>
        <v>0</v>
      </c>
      <c r="F53" s="257"/>
      <c r="G53" s="257"/>
      <c r="H53" s="240">
        <f t="shared" si="0"/>
        <v>0</v>
      </c>
    </row>
  </sheetData>
  <mergeCells count="4">
    <mergeCell ref="A5:A6"/>
    <mergeCell ref="B5:B6"/>
    <mergeCell ref="C5:E5"/>
    <mergeCell ref="F5:H5"/>
  </mergeCells>
  <pageMargins left="0.25" right="0.25" top="0.75" bottom="0.75" header="0.3" footer="0.3"/>
  <pageSetup paperSize="9" scale="6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activeCell="B28" sqref="B28"/>
    </sheetView>
  </sheetViews>
  <sheetFormatPr defaultColWidth="9.1796875" defaultRowHeight="13"/>
  <cols>
    <col min="1" max="1" width="9.54296875" style="2" bestFit="1" customWidth="1"/>
    <col min="2" max="2" width="93.54296875" style="2" customWidth="1"/>
    <col min="3" max="4" width="12.81640625" style="2" customWidth="1"/>
    <col min="5" max="7" width="10.90625" style="13" bestFit="1" customWidth="1"/>
    <col min="8" max="11" width="9.81640625" style="13" customWidth="1"/>
    <col min="12" max="16384" width="9.1796875" style="13"/>
  </cols>
  <sheetData>
    <row r="1" spans="1:8" ht="13.5">
      <c r="A1" s="17" t="s">
        <v>188</v>
      </c>
      <c r="B1" s="16" t="str">
        <f>Info!C2</f>
        <v>სს " პაშა ბანკი საქართველო"</v>
      </c>
      <c r="C1" s="16"/>
      <c r="D1" s="335"/>
    </row>
    <row r="2" spans="1:8" ht="13.5">
      <c r="A2" s="17" t="s">
        <v>189</v>
      </c>
      <c r="B2" s="453">
        <f>'1. key ratios'!B2</f>
        <v>44377</v>
      </c>
      <c r="C2" s="29"/>
      <c r="D2" s="18"/>
      <c r="E2" s="12"/>
      <c r="F2" s="12"/>
      <c r="G2" s="12"/>
      <c r="H2" s="12"/>
    </row>
    <row r="3" spans="1:8" ht="13.5">
      <c r="A3" s="17"/>
      <c r="B3" s="16"/>
      <c r="C3" s="29"/>
      <c r="D3" s="18"/>
      <c r="E3" s="12"/>
      <c r="F3" s="12"/>
      <c r="G3" s="12"/>
      <c r="H3" s="12"/>
    </row>
    <row r="4" spans="1:8" ht="15" customHeight="1" thickBot="1">
      <c r="A4" s="210" t="s">
        <v>332</v>
      </c>
      <c r="B4" s="211" t="s">
        <v>187</v>
      </c>
      <c r="C4" s="212" t="s">
        <v>93</v>
      </c>
    </row>
    <row r="5" spans="1:8" ht="15" customHeight="1">
      <c r="A5" s="575" t="s">
        <v>26</v>
      </c>
      <c r="B5" s="576"/>
      <c r="C5" s="454" t="str">
        <f>INT((MONTH($B$2))/3)&amp;"Q"&amp;"-"&amp;YEAR($B$2)</f>
        <v>2Q-2021</v>
      </c>
      <c r="D5" s="454" t="str">
        <f>IF(INT(MONTH($B$2))=3, "4"&amp;"Q"&amp;"-"&amp;YEAR($B$2)-1, IF(INT(MONTH($B$2))=6, "1"&amp;"Q"&amp;"-"&amp;YEAR($B$2), IF(INT(MONTH($B$2))=9, "2"&amp;"Q"&amp;"-"&amp;YEAR($B$2),IF(INT(MONTH($B$2))=12, "3"&amp;"Q"&amp;"-"&amp;YEAR($B$2), 0))))</f>
        <v>1Q-2021</v>
      </c>
      <c r="E5" s="454" t="str">
        <f>IF(INT(MONTH($B$2))=3, "3"&amp;"Q"&amp;"-"&amp;YEAR($B$2)-1, IF(INT(MONTH($B$2))=6, "4"&amp;"Q"&amp;"-"&amp;YEAR($B$2)-1, IF(INT(MONTH($B$2))=9, "1"&amp;"Q"&amp;"-"&amp;YEAR($B$2),IF(INT(MONTH($B$2))=12, "2"&amp;"Q"&amp;"-"&amp;YEAR($B$2), 0))))</f>
        <v>4Q-2020</v>
      </c>
      <c r="F5" s="454" t="str">
        <f>IF(INT(MONTH($B$2))=3, "2"&amp;"Q"&amp;"-"&amp;YEAR($B$2)-1, IF(INT(MONTH($B$2))=6, "3"&amp;"Q"&amp;"-"&amp;YEAR($B$2)-1, IF(INT(MONTH($B$2))=9, "4"&amp;"Q"&amp;"-"&amp;YEAR($B$2)-1,IF(INT(MONTH($B$2))=12, "1"&amp;"Q"&amp;"-"&amp;YEAR($B$2), 0))))</f>
        <v>3Q-2020</v>
      </c>
      <c r="G5" s="455" t="str">
        <f>IF(INT(MONTH($B$2))=3, "1"&amp;"Q"&amp;"-"&amp;YEAR($B$2)-1, IF(INT(MONTH($B$2))=6, "2"&amp;"Q"&amp;"-"&amp;YEAR($B$2)-1, IF(INT(MONTH($B$2))=9, "3"&amp;"Q"&amp;"-"&amp;YEAR($B$2)-1,IF(INT(MONTH($B$2))=12, "4"&amp;"Q"&amp;"-"&amp;YEAR($B$2)-1, 0))))</f>
        <v>2Q-2020</v>
      </c>
    </row>
    <row r="6" spans="1:8" ht="15" customHeight="1">
      <c r="A6" s="377">
        <v>1</v>
      </c>
      <c r="B6" s="437" t="s">
        <v>192</v>
      </c>
      <c r="C6" s="378">
        <f>C7+C9+C10</f>
        <v>397624044.26947999</v>
      </c>
      <c r="D6" s="440">
        <f>D7+D9+D10</f>
        <v>454932912.91016006</v>
      </c>
      <c r="E6" s="379">
        <f>E7+E9+E10</f>
        <v>465140020.90193999</v>
      </c>
      <c r="F6" s="378">
        <f>F7+F9+F10</f>
        <v>452099062.64194</v>
      </c>
      <c r="G6" s="441">
        <f>G7+G9+G10</f>
        <v>465517471.074</v>
      </c>
    </row>
    <row r="7" spans="1:8" ht="15" customHeight="1">
      <c r="A7" s="377">
        <v>1.1000000000000001</v>
      </c>
      <c r="B7" s="380" t="s">
        <v>477</v>
      </c>
      <c r="C7" s="381">
        <v>376228699.03288001</v>
      </c>
      <c r="D7" s="442">
        <v>431595906.86286002</v>
      </c>
      <c r="E7" s="381">
        <v>438451284.67522997</v>
      </c>
      <c r="F7" s="381">
        <v>425090807.98057002</v>
      </c>
      <c r="G7" s="443">
        <v>432632466.94865</v>
      </c>
    </row>
    <row r="8" spans="1:8" ht="26">
      <c r="A8" s="377" t="s">
        <v>252</v>
      </c>
      <c r="B8" s="382" t="s">
        <v>326</v>
      </c>
      <c r="C8" s="381"/>
      <c r="D8" s="442"/>
      <c r="E8" s="381"/>
      <c r="F8" s="381"/>
      <c r="G8" s="443"/>
    </row>
    <row r="9" spans="1:8" ht="15" customHeight="1">
      <c r="A9" s="377">
        <v>1.2</v>
      </c>
      <c r="B9" s="380" t="s">
        <v>22</v>
      </c>
      <c r="C9" s="381">
        <v>19400660.230599999</v>
      </c>
      <c r="D9" s="442">
        <v>21019210.941599999</v>
      </c>
      <c r="E9" s="381">
        <v>23747861.381210003</v>
      </c>
      <c r="F9" s="381">
        <v>23291409.785269998</v>
      </c>
      <c r="G9" s="443">
        <v>27884394.704350002</v>
      </c>
    </row>
    <row r="10" spans="1:8" ht="15" customHeight="1">
      <c r="A10" s="377">
        <v>1.3</v>
      </c>
      <c r="B10" s="438" t="s">
        <v>77</v>
      </c>
      <c r="C10" s="383">
        <v>1994685.0060000001</v>
      </c>
      <c r="D10" s="442">
        <v>2317795.1057000002</v>
      </c>
      <c r="E10" s="383">
        <v>2940874.8454999998</v>
      </c>
      <c r="F10" s="381">
        <v>3716844.8761</v>
      </c>
      <c r="G10" s="444">
        <v>5000609.4210000001</v>
      </c>
    </row>
    <row r="11" spans="1:8" ht="15" customHeight="1">
      <c r="A11" s="377">
        <v>2</v>
      </c>
      <c r="B11" s="437" t="s">
        <v>193</v>
      </c>
      <c r="C11" s="381">
        <v>5610520.3331548879</v>
      </c>
      <c r="D11" s="442">
        <v>6614035.9425159683</v>
      </c>
      <c r="E11" s="381">
        <v>5169737.4267999995</v>
      </c>
      <c r="F11" s="381">
        <v>3825396.0950000002</v>
      </c>
      <c r="G11" s="443">
        <v>3642960.0236999998</v>
      </c>
    </row>
    <row r="12" spans="1:8" ht="15" customHeight="1">
      <c r="A12" s="394">
        <v>3</v>
      </c>
      <c r="B12" s="439" t="s">
        <v>191</v>
      </c>
      <c r="C12" s="383">
        <v>41604452.331200004</v>
      </c>
      <c r="D12" s="442">
        <v>41604452.331200004</v>
      </c>
      <c r="E12" s="383">
        <v>41604452.325000003</v>
      </c>
      <c r="F12" s="381">
        <v>37496518.306199998</v>
      </c>
      <c r="G12" s="444">
        <v>37496518.306199998</v>
      </c>
    </row>
    <row r="13" spans="1:8" ht="15" customHeight="1" thickBot="1">
      <c r="A13" s="132">
        <v>4</v>
      </c>
      <c r="B13" s="447" t="s">
        <v>253</v>
      </c>
      <c r="C13" s="259">
        <f>C6+C11+C12</f>
        <v>444839016.93383491</v>
      </c>
      <c r="D13" s="445">
        <f>D6+D11+D12</f>
        <v>503151401.18387604</v>
      </c>
      <c r="E13" s="260">
        <f>E6+E11+E12</f>
        <v>511914210.65373999</v>
      </c>
      <c r="F13" s="259">
        <f>F6+F11+F12</f>
        <v>493420977.04314005</v>
      </c>
      <c r="G13" s="446">
        <f>G6+G11+G12</f>
        <v>506656949.40390003</v>
      </c>
    </row>
    <row r="14" spans="1:8">
      <c r="B14" s="23"/>
    </row>
    <row r="15" spans="1:8" ht="26">
      <c r="B15" s="105" t="s">
        <v>478</v>
      </c>
    </row>
    <row r="16" spans="1:8">
      <c r="B16" s="105"/>
    </row>
    <row r="17" spans="2:2">
      <c r="B17" s="105"/>
    </row>
    <row r="18" spans="2:2">
      <c r="B18" s="105"/>
    </row>
  </sheetData>
  <pageMargins left="0.7" right="0.7" top="0.75" bottom="0.75" header="0.3" footer="0.3"/>
  <pageSetup paperSize="9"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showGridLines="0" zoomScale="80" zoomScaleNormal="80" workbookViewId="0">
      <pane xSplit="1" ySplit="4" topLeftCell="B14" activePane="bottomRight" state="frozen"/>
      <selection pane="topRight" activeCell="B1" sqref="B1"/>
      <selection pane="bottomLeft" activeCell="A4" sqref="A4"/>
      <selection pane="bottomRight" activeCell="C38" sqref="C38"/>
    </sheetView>
  </sheetViews>
  <sheetFormatPr defaultRowHeight="14.5"/>
  <cols>
    <col min="1" max="1" width="9.54296875" style="2" bestFit="1" customWidth="1"/>
    <col min="2" max="2" width="58.81640625" style="2" customWidth="1"/>
    <col min="3" max="3" width="57.1796875" style="2" bestFit="1" customWidth="1"/>
  </cols>
  <sheetData>
    <row r="1" spans="1:8">
      <c r="A1" s="2" t="s">
        <v>188</v>
      </c>
      <c r="B1" s="335" t="str">
        <f>Info!C2</f>
        <v>სს " პაშა ბანკი საქართველო"</v>
      </c>
    </row>
    <row r="2" spans="1:8">
      <c r="A2" s="2" t="s">
        <v>189</v>
      </c>
      <c r="B2" s="471">
        <f>'1. key ratios'!B2</f>
        <v>44377</v>
      </c>
    </row>
    <row r="4" spans="1:8" ht="25.5" customHeight="1" thickBot="1">
      <c r="A4" s="223" t="s">
        <v>333</v>
      </c>
      <c r="B4" s="61" t="s">
        <v>149</v>
      </c>
      <c r="C4" s="14"/>
    </row>
    <row r="5" spans="1:8">
      <c r="A5" s="11"/>
      <c r="B5" s="432" t="s">
        <v>150</v>
      </c>
      <c r="C5" s="451" t="s">
        <v>492</v>
      </c>
    </row>
    <row r="6" spans="1:8" ht="15">
      <c r="A6" s="15">
        <v>1</v>
      </c>
      <c r="B6" s="661" t="s">
        <v>716</v>
      </c>
      <c r="C6" s="662" t="s">
        <v>717</v>
      </c>
    </row>
    <row r="7" spans="1:8" ht="15">
      <c r="A7" s="15">
        <v>2</v>
      </c>
      <c r="B7" s="661" t="s">
        <v>718</v>
      </c>
      <c r="C7" s="662" t="s">
        <v>719</v>
      </c>
    </row>
    <row r="8" spans="1:8" ht="15">
      <c r="A8" s="15">
        <v>3</v>
      </c>
      <c r="B8" s="661" t="s">
        <v>720</v>
      </c>
      <c r="C8" s="662" t="s">
        <v>719</v>
      </c>
    </row>
    <row r="9" spans="1:8" ht="15">
      <c r="A9" s="15">
        <v>4</v>
      </c>
      <c r="B9" s="661" t="s">
        <v>721</v>
      </c>
      <c r="C9" s="662" t="s">
        <v>717</v>
      </c>
    </row>
    <row r="10" spans="1:8" ht="15">
      <c r="A10" s="15">
        <v>5</v>
      </c>
      <c r="B10" s="661" t="s">
        <v>714</v>
      </c>
      <c r="C10" s="662" t="s">
        <v>722</v>
      </c>
    </row>
    <row r="11" spans="1:8" ht="15">
      <c r="A11" s="15">
        <v>6</v>
      </c>
      <c r="B11" s="577"/>
      <c r="C11" s="578"/>
    </row>
    <row r="12" spans="1:8" ht="15">
      <c r="A12" s="15">
        <v>7</v>
      </c>
      <c r="B12" s="62"/>
      <c r="C12" s="448"/>
      <c r="H12" s="4"/>
    </row>
    <row r="13" spans="1:8" ht="15">
      <c r="A13" s="15">
        <v>8</v>
      </c>
      <c r="B13" s="62"/>
      <c r="C13" s="448"/>
    </row>
    <row r="14" spans="1:8" ht="15">
      <c r="A14" s="15">
        <v>9</v>
      </c>
      <c r="B14" s="62"/>
      <c r="C14" s="448"/>
    </row>
    <row r="15" spans="1:8" ht="15">
      <c r="A15" s="15">
        <v>10</v>
      </c>
      <c r="B15" s="62"/>
      <c r="C15" s="448"/>
    </row>
    <row r="16" spans="1:8" ht="15">
      <c r="A16" s="15"/>
      <c r="B16" s="742"/>
      <c r="C16" s="743"/>
    </row>
    <row r="17" spans="1:4" ht="27">
      <c r="A17" s="15"/>
      <c r="B17" s="433" t="s">
        <v>151</v>
      </c>
      <c r="C17" s="452" t="s">
        <v>493</v>
      </c>
    </row>
    <row r="18" spans="1:4">
      <c r="A18" s="15">
        <v>1</v>
      </c>
      <c r="B18" s="663" t="s">
        <v>732</v>
      </c>
      <c r="C18" s="664" t="s">
        <v>723</v>
      </c>
    </row>
    <row r="19" spans="1:4">
      <c r="A19" s="15">
        <v>2</v>
      </c>
      <c r="B19" s="663" t="s">
        <v>724</v>
      </c>
      <c r="C19" s="664" t="s">
        <v>725</v>
      </c>
    </row>
    <row r="20" spans="1:4">
      <c r="A20" s="15">
        <v>3</v>
      </c>
      <c r="B20" s="663" t="s">
        <v>733</v>
      </c>
      <c r="C20" s="664" t="s">
        <v>726</v>
      </c>
    </row>
    <row r="21" spans="1:4">
      <c r="A21" s="15">
        <v>4</v>
      </c>
      <c r="B21" s="663" t="s">
        <v>738</v>
      </c>
      <c r="C21" s="664" t="s">
        <v>739</v>
      </c>
      <c r="D21" t="s">
        <v>740</v>
      </c>
    </row>
    <row r="22" spans="1:4">
      <c r="A22" s="15">
        <v>5</v>
      </c>
      <c r="B22" s="27"/>
      <c r="C22" s="449"/>
    </row>
    <row r="23" spans="1:4">
      <c r="A23" s="15">
        <v>6</v>
      </c>
      <c r="B23" s="27"/>
      <c r="C23" s="449"/>
    </row>
    <row r="24" spans="1:4">
      <c r="A24" s="15">
        <v>7</v>
      </c>
      <c r="B24" s="27"/>
      <c r="C24" s="449"/>
    </row>
    <row r="25" spans="1:4">
      <c r="A25" s="15">
        <v>8</v>
      </c>
      <c r="B25" s="27"/>
      <c r="C25" s="449"/>
    </row>
    <row r="26" spans="1:4">
      <c r="A26" s="15">
        <v>9</v>
      </c>
      <c r="B26" s="27"/>
      <c r="C26" s="449"/>
    </row>
    <row r="27" spans="1:4" ht="15.75" customHeight="1">
      <c r="A27" s="15">
        <v>10</v>
      </c>
      <c r="B27" s="27"/>
      <c r="C27" s="450"/>
    </row>
    <row r="28" spans="1:4" ht="15.75" customHeight="1">
      <c r="A28" s="15"/>
      <c r="B28" s="27"/>
      <c r="C28" s="28"/>
    </row>
    <row r="29" spans="1:4" ht="30" customHeight="1">
      <c r="A29" s="15"/>
      <c r="B29" s="744" t="s">
        <v>152</v>
      </c>
      <c r="C29" s="745"/>
    </row>
    <row r="30" spans="1:4" ht="15">
      <c r="A30" s="15">
        <v>1</v>
      </c>
      <c r="B30" s="577" t="s">
        <v>727</v>
      </c>
      <c r="C30" s="579">
        <v>1</v>
      </c>
    </row>
    <row r="31" spans="1:4" ht="15.75" customHeight="1">
      <c r="A31" s="15"/>
      <c r="B31" s="62"/>
      <c r="C31" s="63"/>
    </row>
    <row r="32" spans="1:4" ht="29.25" customHeight="1">
      <c r="A32" s="15"/>
      <c r="B32" s="744" t="s">
        <v>273</v>
      </c>
      <c r="C32" s="745"/>
    </row>
    <row r="33" spans="1:3" ht="15">
      <c r="A33" s="15">
        <v>1</v>
      </c>
      <c r="B33" s="577" t="s">
        <v>728</v>
      </c>
      <c r="C33" s="659">
        <v>0.19189999999999999</v>
      </c>
    </row>
    <row r="34" spans="1:3" ht="15">
      <c r="A34" s="15">
        <v>2</v>
      </c>
      <c r="B34" s="580" t="s">
        <v>729</v>
      </c>
      <c r="C34" s="659">
        <v>0.35060000000000002</v>
      </c>
    </row>
    <row r="35" spans="1:3" ht="15">
      <c r="A35" s="15">
        <v>3</v>
      </c>
      <c r="B35" s="580" t="s">
        <v>730</v>
      </c>
      <c r="C35" s="659">
        <v>0.35060000000000002</v>
      </c>
    </row>
    <row r="36" spans="1:3" ht="15.5" thickBot="1">
      <c r="A36" s="581">
        <v>4</v>
      </c>
      <c r="B36" s="64" t="s">
        <v>731</v>
      </c>
      <c r="C36" s="660">
        <v>0.1069</v>
      </c>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B27" sqref="B27"/>
    </sheetView>
  </sheetViews>
  <sheetFormatPr defaultRowHeight="14.5"/>
  <cols>
    <col min="1" max="1" width="9.54296875" style="2" bestFit="1" customWidth="1"/>
    <col min="2" max="2" width="47.54296875" style="2" customWidth="1"/>
    <col min="3" max="3" width="28" style="2" customWidth="1"/>
    <col min="4" max="4" width="22.453125" style="2" customWidth="1"/>
    <col min="5" max="5" width="18.81640625" style="2" customWidth="1"/>
    <col min="6" max="6" width="12" bestFit="1" customWidth="1"/>
    <col min="7" max="7" width="12.54296875" bestFit="1" customWidth="1"/>
  </cols>
  <sheetData>
    <row r="1" spans="1:7">
      <c r="A1" s="17" t="s">
        <v>188</v>
      </c>
      <c r="B1" s="16" t="str">
        <f>Info!C2</f>
        <v>სს " პაშა ბანკი საქართველო"</v>
      </c>
    </row>
    <row r="2" spans="1:7" s="21" customFormat="1" ht="15.75" customHeight="1">
      <c r="A2" s="21" t="s">
        <v>189</v>
      </c>
      <c r="B2" s="471">
        <f>'1. key ratios'!B2</f>
        <v>44377</v>
      </c>
    </row>
    <row r="3" spans="1:7" s="21" customFormat="1" ht="15.75" customHeight="1"/>
    <row r="4" spans="1:7" s="21" customFormat="1" ht="15.75" customHeight="1" thickBot="1">
      <c r="A4" s="224" t="s">
        <v>334</v>
      </c>
      <c r="B4" s="225" t="s">
        <v>263</v>
      </c>
      <c r="C4" s="189"/>
      <c r="D4" s="189"/>
      <c r="E4" s="190" t="s">
        <v>93</v>
      </c>
    </row>
    <row r="5" spans="1:7" s="120" customFormat="1" ht="17.5" customHeight="1">
      <c r="A5" s="346"/>
      <c r="B5" s="347"/>
      <c r="C5" s="188" t="s">
        <v>0</v>
      </c>
      <c r="D5" s="188" t="s">
        <v>1</v>
      </c>
      <c r="E5" s="348" t="s">
        <v>2</v>
      </c>
    </row>
    <row r="6" spans="1:7" s="155" customFormat="1" ht="14.5" customHeight="1">
      <c r="A6" s="349"/>
      <c r="B6" s="746" t="s">
        <v>231</v>
      </c>
      <c r="C6" s="746" t="s">
        <v>230</v>
      </c>
      <c r="D6" s="747" t="s">
        <v>229</v>
      </c>
      <c r="E6" s="748"/>
      <c r="G6"/>
    </row>
    <row r="7" spans="1:7" s="155" customFormat="1" ht="99.65" customHeight="1">
      <c r="A7" s="349"/>
      <c r="B7" s="746"/>
      <c r="C7" s="746"/>
      <c r="D7" s="344" t="s">
        <v>228</v>
      </c>
      <c r="E7" s="345" t="s">
        <v>395</v>
      </c>
      <c r="G7"/>
    </row>
    <row r="8" spans="1:7">
      <c r="A8" s="350">
        <v>1</v>
      </c>
      <c r="B8" s="351" t="s">
        <v>154</v>
      </c>
      <c r="C8" s="352">
        <v>5147427.1094000004</v>
      </c>
      <c r="D8" s="352"/>
      <c r="E8" s="353">
        <v>5147427.1094000004</v>
      </c>
    </row>
    <row r="9" spans="1:7">
      <c r="A9" s="350">
        <v>2</v>
      </c>
      <c r="B9" s="351" t="s">
        <v>155</v>
      </c>
      <c r="C9" s="352">
        <v>41350846.208100006</v>
      </c>
      <c r="D9" s="352"/>
      <c r="E9" s="353">
        <v>41350846.208100006</v>
      </c>
    </row>
    <row r="10" spans="1:7">
      <c r="A10" s="350">
        <v>3</v>
      </c>
      <c r="B10" s="351" t="s">
        <v>227</v>
      </c>
      <c r="C10" s="352">
        <v>35808401.683000006</v>
      </c>
      <c r="D10" s="352"/>
      <c r="E10" s="353">
        <v>35808401.683000006</v>
      </c>
    </row>
    <row r="11" spans="1:7">
      <c r="A11" s="350">
        <v>4</v>
      </c>
      <c r="B11" s="351" t="s">
        <v>185</v>
      </c>
      <c r="C11" s="352">
        <v>0</v>
      </c>
      <c r="D11" s="352"/>
      <c r="E11" s="353">
        <v>0</v>
      </c>
    </row>
    <row r="12" spans="1:7">
      <c r="A12" s="350">
        <v>5</v>
      </c>
      <c r="B12" s="351" t="s">
        <v>157</v>
      </c>
      <c r="C12" s="352">
        <v>39848224.087400004</v>
      </c>
      <c r="D12" s="352"/>
      <c r="E12" s="353">
        <v>39848224.087400004</v>
      </c>
    </row>
    <row r="13" spans="1:7">
      <c r="A13" s="350">
        <v>6.1</v>
      </c>
      <c r="B13" s="351" t="s">
        <v>158</v>
      </c>
      <c r="C13" s="354">
        <v>288145994.40129995</v>
      </c>
      <c r="D13" s="352"/>
      <c r="E13" s="353">
        <v>288145994.40129995</v>
      </c>
    </row>
    <row r="14" spans="1:7">
      <c r="A14" s="350">
        <v>6.2</v>
      </c>
      <c r="B14" s="355" t="s">
        <v>159</v>
      </c>
      <c r="C14" s="354">
        <v>-18744068.477299999</v>
      </c>
      <c r="D14" s="352"/>
      <c r="E14" s="353">
        <v>-18744068.477299999</v>
      </c>
    </row>
    <row r="15" spans="1:7">
      <c r="A15" s="350">
        <v>6</v>
      </c>
      <c r="B15" s="351" t="s">
        <v>226</v>
      </c>
      <c r="C15" s="352">
        <v>269401925.92399997</v>
      </c>
      <c r="D15" s="352"/>
      <c r="E15" s="353">
        <v>269401925.92399997</v>
      </c>
    </row>
    <row r="16" spans="1:7">
      <c r="A16" s="350">
        <v>7</v>
      </c>
      <c r="B16" s="351" t="s">
        <v>161</v>
      </c>
      <c r="C16" s="352">
        <v>3011804.5333000002</v>
      </c>
      <c r="D16" s="352"/>
      <c r="E16" s="353">
        <v>3011804.5333000002</v>
      </c>
    </row>
    <row r="17" spans="1:7">
      <c r="A17" s="350">
        <v>8</v>
      </c>
      <c r="B17" s="351" t="s">
        <v>162</v>
      </c>
      <c r="C17" s="352">
        <v>98175</v>
      </c>
      <c r="D17" s="352"/>
      <c r="E17" s="353">
        <v>98175</v>
      </c>
      <c r="F17" s="6"/>
      <c r="G17" s="6"/>
    </row>
    <row r="18" spans="1:7">
      <c r="A18" s="350">
        <v>9</v>
      </c>
      <c r="B18" s="351" t="s">
        <v>163</v>
      </c>
      <c r="C18" s="352">
        <v>0</v>
      </c>
      <c r="D18" s="352"/>
      <c r="E18" s="353">
        <v>0</v>
      </c>
      <c r="G18" s="6"/>
    </row>
    <row r="19" spans="1:7" ht="26">
      <c r="A19" s="350">
        <v>10</v>
      </c>
      <c r="B19" s="351" t="s">
        <v>164</v>
      </c>
      <c r="C19" s="352">
        <v>16641424.84</v>
      </c>
      <c r="D19" s="352">
        <v>4458054.1100000003</v>
      </c>
      <c r="E19" s="353">
        <v>12183370.73</v>
      </c>
      <c r="G19" s="6"/>
    </row>
    <row r="20" spans="1:7">
      <c r="A20" s="350">
        <v>11</v>
      </c>
      <c r="B20" s="351" t="s">
        <v>165</v>
      </c>
      <c r="C20" s="352">
        <v>2233407.0188000002</v>
      </c>
      <c r="D20" s="352"/>
      <c r="E20" s="353">
        <v>2233407.0188000002</v>
      </c>
    </row>
    <row r="21" spans="1:7" ht="39.5" thickBot="1">
      <c r="A21" s="356"/>
      <c r="B21" s="357" t="s">
        <v>369</v>
      </c>
      <c r="C21" s="313">
        <f>SUM(C8:C12, C15:C20)</f>
        <v>413541636.40399998</v>
      </c>
      <c r="D21" s="313">
        <f>SUM(D8:D12, D15:D20)</f>
        <v>4458054.1100000003</v>
      </c>
      <c r="E21" s="358">
        <f>SUM(E8:E12, E15:E20)</f>
        <v>409083582.29400003</v>
      </c>
    </row>
    <row r="22" spans="1:7">
      <c r="A22"/>
      <c r="B22"/>
      <c r="C22"/>
      <c r="D22"/>
      <c r="E22"/>
    </row>
    <row r="23" spans="1:7">
      <c r="A23"/>
      <c r="B23"/>
      <c r="C23"/>
      <c r="D23"/>
      <c r="E23"/>
    </row>
    <row r="25" spans="1:7" s="2" customFormat="1">
      <c r="B25" s="66"/>
      <c r="F25"/>
      <c r="G25"/>
    </row>
    <row r="26" spans="1:7" s="2" customFormat="1">
      <c r="B26" s="67"/>
      <c r="F26"/>
      <c r="G26"/>
    </row>
    <row r="27" spans="1:7" s="2" customFormat="1">
      <c r="B27" s="66"/>
      <c r="F27"/>
      <c r="G27"/>
    </row>
    <row r="28" spans="1:7" s="2" customFormat="1">
      <c r="B28" s="66"/>
      <c r="F28"/>
      <c r="G28"/>
    </row>
    <row r="29" spans="1:7" s="2" customFormat="1">
      <c r="B29" s="66"/>
      <c r="F29"/>
      <c r="G29"/>
    </row>
    <row r="30" spans="1:7" s="2" customFormat="1">
      <c r="B30" s="66"/>
      <c r="F30"/>
      <c r="G30"/>
    </row>
    <row r="31" spans="1:7" s="2" customFormat="1">
      <c r="B31" s="66"/>
      <c r="F31"/>
      <c r="G31"/>
    </row>
    <row r="32" spans="1:7"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0" zoomScaleNormal="80" workbookViewId="0">
      <pane xSplit="1" ySplit="4" topLeftCell="B5" activePane="bottomRight" state="frozen"/>
      <selection activeCell="H6" sqref="H6"/>
      <selection pane="topRight" activeCell="H6" sqref="H6"/>
      <selection pane="bottomLeft" activeCell="H6" sqref="H6"/>
      <selection pane="bottomRight" activeCell="B21" sqref="B21"/>
    </sheetView>
  </sheetViews>
  <sheetFormatPr defaultRowHeight="14.5" outlineLevelRow="1"/>
  <cols>
    <col min="1" max="1" width="9.54296875" style="2" bestFit="1" customWidth="1"/>
    <col min="2" max="2" width="114.1796875" style="2" customWidth="1"/>
    <col min="3" max="3" width="18.81640625" customWidth="1"/>
    <col min="4" max="4" width="25.453125" customWidth="1"/>
    <col min="5" max="5" width="24.1796875" customWidth="1"/>
    <col min="6" max="6" width="24" customWidth="1"/>
    <col min="7" max="7" width="10" bestFit="1" customWidth="1"/>
    <col min="8" max="8" width="12" bestFit="1" customWidth="1"/>
    <col min="9" max="9" width="12.54296875" bestFit="1" customWidth="1"/>
  </cols>
  <sheetData>
    <row r="1" spans="1:6">
      <c r="A1" s="17" t="s">
        <v>188</v>
      </c>
      <c r="B1" s="16" t="str">
        <f>Info!C2</f>
        <v>სს " პაშა ბანკი საქართველო"</v>
      </c>
    </row>
    <row r="2" spans="1:6" s="21" customFormat="1" ht="15.75" customHeight="1">
      <c r="A2" s="21" t="s">
        <v>189</v>
      </c>
      <c r="B2" s="471">
        <f>'1. key ratios'!B2</f>
        <v>44377</v>
      </c>
      <c r="C2"/>
      <c r="D2"/>
      <c r="E2"/>
      <c r="F2"/>
    </row>
    <row r="3" spans="1:6" s="21" customFormat="1" ht="15.75" customHeight="1">
      <c r="C3"/>
      <c r="D3"/>
      <c r="E3"/>
      <c r="F3"/>
    </row>
    <row r="4" spans="1:6" s="21" customFormat="1" ht="26.5" thickBot="1">
      <c r="A4" s="21" t="s">
        <v>335</v>
      </c>
      <c r="B4" s="196" t="s">
        <v>266</v>
      </c>
      <c r="C4" s="190" t="s">
        <v>93</v>
      </c>
      <c r="D4"/>
      <c r="E4"/>
      <c r="F4"/>
    </row>
    <row r="5" spans="1:6" ht="26.5">
      <c r="A5" s="191">
        <v>1</v>
      </c>
      <c r="B5" s="192" t="s">
        <v>342</v>
      </c>
      <c r="C5" s="261">
        <f>'7. LI1'!E21</f>
        <v>409083582.29400003</v>
      </c>
    </row>
    <row r="6" spans="1:6" s="181" customFormat="1">
      <c r="A6" s="119">
        <v>2.1</v>
      </c>
      <c r="B6" s="198" t="s">
        <v>267</v>
      </c>
      <c r="C6" s="262">
        <v>56174818.818499997</v>
      </c>
    </row>
    <row r="7" spans="1:6" s="4" customFormat="1" ht="26" outlineLevel="1">
      <c r="A7" s="197">
        <v>2.2000000000000002</v>
      </c>
      <c r="B7" s="193" t="s">
        <v>268</v>
      </c>
      <c r="C7" s="263">
        <v>99734250.298500001</v>
      </c>
    </row>
    <row r="8" spans="1:6" s="4" customFormat="1" ht="26.5">
      <c r="A8" s="197">
        <v>3</v>
      </c>
      <c r="B8" s="194" t="s">
        <v>343</v>
      </c>
      <c r="C8" s="264">
        <f>SUM(C5:C7)</f>
        <v>564992651.41100001</v>
      </c>
    </row>
    <row r="9" spans="1:6" s="181" customFormat="1">
      <c r="A9" s="119">
        <v>4</v>
      </c>
      <c r="B9" s="201" t="s">
        <v>264</v>
      </c>
      <c r="C9" s="262">
        <v>5473106</v>
      </c>
    </row>
    <row r="10" spans="1:6" s="4" customFormat="1" ht="26" outlineLevel="1">
      <c r="A10" s="197">
        <v>5.0999999999999996</v>
      </c>
      <c r="B10" s="193" t="s">
        <v>274</v>
      </c>
      <c r="C10" s="263">
        <v>-36774158.587899998</v>
      </c>
    </row>
    <row r="11" spans="1:6" s="4" customFormat="1" ht="26" outlineLevel="1">
      <c r="A11" s="197">
        <v>5.2</v>
      </c>
      <c r="B11" s="193" t="s">
        <v>275</v>
      </c>
      <c r="C11" s="263">
        <v>-97739565.29253</v>
      </c>
    </row>
    <row r="12" spans="1:6" s="4" customFormat="1">
      <c r="A12" s="197">
        <v>6</v>
      </c>
      <c r="B12" s="199" t="s">
        <v>479</v>
      </c>
      <c r="C12" s="359">
        <v>3242689</v>
      </c>
    </row>
    <row r="13" spans="1:6" s="4" customFormat="1" ht="15" thickBot="1">
      <c r="A13" s="200">
        <v>7</v>
      </c>
      <c r="B13" s="195" t="s">
        <v>265</v>
      </c>
      <c r="C13" s="265">
        <f>SUM(C8:C12)</f>
        <v>439194722.53057003</v>
      </c>
    </row>
    <row r="15" spans="1:6" ht="26.5">
      <c r="B15" s="23" t="s">
        <v>480</v>
      </c>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2023-02-22T12:34:08Z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6c7ad2-60a5-409e-8203-10f940b19acd_Enabled">
    <vt:lpwstr>true</vt:lpwstr>
  </property>
  <property fmtid="{D5CDD505-2E9C-101B-9397-08002B2CF9AE}" pid="3" name="MSIP_Label_706c7ad2-60a5-409e-8203-10f940b19acd_SetDate">
    <vt:lpwstr>2023-02-21T11:50:06Z</vt:lpwstr>
  </property>
  <property fmtid="{D5CDD505-2E9C-101B-9397-08002B2CF9AE}" pid="4" name="MSIP_Label_706c7ad2-60a5-409e-8203-10f940b19acd_Method">
    <vt:lpwstr>Standard</vt:lpwstr>
  </property>
  <property fmtid="{D5CDD505-2E9C-101B-9397-08002B2CF9AE}" pid="5" name="MSIP_Label_706c7ad2-60a5-409e-8203-10f940b19acd_Name">
    <vt:lpwstr>For internal use only C1</vt:lpwstr>
  </property>
  <property fmtid="{D5CDD505-2E9C-101B-9397-08002B2CF9AE}" pid="6" name="MSIP_Label_706c7ad2-60a5-409e-8203-10f940b19acd_SiteId">
    <vt:lpwstr>91e167b0-e7f3-47d0-b08e-ac1e6b839fc3</vt:lpwstr>
  </property>
  <property fmtid="{D5CDD505-2E9C-101B-9397-08002B2CF9AE}" pid="7" name="MSIP_Label_706c7ad2-60a5-409e-8203-10f940b19acd_ActionId">
    <vt:lpwstr>ab57b84c-6ff8-4422-bdb7-d7bd490c2377</vt:lpwstr>
  </property>
  <property fmtid="{D5CDD505-2E9C-101B-9397-08002B2CF9AE}" pid="8" name="MSIP_Label_706c7ad2-60a5-409e-8203-10f940b19acd_ContentBits">
    <vt:lpwstr>2</vt:lpwstr>
  </property>
</Properties>
</file>